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6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7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8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9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0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11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12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3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ucky-lady\"/>
    </mc:Choice>
  </mc:AlternateContent>
  <bookViews>
    <workbookView xWindow="0" yWindow="0" windowWidth="13710" windowHeight="7095" tabRatio="959" firstSheet="15" activeTab="26"/>
  </bookViews>
  <sheets>
    <sheet name="ОБЩЕЕ" sheetId="3" r:id="rId1"/>
    <sheet name="ОБЩАЯ СВЕРКА" sheetId="6" r:id="rId2"/>
    <sheet name="апрель" sheetId="35" r:id="rId3"/>
    <sheet name="зп апрель" sheetId="36" r:id="rId4"/>
    <sheet name="май" sheetId="37" r:id="rId5"/>
    <sheet name="зп май" sheetId="38" r:id="rId6"/>
    <sheet name="ИЮНЬ" sheetId="39" r:id="rId7"/>
    <sheet name="ЗП ИЮНЬ" sheetId="40" r:id="rId8"/>
    <sheet name="июЛь" sheetId="41" r:id="rId9"/>
    <sheet name="ЗП июЛь" sheetId="42" r:id="rId10"/>
    <sheet name="АВГУСТ" sheetId="43" r:id="rId11"/>
    <sheet name="ЗП АВГУСТ" sheetId="44" r:id="rId12"/>
    <sheet name="сентябрь горит" sheetId="45" r:id="rId13"/>
    <sheet name="ЗП cent" sheetId="46" r:id="rId14"/>
    <sheet name="октябрь плачет" sheetId="48" r:id="rId15"/>
    <sheet name="юля окт" sheetId="50" r:id="rId16"/>
    <sheet name="ЗП окт" sheetId="49" r:id="rId17"/>
    <sheet name="НОЯБРЬ" sheetId="51" r:id="rId18"/>
    <sheet name="ЗП ноябрь" sheetId="52" r:id="rId19"/>
    <sheet name="Лист1" sheetId="47" r:id="rId20"/>
    <sheet name="декабрь" sheetId="54" r:id="rId21"/>
    <sheet name="зп декабрь" sheetId="53" r:id="rId22"/>
    <sheet name="январь" sheetId="55" r:id="rId23"/>
    <sheet name="ЗП ЯНВАРЬ" sheetId="56" r:id="rId24"/>
    <sheet name="февраль" sheetId="57" r:id="rId25"/>
    <sheet name="зп февраль" sheetId="58" r:id="rId26"/>
    <sheet name="март" sheetId="59" r:id="rId27"/>
    <sheet name="зп март" sheetId="60" r:id="rId28"/>
    <sheet name="Лист4" sheetId="61" r:id="rId29"/>
  </sheets>
  <definedNames>
    <definedName name="_xlnm.Print_Area" localSheetId="10">АВГУСТ!$A$1:$N$53</definedName>
    <definedName name="_xlnm.Print_Area" localSheetId="2">апрель!$A$1:$N$52</definedName>
    <definedName name="_xlnm.Print_Area" localSheetId="20">декабрь!$A$1:$N$57</definedName>
    <definedName name="_xlnm.Print_Area" localSheetId="13">'ЗП cent'!$B$1:$E$44</definedName>
    <definedName name="_xlnm.Print_Area" localSheetId="11">'ЗП АВГУСТ'!$B$1:$G$45</definedName>
    <definedName name="_xlnm.Print_Area" localSheetId="3">'зп апрель'!$B$1:$D$44</definedName>
    <definedName name="_xlnm.Print_Area" localSheetId="21">'зп декабрь'!$B$1:$F$49</definedName>
    <definedName name="_xlnm.Print_Area" localSheetId="9">'ЗП июЛь'!$B$1:$D$45</definedName>
    <definedName name="_xlnm.Print_Area" localSheetId="7">'ЗП ИЮНЬ'!$B$1:$F$44</definedName>
    <definedName name="_xlnm.Print_Area" localSheetId="5">'зп май'!$B$1:$D$44</definedName>
    <definedName name="_xlnm.Print_Area" localSheetId="27">'зп март'!$B$1:$E$45</definedName>
    <definedName name="_xlnm.Print_Area" localSheetId="18">'ЗП ноябрь'!$B$1:$E$45</definedName>
    <definedName name="_xlnm.Print_Area" localSheetId="16">'ЗП окт'!$B$1:$F$45</definedName>
    <definedName name="_xlnm.Print_Area" localSheetId="25">'зп февраль'!$B$1:$E$47</definedName>
    <definedName name="_xlnm.Print_Area" localSheetId="23">'ЗП ЯНВАРЬ'!$B$1:$H$52</definedName>
    <definedName name="_xlnm.Print_Area" localSheetId="8">июЛь!$A$1:$N$52</definedName>
    <definedName name="_xlnm.Print_Area" localSheetId="6">ИЮНЬ!$A$56:$M$102</definedName>
    <definedName name="_xlnm.Print_Area" localSheetId="19">Лист1!$J$1:$O$34</definedName>
    <definedName name="_xlnm.Print_Area" localSheetId="4">май!$A$1:$M$52</definedName>
    <definedName name="_xlnm.Print_Area" localSheetId="26">март!$A$60:$M$115</definedName>
    <definedName name="_xlnm.Print_Area" localSheetId="17">НОЯБРЬ!$A$1:$N$56</definedName>
    <definedName name="_xlnm.Print_Area" localSheetId="1">'ОБЩАЯ СВЕРКА'!$A$1:$Q$29</definedName>
    <definedName name="_xlnm.Print_Area" localSheetId="14">'октябрь плачет'!$A$57:$M$107</definedName>
    <definedName name="_xlnm.Print_Area" localSheetId="12">'сентябрь горит'!$A$56:$M$105</definedName>
    <definedName name="_xlnm.Print_Area" localSheetId="24">февраль!$A$60:$M$114</definedName>
    <definedName name="_xlnm.Print_Area" localSheetId="15">'юля окт'!$B$1:$G$45</definedName>
    <definedName name="_xlnm.Print_Area" localSheetId="22">январь!$A$60:$M$114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59" l="1"/>
  <c r="P52" i="59" l="1"/>
  <c r="Q53" i="59"/>
  <c r="P41" i="59"/>
  <c r="K48" i="59"/>
  <c r="E9" i="59" l="1"/>
  <c r="M98" i="59"/>
  <c r="K16" i="60"/>
  <c r="J23" i="58"/>
  <c r="J99" i="59"/>
  <c r="K99" i="59"/>
  <c r="L99" i="59"/>
  <c r="J98" i="59"/>
  <c r="K98" i="59"/>
  <c r="L98" i="59"/>
  <c r="H9" i="61" l="1"/>
  <c r="G9" i="61"/>
  <c r="F9" i="61"/>
  <c r="E9" i="61"/>
  <c r="D9" i="61"/>
  <c r="C9" i="61"/>
  <c r="B9" i="61"/>
  <c r="H4" i="61"/>
  <c r="G4" i="61"/>
  <c r="F4" i="61"/>
  <c r="E4" i="61"/>
  <c r="D4" i="61"/>
  <c r="C4" i="61"/>
  <c r="B4" i="61"/>
  <c r="L69" i="3"/>
  <c r="G35" i="58"/>
  <c r="B3" i="60"/>
  <c r="B4" i="60"/>
  <c r="B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E40" i="60"/>
  <c r="D40" i="60"/>
  <c r="H38" i="60"/>
  <c r="G38" i="60"/>
  <c r="F38" i="60"/>
  <c r="E38" i="60"/>
  <c r="D38" i="60"/>
  <c r="K35" i="60"/>
  <c r="J35" i="60"/>
  <c r="H34" i="60"/>
  <c r="H36" i="60" s="1"/>
  <c r="H37" i="60" s="1"/>
  <c r="G34" i="60"/>
  <c r="G36" i="60" s="1"/>
  <c r="G37" i="60" s="1"/>
  <c r="F34" i="60"/>
  <c r="F36" i="60" s="1"/>
  <c r="F37" i="60" s="1"/>
  <c r="D34" i="60"/>
  <c r="D36" i="60" s="1"/>
  <c r="D37" i="60" s="1"/>
  <c r="H33" i="60"/>
  <c r="H40" i="60" s="1"/>
  <c r="G33" i="60"/>
  <c r="G40" i="60" s="1"/>
  <c r="F33" i="60"/>
  <c r="F40" i="60" s="1"/>
  <c r="F45" i="60" s="1"/>
  <c r="F44" i="60" s="1"/>
  <c r="I35" i="60"/>
  <c r="B2" i="60"/>
  <c r="CL41" i="3"/>
  <c r="CM39" i="3"/>
  <c r="CL39" i="3"/>
  <c r="CK39" i="3"/>
  <c r="CJ39" i="3"/>
  <c r="CL37" i="3"/>
  <c r="CL38" i="3" s="1"/>
  <c r="CQ36" i="3"/>
  <c r="CP36" i="3"/>
  <c r="CM35" i="3"/>
  <c r="CM37" i="3" s="1"/>
  <c r="CM38" i="3" s="1"/>
  <c r="CL35" i="3"/>
  <c r="CK35" i="3"/>
  <c r="CK37" i="3" s="1"/>
  <c r="CK38" i="3" s="1"/>
  <c r="CM34" i="3"/>
  <c r="CM41" i="3" s="1"/>
  <c r="CL34" i="3"/>
  <c r="CK34" i="3"/>
  <c r="CK41" i="3" s="1"/>
  <c r="CH33" i="3"/>
  <c r="CH32" i="3"/>
  <c r="CH31" i="3"/>
  <c r="CH30" i="3"/>
  <c r="CH29" i="3"/>
  <c r="CH28" i="3"/>
  <c r="CH27" i="3"/>
  <c r="CH26" i="3"/>
  <c r="CH25" i="3"/>
  <c r="CJ24" i="3"/>
  <c r="CO36" i="3" s="1"/>
  <c r="CH24" i="3"/>
  <c r="CH23" i="3"/>
  <c r="CH22" i="3"/>
  <c r="CH21" i="3"/>
  <c r="CH20" i="3"/>
  <c r="CH19" i="3"/>
  <c r="CH18" i="3"/>
  <c r="CH17" i="3"/>
  <c r="CH16" i="3"/>
  <c r="CH15" i="3"/>
  <c r="CH14" i="3"/>
  <c r="CH13" i="3"/>
  <c r="CH12" i="3"/>
  <c r="CH11" i="3"/>
  <c r="CH10" i="3"/>
  <c r="CH9" i="3"/>
  <c r="CH8" i="3"/>
  <c r="CH7" i="3"/>
  <c r="CH6" i="3"/>
  <c r="CH5" i="3"/>
  <c r="CH4" i="3"/>
  <c r="CH3" i="3"/>
  <c r="J556" i="6"/>
  <c r="K554" i="6"/>
  <c r="M536" i="6"/>
  <c r="M537" i="6" s="1"/>
  <c r="M538" i="6" s="1"/>
  <c r="M539" i="6" s="1"/>
  <c r="M540" i="6" s="1"/>
  <c r="C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J517" i="6"/>
  <c r="K517" i="6" s="1"/>
  <c r="F517" i="6"/>
  <c r="E517" i="6"/>
  <c r="E533" i="6" s="1"/>
  <c r="K507" i="6"/>
  <c r="J511" i="6" s="1"/>
  <c r="M485" i="6"/>
  <c r="M486" i="6" s="1"/>
  <c r="M487" i="6" s="1"/>
  <c r="M488" i="6" s="1"/>
  <c r="M489" i="6" s="1"/>
  <c r="M490" i="6" s="1"/>
  <c r="M491" i="6" s="1"/>
  <c r="M492" i="6" s="1"/>
  <c r="M493" i="6" s="1"/>
  <c r="M494" i="6" s="1"/>
  <c r="C482" i="6"/>
  <c r="G481" i="6"/>
  <c r="F481" i="6"/>
  <c r="E481" i="6"/>
  <c r="G480" i="6"/>
  <c r="F480" i="6"/>
  <c r="E480" i="6"/>
  <c r="G479" i="6"/>
  <c r="F479" i="6"/>
  <c r="E479" i="6"/>
  <c r="G478" i="6"/>
  <c r="F478" i="6"/>
  <c r="E478" i="6"/>
  <c r="G477" i="6"/>
  <c r="F477" i="6"/>
  <c r="E477" i="6"/>
  <c r="G476" i="6"/>
  <c r="F476" i="6"/>
  <c r="E476" i="6"/>
  <c r="G475" i="6"/>
  <c r="F475" i="6"/>
  <c r="E475" i="6"/>
  <c r="G474" i="6"/>
  <c r="F474" i="6"/>
  <c r="E474" i="6"/>
  <c r="G473" i="6"/>
  <c r="F473" i="6"/>
  <c r="E473" i="6"/>
  <c r="F472" i="6"/>
  <c r="E472" i="6"/>
  <c r="F471" i="6"/>
  <c r="E471" i="6"/>
  <c r="F470" i="6"/>
  <c r="E470" i="6"/>
  <c r="F469" i="6"/>
  <c r="E469" i="6"/>
  <c r="J468" i="6"/>
  <c r="F468" i="6"/>
  <c r="E468" i="6"/>
  <c r="K467" i="6"/>
  <c r="L467" i="6" s="1"/>
  <c r="F467" i="6"/>
  <c r="E467" i="6"/>
  <c r="L466" i="6"/>
  <c r="F466" i="6"/>
  <c r="E466" i="6"/>
  <c r="E482" i="6" s="1"/>
  <c r="C122" i="59"/>
  <c r="J115" i="59"/>
  <c r="L97" i="59"/>
  <c r="K97" i="59"/>
  <c r="J97" i="59"/>
  <c r="I97" i="59"/>
  <c r="K96" i="59"/>
  <c r="J96" i="59"/>
  <c r="L95" i="59"/>
  <c r="K95" i="59"/>
  <c r="J95" i="59"/>
  <c r="L94" i="59"/>
  <c r="J94" i="59"/>
  <c r="L93" i="59"/>
  <c r="K93" i="59"/>
  <c r="J93" i="59"/>
  <c r="L92" i="59"/>
  <c r="K92" i="59"/>
  <c r="L91" i="59"/>
  <c r="K91" i="59"/>
  <c r="M91" i="59" s="1"/>
  <c r="M90" i="59"/>
  <c r="L89" i="59"/>
  <c r="K89" i="59"/>
  <c r="J89" i="59"/>
  <c r="M88" i="59"/>
  <c r="M84" i="59"/>
  <c r="M85" i="59" s="1"/>
  <c r="M86" i="59" s="1"/>
  <c r="M83" i="59"/>
  <c r="C80" i="59"/>
  <c r="K79" i="59"/>
  <c r="I79" i="59"/>
  <c r="H79" i="59"/>
  <c r="F79" i="59"/>
  <c r="E79" i="59"/>
  <c r="K78" i="59"/>
  <c r="I78" i="59"/>
  <c r="H78" i="59"/>
  <c r="F78" i="59"/>
  <c r="E78" i="59"/>
  <c r="K77" i="59"/>
  <c r="I77" i="59"/>
  <c r="H77" i="59"/>
  <c r="F77" i="59"/>
  <c r="E77" i="59"/>
  <c r="K76" i="59"/>
  <c r="I76" i="59"/>
  <c r="H76" i="59"/>
  <c r="F76" i="59"/>
  <c r="E76" i="59"/>
  <c r="K75" i="59"/>
  <c r="I75" i="59"/>
  <c r="H75" i="59"/>
  <c r="F75" i="59"/>
  <c r="E75" i="59"/>
  <c r="K74" i="59"/>
  <c r="I74" i="59"/>
  <c r="H74" i="59"/>
  <c r="F74" i="59"/>
  <c r="E74" i="59"/>
  <c r="K73" i="59"/>
  <c r="I73" i="59"/>
  <c r="H73" i="59"/>
  <c r="F73" i="59"/>
  <c r="E73" i="59"/>
  <c r="K72" i="59"/>
  <c r="K80" i="59" s="1"/>
  <c r="I72" i="59"/>
  <c r="H72" i="59"/>
  <c r="F72" i="59"/>
  <c r="E72" i="59"/>
  <c r="H71" i="59"/>
  <c r="F71" i="59"/>
  <c r="E71" i="59"/>
  <c r="F70" i="59"/>
  <c r="E70" i="59"/>
  <c r="F69" i="59"/>
  <c r="E69" i="59"/>
  <c r="F68" i="59"/>
  <c r="E68" i="59"/>
  <c r="F67" i="59"/>
  <c r="E67" i="59"/>
  <c r="F66" i="59"/>
  <c r="E66" i="59"/>
  <c r="F65" i="59"/>
  <c r="E65" i="59"/>
  <c r="F64" i="59"/>
  <c r="E64" i="59"/>
  <c r="J58" i="59"/>
  <c r="N57" i="59"/>
  <c r="N51" i="59"/>
  <c r="N50" i="59"/>
  <c r="N49" i="59"/>
  <c r="N48" i="59"/>
  <c r="N47" i="59"/>
  <c r="L38" i="59"/>
  <c r="J38" i="59"/>
  <c r="L37" i="59"/>
  <c r="K37" i="59"/>
  <c r="J37" i="59"/>
  <c r="L36" i="59"/>
  <c r="J36" i="59"/>
  <c r="L35" i="59"/>
  <c r="K35" i="59"/>
  <c r="J35" i="59"/>
  <c r="K34" i="59"/>
  <c r="L33" i="59"/>
  <c r="K33" i="59"/>
  <c r="J33" i="59"/>
  <c r="K31" i="59"/>
  <c r="J31" i="59"/>
  <c r="M31" i="59" s="1"/>
  <c r="M32" i="59" s="1"/>
  <c r="M33" i="59" s="1"/>
  <c r="M34" i="59" s="1"/>
  <c r="M35" i="59" s="1"/>
  <c r="J30" i="59"/>
  <c r="M24" i="59"/>
  <c r="M25" i="59" s="1"/>
  <c r="M26" i="59" s="1"/>
  <c r="M27" i="59" s="1"/>
  <c r="M28" i="59" s="1"/>
  <c r="M29" i="59" s="1"/>
  <c r="M23" i="59"/>
  <c r="K20" i="59"/>
  <c r="C20" i="59"/>
  <c r="F19" i="59"/>
  <c r="E19" i="59"/>
  <c r="F18" i="59"/>
  <c r="E18" i="59"/>
  <c r="F17" i="59"/>
  <c r="E17" i="59"/>
  <c r="F16" i="59"/>
  <c r="E16" i="59"/>
  <c r="F15" i="59"/>
  <c r="E15" i="59"/>
  <c r="F14" i="59"/>
  <c r="E14" i="59"/>
  <c r="F13" i="59"/>
  <c r="E13" i="59"/>
  <c r="F12" i="59"/>
  <c r="E12" i="59"/>
  <c r="F11" i="59"/>
  <c r="E11" i="59"/>
  <c r="F10" i="59"/>
  <c r="E10" i="59"/>
  <c r="F9" i="59"/>
  <c r="F8" i="59"/>
  <c r="E8" i="59"/>
  <c r="F7" i="59"/>
  <c r="E7" i="59"/>
  <c r="F6" i="59"/>
  <c r="E6" i="59"/>
  <c r="F5" i="59"/>
  <c r="E5" i="59"/>
  <c r="E20" i="59" l="1"/>
  <c r="N58" i="59"/>
  <c r="E80" i="59"/>
  <c r="M93" i="59"/>
  <c r="M94" i="59" s="1"/>
  <c r="M95" i="59" s="1"/>
  <c r="M96" i="59" s="1"/>
  <c r="D45" i="60"/>
  <c r="D44" i="60" s="1"/>
  <c r="H45" i="60"/>
  <c r="H44" i="60" s="1"/>
  <c r="G45" i="60"/>
  <c r="G44" i="60" s="1"/>
  <c r="E34" i="60"/>
  <c r="E36" i="60" s="1"/>
  <c r="E37" i="60" s="1"/>
  <c r="E45" i="60" s="1"/>
  <c r="E44" i="60" s="1"/>
  <c r="E48" i="60" s="1"/>
  <c r="CL46" i="3"/>
  <c r="CL45" i="3"/>
  <c r="CK46" i="3"/>
  <c r="CK45" i="3"/>
  <c r="CM46" i="3"/>
  <c r="CM45" i="3"/>
  <c r="CJ34" i="3"/>
  <c r="CJ41" i="3" s="1"/>
  <c r="CJ35" i="3"/>
  <c r="CJ37" i="3" s="1"/>
  <c r="CJ38" i="3" s="1"/>
  <c r="M37" i="59"/>
  <c r="M36" i="59"/>
  <c r="M38" i="59" s="1"/>
  <c r="E50" i="58"/>
  <c r="H49" i="60" l="1"/>
  <c r="CJ46" i="3"/>
  <c r="CJ45" i="3"/>
  <c r="D36" i="58"/>
  <c r="E36" i="58"/>
  <c r="J37" i="58" l="1"/>
  <c r="F36" i="58" l="1"/>
  <c r="F35" i="58"/>
  <c r="D42" i="58"/>
  <c r="E42" i="58"/>
  <c r="G36" i="58"/>
  <c r="G42" i="58"/>
  <c r="I37" i="58"/>
  <c r="E26" i="58"/>
  <c r="K98" i="57" l="1"/>
  <c r="J98" i="57"/>
  <c r="I97" i="57"/>
  <c r="J97" i="57"/>
  <c r="K97" i="57"/>
  <c r="L97" i="57"/>
  <c r="H40" i="58" l="1"/>
  <c r="G40" i="58"/>
  <c r="F40" i="58"/>
  <c r="E40" i="58"/>
  <c r="D40" i="58"/>
  <c r="K37" i="58"/>
  <c r="H36" i="58"/>
  <c r="H38" i="58" s="1"/>
  <c r="H39" i="58" s="1"/>
  <c r="G38" i="58"/>
  <c r="G39" i="58" s="1"/>
  <c r="F38" i="58"/>
  <c r="F39" i="58" s="1"/>
  <c r="F47" i="58" s="1"/>
  <c r="F46" i="58" s="1"/>
  <c r="H35" i="58"/>
  <c r="H42" i="58" s="1"/>
  <c r="F42" i="58"/>
  <c r="B34" i="58"/>
  <c r="B33" i="58"/>
  <c r="B32" i="58"/>
  <c r="B31" i="58"/>
  <c r="B30" i="58"/>
  <c r="B29" i="58"/>
  <c r="B28" i="58"/>
  <c r="B27" i="58"/>
  <c r="B26" i="58"/>
  <c r="B25" i="58"/>
  <c r="B24" i="58"/>
  <c r="B23" i="58"/>
  <c r="B22" i="58"/>
  <c r="B21" i="58"/>
  <c r="B20" i="58"/>
  <c r="D38" i="58"/>
  <c r="D39" i="58" s="1"/>
  <c r="B19" i="58"/>
  <c r="B18" i="58"/>
  <c r="B17" i="58"/>
  <c r="B16" i="58"/>
  <c r="B15" i="58"/>
  <c r="B14" i="58"/>
  <c r="B13" i="58"/>
  <c r="B12" i="58"/>
  <c r="B11" i="58"/>
  <c r="B10" i="58"/>
  <c r="B9" i="58"/>
  <c r="B8" i="58"/>
  <c r="B7" i="58"/>
  <c r="B6" i="58"/>
  <c r="B5" i="58"/>
  <c r="B4" i="58"/>
  <c r="B3" i="58"/>
  <c r="B2" i="58"/>
  <c r="CC38" i="3"/>
  <c r="CB38" i="3"/>
  <c r="CA38" i="3"/>
  <c r="BZ38" i="3"/>
  <c r="CC36" i="3"/>
  <c r="CC37" i="3" s="1"/>
  <c r="CA36" i="3"/>
  <c r="CA37" i="3" s="1"/>
  <c r="CG35" i="3"/>
  <c r="CF35" i="3"/>
  <c r="CE35" i="3"/>
  <c r="CC34" i="3"/>
  <c r="CB34" i="3"/>
  <c r="CB36" i="3" s="1"/>
  <c r="CB37" i="3" s="1"/>
  <c r="CA34" i="3"/>
  <c r="BZ34" i="3"/>
  <c r="BZ36" i="3" s="1"/>
  <c r="BZ37" i="3" s="1"/>
  <c r="CC33" i="3"/>
  <c r="CC40" i="3" s="1"/>
  <c r="CB33" i="3"/>
  <c r="CB40" i="3" s="1"/>
  <c r="CA33" i="3"/>
  <c r="CA40" i="3" s="1"/>
  <c r="BZ33" i="3"/>
  <c r="BZ40" i="3" s="1"/>
  <c r="BX32" i="3"/>
  <c r="BX31" i="3"/>
  <c r="BX30" i="3"/>
  <c r="BX29" i="3"/>
  <c r="BX28" i="3"/>
  <c r="BX27" i="3"/>
  <c r="BX26" i="3"/>
  <c r="BX25" i="3"/>
  <c r="BX24" i="3"/>
  <c r="BX23" i="3"/>
  <c r="BX22" i="3"/>
  <c r="BX21" i="3"/>
  <c r="BX20" i="3"/>
  <c r="BX19" i="3"/>
  <c r="BX18" i="3"/>
  <c r="BX17" i="3"/>
  <c r="BX16" i="3"/>
  <c r="BX15" i="3"/>
  <c r="BX14" i="3"/>
  <c r="BX13" i="3"/>
  <c r="BX12" i="3"/>
  <c r="BX11" i="3"/>
  <c r="BX10" i="3"/>
  <c r="BX9" i="3"/>
  <c r="BX8" i="3"/>
  <c r="BX7" i="3"/>
  <c r="BX6" i="3"/>
  <c r="BX5" i="3"/>
  <c r="BX4" i="3"/>
  <c r="BX3" i="3"/>
  <c r="BX2" i="3"/>
  <c r="J461" i="6"/>
  <c r="M443" i="6"/>
  <c r="M444" i="6" s="1"/>
  <c r="M445" i="6" s="1"/>
  <c r="M442" i="6"/>
  <c r="C439" i="6"/>
  <c r="G438" i="6"/>
  <c r="F438" i="6"/>
  <c r="E438" i="6"/>
  <c r="G437" i="6"/>
  <c r="F437" i="6"/>
  <c r="E437" i="6"/>
  <c r="G436" i="6"/>
  <c r="F436" i="6"/>
  <c r="E436" i="6"/>
  <c r="G435" i="6"/>
  <c r="F435" i="6"/>
  <c r="E435" i="6"/>
  <c r="G434" i="6"/>
  <c r="F434" i="6"/>
  <c r="E434" i="6"/>
  <c r="E439" i="6" s="1"/>
  <c r="G433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K423" i="6"/>
  <c r="K416" i="6"/>
  <c r="J417" i="6" s="1"/>
  <c r="M396" i="6"/>
  <c r="M397" i="6" s="1"/>
  <c r="M398" i="6" s="1"/>
  <c r="M399" i="6" s="1"/>
  <c r="M400" i="6" s="1"/>
  <c r="M401" i="6" s="1"/>
  <c r="M402" i="6" s="1"/>
  <c r="M403" i="6" s="1"/>
  <c r="M395" i="6"/>
  <c r="C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D382" i="6"/>
  <c r="E382" i="6" s="1"/>
  <c r="F381" i="6"/>
  <c r="E381" i="6"/>
  <c r="F380" i="6"/>
  <c r="E380" i="6"/>
  <c r="F379" i="6"/>
  <c r="E379" i="6"/>
  <c r="J378" i="6"/>
  <c r="F378" i="6"/>
  <c r="E378" i="6"/>
  <c r="L377" i="6"/>
  <c r="K377" i="6"/>
  <c r="F377" i="6"/>
  <c r="E377" i="6"/>
  <c r="L376" i="6"/>
  <c r="F376" i="6"/>
  <c r="E376" i="6"/>
  <c r="E392" i="6" s="1"/>
  <c r="C121" i="57"/>
  <c r="J114" i="57"/>
  <c r="K96" i="57"/>
  <c r="J96" i="57"/>
  <c r="L95" i="57"/>
  <c r="K95" i="57"/>
  <c r="J95" i="57"/>
  <c r="L94" i="57"/>
  <c r="J94" i="57"/>
  <c r="L93" i="57"/>
  <c r="K93" i="57"/>
  <c r="J93" i="57"/>
  <c r="L92" i="57"/>
  <c r="K92" i="57"/>
  <c r="L91" i="57"/>
  <c r="K91" i="57"/>
  <c r="M90" i="57"/>
  <c r="L89" i="57"/>
  <c r="K89" i="57"/>
  <c r="J89" i="57"/>
  <c r="M88" i="57"/>
  <c r="M83" i="57"/>
  <c r="M84" i="57" s="1"/>
  <c r="M85" i="57" s="1"/>
  <c r="M86" i="57" s="1"/>
  <c r="C80" i="57"/>
  <c r="K79" i="57"/>
  <c r="I79" i="57"/>
  <c r="H79" i="57"/>
  <c r="F79" i="57"/>
  <c r="E79" i="57"/>
  <c r="K78" i="57"/>
  <c r="I78" i="57"/>
  <c r="H78" i="57"/>
  <c r="F78" i="57"/>
  <c r="E78" i="57"/>
  <c r="K77" i="57"/>
  <c r="I77" i="57"/>
  <c r="H77" i="57"/>
  <c r="F77" i="57"/>
  <c r="E77" i="57"/>
  <c r="K76" i="57"/>
  <c r="I76" i="57"/>
  <c r="H76" i="57"/>
  <c r="F76" i="57"/>
  <c r="E76" i="57"/>
  <c r="K75" i="57"/>
  <c r="I75" i="57"/>
  <c r="H75" i="57"/>
  <c r="F75" i="57"/>
  <c r="E75" i="57"/>
  <c r="K74" i="57"/>
  <c r="I74" i="57"/>
  <c r="H74" i="57"/>
  <c r="F74" i="57"/>
  <c r="E74" i="57"/>
  <c r="K73" i="57"/>
  <c r="I73" i="57"/>
  <c r="H73" i="57"/>
  <c r="F73" i="57"/>
  <c r="E73" i="57"/>
  <c r="K72" i="57"/>
  <c r="I72" i="57"/>
  <c r="H72" i="57"/>
  <c r="F72" i="57"/>
  <c r="E72" i="57"/>
  <c r="H71" i="57"/>
  <c r="F71" i="57"/>
  <c r="E71" i="57"/>
  <c r="F70" i="57"/>
  <c r="E70" i="57"/>
  <c r="F69" i="57"/>
  <c r="E69" i="57"/>
  <c r="F68" i="57"/>
  <c r="E68" i="57"/>
  <c r="F67" i="57"/>
  <c r="E67" i="57"/>
  <c r="F66" i="57"/>
  <c r="E66" i="57"/>
  <c r="F65" i="57"/>
  <c r="E65" i="57"/>
  <c r="F64" i="57"/>
  <c r="E64" i="57"/>
  <c r="N57" i="57"/>
  <c r="N51" i="57"/>
  <c r="N50" i="57"/>
  <c r="N49" i="57"/>
  <c r="N48" i="57"/>
  <c r="N47" i="57"/>
  <c r="J58" i="57"/>
  <c r="L38" i="57"/>
  <c r="J38" i="57"/>
  <c r="L37" i="57"/>
  <c r="K37" i="57"/>
  <c r="J37" i="57"/>
  <c r="L36" i="57"/>
  <c r="J36" i="57"/>
  <c r="L35" i="57"/>
  <c r="K35" i="57"/>
  <c r="J35" i="57"/>
  <c r="K34" i="57"/>
  <c r="L33" i="57"/>
  <c r="K33" i="57"/>
  <c r="J33" i="57"/>
  <c r="K31" i="57"/>
  <c r="J31" i="57"/>
  <c r="J30" i="57"/>
  <c r="M23" i="57"/>
  <c r="M24" i="57" s="1"/>
  <c r="M25" i="57" s="1"/>
  <c r="M26" i="57" s="1"/>
  <c r="M27" i="57" s="1"/>
  <c r="M28" i="57" s="1"/>
  <c r="M29" i="57" s="1"/>
  <c r="K20" i="57"/>
  <c r="C20" i="57"/>
  <c r="F19" i="57"/>
  <c r="E19" i="57"/>
  <c r="F18" i="57"/>
  <c r="E18" i="57"/>
  <c r="F17" i="57"/>
  <c r="E17" i="57"/>
  <c r="F16" i="57"/>
  <c r="E16" i="57"/>
  <c r="F15" i="57"/>
  <c r="E15" i="57"/>
  <c r="F14" i="57"/>
  <c r="E14" i="57"/>
  <c r="F13" i="57"/>
  <c r="E13" i="57"/>
  <c r="F12" i="57"/>
  <c r="E12" i="57"/>
  <c r="F11" i="57"/>
  <c r="E11" i="57"/>
  <c r="F10" i="57"/>
  <c r="E10" i="57"/>
  <c r="F9" i="57"/>
  <c r="F8" i="57"/>
  <c r="E8" i="57"/>
  <c r="F7" i="57"/>
  <c r="E7" i="57"/>
  <c r="F6" i="57"/>
  <c r="E6" i="57"/>
  <c r="F5" i="57"/>
  <c r="E5" i="57"/>
  <c r="E20" i="57" s="1"/>
  <c r="D47" i="58" l="1"/>
  <c r="D46" i="58" s="1"/>
  <c r="M31" i="57"/>
  <c r="M32" i="57" s="1"/>
  <c r="M33" i="57" s="1"/>
  <c r="M34" i="57" s="1"/>
  <c r="M35" i="57" s="1"/>
  <c r="M37" i="57" s="1"/>
  <c r="K80" i="57"/>
  <c r="E80" i="57"/>
  <c r="M93" i="57"/>
  <c r="M94" i="57" s="1"/>
  <c r="M95" i="57" s="1"/>
  <c r="M96" i="57" s="1"/>
  <c r="M97" i="57" s="1"/>
  <c r="M91" i="57"/>
  <c r="N58" i="57"/>
  <c r="G47" i="58"/>
  <c r="G46" i="58" s="1"/>
  <c r="H51" i="58" s="1"/>
  <c r="H47" i="58"/>
  <c r="H46" i="58" s="1"/>
  <c r="E38" i="58"/>
  <c r="E39" i="58" s="1"/>
  <c r="CA44" i="3"/>
  <c r="CA43" i="3"/>
  <c r="BZ44" i="3"/>
  <c r="BZ43" i="3"/>
  <c r="CB44" i="3"/>
  <c r="CB43" i="3"/>
  <c r="CC44" i="3"/>
  <c r="CC43" i="3"/>
  <c r="F382" i="6"/>
  <c r="M36" i="57"/>
  <c r="M38" i="57" s="1"/>
  <c r="J42" i="56"/>
  <c r="I42" i="56"/>
  <c r="H45" i="56"/>
  <c r="B33" i="56"/>
  <c r="B34" i="56"/>
  <c r="B35" i="56"/>
  <c r="B36" i="56"/>
  <c r="B37" i="56"/>
  <c r="B38" i="56"/>
  <c r="B39" i="56"/>
  <c r="H41" i="56"/>
  <c r="H43" i="56" s="1"/>
  <c r="H44" i="56" s="1"/>
  <c r="H40" i="56"/>
  <c r="H47" i="56" s="1"/>
  <c r="E46" i="58" l="1"/>
  <c r="E47" i="58"/>
  <c r="H52" i="56"/>
  <c r="H51" i="56" s="1"/>
  <c r="D47" i="56"/>
  <c r="E47" i="56"/>
  <c r="E25" i="56"/>
  <c r="E29" i="56"/>
  <c r="D19" i="56"/>
  <c r="D41" i="56" s="1"/>
  <c r="E13" i="56"/>
  <c r="E41" i="56" s="1"/>
  <c r="F49" i="56" l="1"/>
  <c r="L97" i="55" l="1"/>
  <c r="K97" i="55"/>
  <c r="J94" i="55"/>
  <c r="J97" i="55"/>
  <c r="I97" i="55"/>
  <c r="J96" i="55"/>
  <c r="J95" i="55"/>
  <c r="G41" i="56"/>
  <c r="G40" i="56"/>
  <c r="G47" i="56" s="1"/>
  <c r="E14" i="55" l="1"/>
  <c r="K106" i="55" l="1"/>
  <c r="K45" i="55"/>
  <c r="K48" i="55"/>
  <c r="G45" i="56" l="1"/>
  <c r="F45" i="56"/>
  <c r="E45" i="56"/>
  <c r="D45" i="56"/>
  <c r="K42" i="56"/>
  <c r="G43" i="56"/>
  <c r="G44" i="56" s="1"/>
  <c r="G52" i="56" s="1"/>
  <c r="G51" i="56" s="1"/>
  <c r="F41" i="56"/>
  <c r="F43" i="56" s="1"/>
  <c r="F44" i="56" s="1"/>
  <c r="E43" i="56"/>
  <c r="E44" i="56" s="1"/>
  <c r="E52" i="56" s="1"/>
  <c r="E51" i="56" s="1"/>
  <c r="D43" i="56"/>
  <c r="D44" i="56" s="1"/>
  <c r="D52" i="56" s="1"/>
  <c r="D51" i="56" s="1"/>
  <c r="F40" i="56"/>
  <c r="F47" i="56" s="1"/>
  <c r="B32" i="56"/>
  <c r="B31" i="56"/>
  <c r="B30" i="56"/>
  <c r="B29" i="56"/>
  <c r="B28" i="56"/>
  <c r="B27" i="56"/>
  <c r="B26" i="56"/>
  <c r="B25" i="56"/>
  <c r="B24" i="56"/>
  <c r="B23" i="56"/>
  <c r="B22" i="56"/>
  <c r="B21" i="56"/>
  <c r="B20" i="56"/>
  <c r="B19" i="56"/>
  <c r="B18" i="56"/>
  <c r="B17" i="56"/>
  <c r="B16" i="56"/>
  <c r="B15" i="56"/>
  <c r="B14" i="56"/>
  <c r="B13" i="56"/>
  <c r="B12" i="56"/>
  <c r="B11" i="56"/>
  <c r="B10" i="56"/>
  <c r="B9" i="56"/>
  <c r="B8" i="56"/>
  <c r="B7" i="56"/>
  <c r="B6" i="56"/>
  <c r="B5" i="56"/>
  <c r="B4" i="56"/>
  <c r="B3" i="56"/>
  <c r="B2" i="56"/>
  <c r="C121" i="55"/>
  <c r="J114" i="55"/>
  <c r="K96" i="55"/>
  <c r="L95" i="55"/>
  <c r="K95" i="55"/>
  <c r="L94" i="55"/>
  <c r="L93" i="55"/>
  <c r="K93" i="55"/>
  <c r="M93" i="55" s="1"/>
  <c r="M94" i="55" s="1"/>
  <c r="M95" i="55" s="1"/>
  <c r="M96" i="55" s="1"/>
  <c r="M97" i="55" s="1"/>
  <c r="J93" i="55"/>
  <c r="L92" i="55"/>
  <c r="K92" i="55"/>
  <c r="L91" i="55"/>
  <c r="K91" i="55"/>
  <c r="M90" i="55"/>
  <c r="L89" i="55"/>
  <c r="K89" i="55"/>
  <c r="J89" i="55"/>
  <c r="M88" i="55"/>
  <c r="M83" i="55"/>
  <c r="M84" i="55" s="1"/>
  <c r="M85" i="55" s="1"/>
  <c r="M86" i="55" s="1"/>
  <c r="C80" i="55"/>
  <c r="K79" i="55"/>
  <c r="I79" i="55"/>
  <c r="H79" i="55"/>
  <c r="F79" i="55"/>
  <c r="E79" i="55"/>
  <c r="K78" i="55"/>
  <c r="I78" i="55"/>
  <c r="H78" i="55"/>
  <c r="F78" i="55"/>
  <c r="E78" i="55"/>
  <c r="K77" i="55"/>
  <c r="I77" i="55"/>
  <c r="H77" i="55"/>
  <c r="F77" i="55"/>
  <c r="E77" i="55"/>
  <c r="K76" i="55"/>
  <c r="I76" i="55"/>
  <c r="H76" i="55"/>
  <c r="F76" i="55"/>
  <c r="E76" i="55"/>
  <c r="K75" i="55"/>
  <c r="I75" i="55"/>
  <c r="H75" i="55"/>
  <c r="F75" i="55"/>
  <c r="E75" i="55"/>
  <c r="K74" i="55"/>
  <c r="I74" i="55"/>
  <c r="H74" i="55"/>
  <c r="F74" i="55"/>
  <c r="E74" i="55"/>
  <c r="K73" i="55"/>
  <c r="I73" i="55"/>
  <c r="H73" i="55"/>
  <c r="F73" i="55"/>
  <c r="E73" i="55"/>
  <c r="K72" i="55"/>
  <c r="I72" i="55"/>
  <c r="H72" i="55"/>
  <c r="F72" i="55"/>
  <c r="E72" i="55"/>
  <c r="H71" i="55"/>
  <c r="F71" i="55"/>
  <c r="E71" i="55"/>
  <c r="F70" i="55"/>
  <c r="E70" i="55"/>
  <c r="F69" i="55"/>
  <c r="E69" i="55"/>
  <c r="F68" i="55"/>
  <c r="E68" i="55"/>
  <c r="F67" i="55"/>
  <c r="E67" i="55"/>
  <c r="F66" i="55"/>
  <c r="E66" i="55"/>
  <c r="F65" i="55"/>
  <c r="E65" i="55"/>
  <c r="F64" i="55"/>
  <c r="E64" i="55"/>
  <c r="N57" i="55"/>
  <c r="N51" i="55"/>
  <c r="N50" i="55"/>
  <c r="N49" i="55"/>
  <c r="N48" i="55"/>
  <c r="N47" i="55"/>
  <c r="J58" i="55"/>
  <c r="L38" i="55"/>
  <c r="J38" i="55"/>
  <c r="L37" i="55"/>
  <c r="K37" i="55"/>
  <c r="J37" i="55"/>
  <c r="L36" i="55"/>
  <c r="J36" i="55"/>
  <c r="L35" i="55"/>
  <c r="K35" i="55"/>
  <c r="J35" i="55"/>
  <c r="K34" i="55"/>
  <c r="L33" i="55"/>
  <c r="K33" i="55"/>
  <c r="J33" i="55"/>
  <c r="K31" i="55"/>
  <c r="J31" i="55"/>
  <c r="J30" i="55"/>
  <c r="M23" i="55"/>
  <c r="M24" i="55" s="1"/>
  <c r="M25" i="55" s="1"/>
  <c r="M26" i="55" s="1"/>
  <c r="M27" i="55" s="1"/>
  <c r="M28" i="55" s="1"/>
  <c r="M29" i="55" s="1"/>
  <c r="K20" i="55"/>
  <c r="C20" i="55"/>
  <c r="F19" i="55"/>
  <c r="E19" i="55"/>
  <c r="F18" i="55"/>
  <c r="E18" i="55"/>
  <c r="F17" i="55"/>
  <c r="E17" i="55"/>
  <c r="F16" i="55"/>
  <c r="E16" i="55"/>
  <c r="F15" i="55"/>
  <c r="E15" i="55"/>
  <c r="F14" i="55"/>
  <c r="F13" i="55"/>
  <c r="E13" i="55"/>
  <c r="F12" i="55"/>
  <c r="E12" i="55"/>
  <c r="F11" i="55"/>
  <c r="E11" i="55"/>
  <c r="F10" i="55"/>
  <c r="E10" i="55"/>
  <c r="F9" i="55"/>
  <c r="E9" i="55"/>
  <c r="F8" i="55"/>
  <c r="E8" i="55"/>
  <c r="F7" i="55"/>
  <c r="E7" i="55"/>
  <c r="F6" i="55"/>
  <c r="E6" i="55"/>
  <c r="F5" i="55"/>
  <c r="E5" i="55"/>
  <c r="E20" i="55" s="1"/>
  <c r="K95" i="54"/>
  <c r="I37" i="53"/>
  <c r="L38" i="54"/>
  <c r="J38" i="54"/>
  <c r="J37" i="53"/>
  <c r="L37" i="54"/>
  <c r="K37" i="54"/>
  <c r="J37" i="54"/>
  <c r="D48" i="53"/>
  <c r="J112" i="54"/>
  <c r="I44" i="52"/>
  <c r="J95" i="54"/>
  <c r="M95" i="54"/>
  <c r="M31" i="55" l="1"/>
  <c r="M32" i="55" s="1"/>
  <c r="M33" i="55" s="1"/>
  <c r="M34" i="55" s="1"/>
  <c r="M35" i="55" s="1"/>
  <c r="K80" i="55"/>
  <c r="M91" i="55"/>
  <c r="F52" i="56"/>
  <c r="F51" i="56" s="1"/>
  <c r="N58" i="55"/>
  <c r="E80" i="55"/>
  <c r="M37" i="55"/>
  <c r="M36" i="55"/>
  <c r="M38" i="55" s="1"/>
  <c r="D42" i="53"/>
  <c r="G35" i="53"/>
  <c r="G36" i="53"/>
  <c r="G42" i="53"/>
  <c r="B3" i="53"/>
  <c r="B2" i="53"/>
  <c r="G33" i="52"/>
  <c r="F36" i="53" l="1"/>
  <c r="E42" i="53" l="1"/>
  <c r="K41" i="54" l="1"/>
  <c r="K104" i="54"/>
  <c r="K98" i="54"/>
  <c r="K52" i="54" l="1"/>
  <c r="K47" i="54" l="1"/>
  <c r="D40" i="53"/>
  <c r="D44" i="52"/>
  <c r="D36" i="53"/>
  <c r="C119" i="54" l="1"/>
  <c r="L94" i="54"/>
  <c r="K94" i="54"/>
  <c r="L93" i="54"/>
  <c r="L92" i="54"/>
  <c r="K92" i="54"/>
  <c r="J92" i="54"/>
  <c r="M92" i="54" s="1"/>
  <c r="M93" i="54" s="1"/>
  <c r="M94" i="54" s="1"/>
  <c r="L91" i="54"/>
  <c r="K91" i="54"/>
  <c r="L90" i="54"/>
  <c r="K90" i="54"/>
  <c r="M89" i="54"/>
  <c r="L88" i="54"/>
  <c r="K88" i="54"/>
  <c r="J88" i="54"/>
  <c r="M87" i="54"/>
  <c r="M82" i="54"/>
  <c r="M83" i="54" s="1"/>
  <c r="M84" i="54" s="1"/>
  <c r="M85" i="54" s="1"/>
  <c r="C79" i="54"/>
  <c r="K78" i="54"/>
  <c r="I78" i="54"/>
  <c r="H78" i="54"/>
  <c r="F78" i="54"/>
  <c r="E78" i="54"/>
  <c r="K77" i="54"/>
  <c r="I77" i="54"/>
  <c r="H77" i="54"/>
  <c r="F77" i="54"/>
  <c r="E77" i="54"/>
  <c r="K76" i="54"/>
  <c r="I76" i="54"/>
  <c r="H76" i="54"/>
  <c r="F76" i="54"/>
  <c r="E76" i="54"/>
  <c r="K75" i="54"/>
  <c r="I75" i="54"/>
  <c r="H75" i="54"/>
  <c r="F75" i="54"/>
  <c r="E75" i="54"/>
  <c r="K74" i="54"/>
  <c r="I74" i="54"/>
  <c r="H74" i="54"/>
  <c r="F74" i="54"/>
  <c r="E74" i="54"/>
  <c r="K73" i="54"/>
  <c r="I73" i="54"/>
  <c r="H73" i="54"/>
  <c r="F73" i="54"/>
  <c r="E73" i="54"/>
  <c r="K72" i="54"/>
  <c r="I72" i="54"/>
  <c r="H72" i="54"/>
  <c r="F72" i="54"/>
  <c r="E72" i="54"/>
  <c r="K71" i="54"/>
  <c r="K79" i="54" s="1"/>
  <c r="I71" i="54"/>
  <c r="H71" i="54"/>
  <c r="F71" i="54"/>
  <c r="E71" i="54"/>
  <c r="H70" i="54"/>
  <c r="F70" i="54"/>
  <c r="E70" i="54"/>
  <c r="F69" i="54"/>
  <c r="E69" i="54"/>
  <c r="F68" i="54"/>
  <c r="E68" i="54"/>
  <c r="F67" i="54"/>
  <c r="E67" i="54"/>
  <c r="F66" i="54"/>
  <c r="E66" i="54"/>
  <c r="F65" i="54"/>
  <c r="E65" i="54"/>
  <c r="F64" i="54"/>
  <c r="E64" i="54"/>
  <c r="F63" i="54"/>
  <c r="E63" i="54"/>
  <c r="N56" i="54"/>
  <c r="J57" i="54"/>
  <c r="N50" i="54"/>
  <c r="N49" i="54"/>
  <c r="N48" i="54"/>
  <c r="N47" i="54"/>
  <c r="N46" i="54"/>
  <c r="L36" i="54"/>
  <c r="J36" i="54"/>
  <c r="L35" i="54"/>
  <c r="K35" i="54"/>
  <c r="J35" i="54"/>
  <c r="K34" i="54"/>
  <c r="L33" i="54"/>
  <c r="K33" i="54"/>
  <c r="J33" i="54"/>
  <c r="K31" i="54"/>
  <c r="J31" i="54"/>
  <c r="M31" i="54" s="1"/>
  <c r="M32" i="54" s="1"/>
  <c r="M33" i="54" s="1"/>
  <c r="M34" i="54" s="1"/>
  <c r="M35" i="54" s="1"/>
  <c r="J30" i="54"/>
  <c r="M23" i="54"/>
  <c r="M24" i="54" s="1"/>
  <c r="M25" i="54" s="1"/>
  <c r="M26" i="54" s="1"/>
  <c r="M27" i="54" s="1"/>
  <c r="M28" i="54" s="1"/>
  <c r="M29" i="54" s="1"/>
  <c r="K20" i="54"/>
  <c r="C20" i="54"/>
  <c r="F19" i="54"/>
  <c r="E19" i="54"/>
  <c r="F18" i="54"/>
  <c r="E18" i="54"/>
  <c r="F17" i="54"/>
  <c r="E17" i="54"/>
  <c r="F16" i="54"/>
  <c r="E16" i="54"/>
  <c r="F15" i="54"/>
  <c r="E15" i="54"/>
  <c r="F14" i="54"/>
  <c r="E14" i="54"/>
  <c r="F13" i="54"/>
  <c r="E13" i="54"/>
  <c r="F12" i="54"/>
  <c r="E12" i="54"/>
  <c r="F11" i="54"/>
  <c r="E11" i="54"/>
  <c r="F10" i="54"/>
  <c r="E10" i="54"/>
  <c r="F9" i="54"/>
  <c r="E9" i="54"/>
  <c r="F8" i="54"/>
  <c r="E8" i="54"/>
  <c r="F7" i="54"/>
  <c r="E7" i="54"/>
  <c r="F6" i="54"/>
  <c r="E6" i="54"/>
  <c r="F5" i="54"/>
  <c r="E5" i="54"/>
  <c r="E20" i="54" s="1"/>
  <c r="L93" i="51"/>
  <c r="J37" i="51"/>
  <c r="L37" i="51"/>
  <c r="M93" i="51"/>
  <c r="K93" i="51"/>
  <c r="K37" i="51"/>
  <c r="J109" i="51"/>
  <c r="N56" i="51"/>
  <c r="J56" i="51"/>
  <c r="E48" i="52"/>
  <c r="D48" i="52"/>
  <c r="E44" i="52"/>
  <c r="F44" i="52"/>
  <c r="J35" i="52"/>
  <c r="I35" i="52"/>
  <c r="B34" i="53"/>
  <c r="G40" i="53"/>
  <c r="F40" i="53"/>
  <c r="E40" i="53"/>
  <c r="K37" i="53"/>
  <c r="G38" i="53"/>
  <c r="G39" i="53" s="1"/>
  <c r="E36" i="53"/>
  <c r="E38" i="53" s="1"/>
  <c r="E39" i="53" s="1"/>
  <c r="D38" i="53"/>
  <c r="D39" i="53" s="1"/>
  <c r="B33" i="53"/>
  <c r="B32" i="53"/>
  <c r="B31" i="53"/>
  <c r="B30" i="53"/>
  <c r="B29" i="53"/>
  <c r="B28" i="53"/>
  <c r="B27" i="53"/>
  <c r="B26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B11" i="53"/>
  <c r="B10" i="53"/>
  <c r="B9" i="53"/>
  <c r="B8" i="53"/>
  <c r="B7" i="53"/>
  <c r="B6" i="53"/>
  <c r="B5" i="53"/>
  <c r="B4" i="53"/>
  <c r="E38" i="52"/>
  <c r="E34" i="52"/>
  <c r="D45" i="52"/>
  <c r="D38" i="52"/>
  <c r="D34" i="52"/>
  <c r="M36" i="54" l="1"/>
  <c r="M38" i="54" s="1"/>
  <c r="M37" i="54"/>
  <c r="M90" i="54"/>
  <c r="G49" i="53"/>
  <c r="G48" i="53" s="1"/>
  <c r="E49" i="53"/>
  <c r="E48" i="53"/>
  <c r="E79" i="54"/>
  <c r="N57" i="54"/>
  <c r="M37" i="51"/>
  <c r="F35" i="53"/>
  <c r="F42" i="53" s="1"/>
  <c r="F38" i="53"/>
  <c r="F39" i="53" s="1"/>
  <c r="F6" i="52"/>
  <c r="F49" i="53" l="1"/>
  <c r="F48" i="53"/>
  <c r="G38" i="52"/>
  <c r="G40" i="52"/>
  <c r="G34" i="52"/>
  <c r="B3" i="52"/>
  <c r="B4" i="52"/>
  <c r="B5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K45" i="51" l="1"/>
  <c r="K102" i="51" l="1"/>
  <c r="J35" i="49" l="1"/>
  <c r="I35" i="49"/>
  <c r="E40" i="52" l="1"/>
  <c r="D40" i="52"/>
  <c r="F38" i="52"/>
  <c r="K35" i="52"/>
  <c r="G36" i="52"/>
  <c r="G37" i="52" s="1"/>
  <c r="F34" i="52"/>
  <c r="F36" i="52" s="1"/>
  <c r="F37" i="52" s="1"/>
  <c r="E36" i="52"/>
  <c r="E37" i="52" s="1"/>
  <c r="E45" i="52" s="1"/>
  <c r="D36" i="52"/>
  <c r="D37" i="52" s="1"/>
  <c r="F33" i="52"/>
  <c r="F40" i="52" s="1"/>
  <c r="B2" i="52"/>
  <c r="C116" i="51"/>
  <c r="L92" i="51"/>
  <c r="L91" i="51"/>
  <c r="K91" i="51"/>
  <c r="J91" i="51"/>
  <c r="L90" i="51"/>
  <c r="K90" i="51"/>
  <c r="L89" i="51"/>
  <c r="K89" i="51"/>
  <c r="M89" i="51" s="1"/>
  <c r="M88" i="51"/>
  <c r="L87" i="51"/>
  <c r="K87" i="51"/>
  <c r="J87" i="51"/>
  <c r="M86" i="51"/>
  <c r="M82" i="51"/>
  <c r="M83" i="51" s="1"/>
  <c r="M84" i="51" s="1"/>
  <c r="M81" i="51"/>
  <c r="C78" i="51"/>
  <c r="K77" i="51"/>
  <c r="I77" i="51"/>
  <c r="H77" i="51"/>
  <c r="F77" i="51"/>
  <c r="E77" i="51"/>
  <c r="K76" i="51"/>
  <c r="I76" i="51"/>
  <c r="H76" i="51"/>
  <c r="F76" i="51"/>
  <c r="E76" i="51"/>
  <c r="K75" i="51"/>
  <c r="I75" i="51"/>
  <c r="H75" i="51"/>
  <c r="F75" i="51"/>
  <c r="E75" i="51"/>
  <c r="K74" i="51"/>
  <c r="I74" i="51"/>
  <c r="H74" i="51"/>
  <c r="F74" i="51"/>
  <c r="E74" i="51"/>
  <c r="K73" i="51"/>
  <c r="I73" i="51"/>
  <c r="H73" i="51"/>
  <c r="F73" i="51"/>
  <c r="E73" i="51"/>
  <c r="K72" i="51"/>
  <c r="I72" i="51"/>
  <c r="H72" i="51"/>
  <c r="F72" i="51"/>
  <c r="E72" i="51"/>
  <c r="K71" i="51"/>
  <c r="I71" i="51"/>
  <c r="H71" i="51"/>
  <c r="F71" i="51"/>
  <c r="E71" i="51"/>
  <c r="K70" i="51"/>
  <c r="K78" i="51" s="1"/>
  <c r="I70" i="51"/>
  <c r="H70" i="51"/>
  <c r="F70" i="51"/>
  <c r="E70" i="51"/>
  <c r="H69" i="51"/>
  <c r="F69" i="51"/>
  <c r="E69" i="51"/>
  <c r="F68" i="51"/>
  <c r="E68" i="51"/>
  <c r="F67" i="51"/>
  <c r="E67" i="51"/>
  <c r="F66" i="51"/>
  <c r="E66" i="51"/>
  <c r="F65" i="51"/>
  <c r="E65" i="51"/>
  <c r="F64" i="51"/>
  <c r="E64" i="51"/>
  <c r="F63" i="51"/>
  <c r="E63" i="51"/>
  <c r="F62" i="51"/>
  <c r="E62" i="51"/>
  <c r="N55" i="51"/>
  <c r="K51" i="51"/>
  <c r="N49" i="51"/>
  <c r="N48" i="51"/>
  <c r="N47" i="51"/>
  <c r="K46" i="51"/>
  <c r="N45" i="51"/>
  <c r="L36" i="51"/>
  <c r="J36" i="51"/>
  <c r="L35" i="51"/>
  <c r="K35" i="51"/>
  <c r="J35" i="51"/>
  <c r="K34" i="51"/>
  <c r="L33" i="51"/>
  <c r="K33" i="51"/>
  <c r="J33" i="51"/>
  <c r="K31" i="51"/>
  <c r="J31" i="51"/>
  <c r="J30" i="51"/>
  <c r="M23" i="51"/>
  <c r="M24" i="51" s="1"/>
  <c r="K20" i="51"/>
  <c r="C20" i="51"/>
  <c r="F19" i="51"/>
  <c r="E19" i="51"/>
  <c r="F18" i="51"/>
  <c r="E18" i="51"/>
  <c r="F17" i="51"/>
  <c r="E17" i="51"/>
  <c r="F16" i="51"/>
  <c r="E16" i="51"/>
  <c r="F15" i="51"/>
  <c r="E15" i="51"/>
  <c r="F14" i="51"/>
  <c r="E14" i="51"/>
  <c r="F13" i="51"/>
  <c r="E13" i="51"/>
  <c r="F12" i="51"/>
  <c r="E12" i="51"/>
  <c r="F11" i="51"/>
  <c r="E11" i="51"/>
  <c r="F10" i="51"/>
  <c r="E10" i="51"/>
  <c r="F9" i="51"/>
  <c r="E9" i="51"/>
  <c r="F8" i="51"/>
  <c r="E8" i="51"/>
  <c r="F7" i="51"/>
  <c r="E7" i="51"/>
  <c r="F6" i="51"/>
  <c r="E6" i="51"/>
  <c r="F5" i="51"/>
  <c r="E5" i="51"/>
  <c r="M91" i="48"/>
  <c r="M36" i="48"/>
  <c r="J36" i="48"/>
  <c r="L36" i="48"/>
  <c r="M31" i="51" l="1"/>
  <c r="M32" i="51" s="1"/>
  <c r="M33" i="51" s="1"/>
  <c r="M34" i="51" s="1"/>
  <c r="M35" i="51" s="1"/>
  <c r="M36" i="51" s="1"/>
  <c r="M91" i="51"/>
  <c r="M92" i="51" s="1"/>
  <c r="M25" i="51"/>
  <c r="M26" i="51" s="1"/>
  <c r="M27" i="51" s="1"/>
  <c r="M28" i="51" s="1"/>
  <c r="M29" i="51" s="1"/>
  <c r="G44" i="52"/>
  <c r="G45" i="52"/>
  <c r="F45" i="52"/>
  <c r="E20" i="51"/>
  <c r="E78" i="51"/>
  <c r="N46" i="51"/>
  <c r="L91" i="48"/>
  <c r="K106" i="48"/>
  <c r="G44" i="50"/>
  <c r="F44" i="50"/>
  <c r="J35" i="50"/>
  <c r="I35" i="50"/>
  <c r="J46" i="49"/>
  <c r="I46" i="49"/>
  <c r="G45" i="50" l="1"/>
  <c r="E34" i="49"/>
  <c r="F44" i="49"/>
  <c r="B5" i="49"/>
  <c r="B2" i="49"/>
  <c r="D45" i="49"/>
  <c r="D44" i="49" s="1"/>
  <c r="E40" i="49"/>
  <c r="F40" i="50"/>
  <c r="E40" i="50"/>
  <c r="D40" i="50"/>
  <c r="G38" i="50"/>
  <c r="F38" i="50"/>
  <c r="E38" i="50"/>
  <c r="D38" i="50"/>
  <c r="D36" i="50"/>
  <c r="D37" i="50" s="1"/>
  <c r="K35" i="50"/>
  <c r="G34" i="50"/>
  <c r="G36" i="50" s="1"/>
  <c r="G37" i="50" s="1"/>
  <c r="F34" i="50"/>
  <c r="F36" i="50" s="1"/>
  <c r="F37" i="50" s="1"/>
  <c r="E34" i="50"/>
  <c r="E36" i="50" s="1"/>
  <c r="E37" i="50" s="1"/>
  <c r="D34" i="50"/>
  <c r="G33" i="50"/>
  <c r="G40" i="50" s="1"/>
  <c r="F33" i="50"/>
  <c r="B32" i="50"/>
  <c r="B31" i="50"/>
  <c r="B30" i="50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B7" i="50"/>
  <c r="B6" i="50"/>
  <c r="B5" i="50"/>
  <c r="B4" i="50"/>
  <c r="B3" i="50"/>
  <c r="B2" i="50"/>
  <c r="G38" i="49"/>
  <c r="G33" i="49"/>
  <c r="G40" i="49" s="1"/>
  <c r="D37" i="49"/>
  <c r="F38" i="49"/>
  <c r="F37" i="49"/>
  <c r="F45" i="49" s="1"/>
  <c r="G34" i="49"/>
  <c r="F34" i="49"/>
  <c r="E45" i="50" l="1"/>
  <c r="E44" i="50"/>
  <c r="D45" i="50"/>
  <c r="D44" i="50"/>
  <c r="F45" i="50"/>
  <c r="E10" i="45"/>
  <c r="E11" i="45"/>
  <c r="K50" i="48" l="1"/>
  <c r="D60" i="45"/>
  <c r="B32" i="49" l="1"/>
  <c r="E38" i="49"/>
  <c r="D38" i="49"/>
  <c r="K35" i="49"/>
  <c r="D34" i="49"/>
  <c r="D36" i="49" s="1"/>
  <c r="D40" i="49"/>
  <c r="F36" i="49"/>
  <c r="B31" i="49"/>
  <c r="B30" i="49"/>
  <c r="B29" i="49"/>
  <c r="B28" i="49"/>
  <c r="B27" i="49"/>
  <c r="B26" i="49"/>
  <c r="B25" i="49"/>
  <c r="B24" i="49"/>
  <c r="B23" i="49"/>
  <c r="B22" i="49"/>
  <c r="B21" i="49"/>
  <c r="B20" i="49"/>
  <c r="B19" i="49"/>
  <c r="B18" i="49"/>
  <c r="E36" i="49"/>
  <c r="E37" i="49" s="1"/>
  <c r="E45" i="49" s="1"/>
  <c r="E44" i="49" s="1"/>
  <c r="B17" i="49"/>
  <c r="B16" i="49"/>
  <c r="B15" i="49"/>
  <c r="B14" i="49"/>
  <c r="B13" i="49"/>
  <c r="B12" i="49"/>
  <c r="B11" i="49"/>
  <c r="B10" i="49"/>
  <c r="B9" i="49"/>
  <c r="B8" i="49"/>
  <c r="B7" i="49"/>
  <c r="B6" i="49"/>
  <c r="B4" i="49"/>
  <c r="B3" i="49"/>
  <c r="C114" i="48"/>
  <c r="J107" i="48"/>
  <c r="L90" i="48"/>
  <c r="K90" i="48"/>
  <c r="J90" i="48"/>
  <c r="L89" i="48"/>
  <c r="K89" i="48"/>
  <c r="L88" i="48"/>
  <c r="K88" i="48"/>
  <c r="M87" i="48"/>
  <c r="L86" i="48"/>
  <c r="K86" i="48"/>
  <c r="J86" i="48"/>
  <c r="M85" i="48"/>
  <c r="M80" i="48"/>
  <c r="M81" i="48" s="1"/>
  <c r="M82" i="48" s="1"/>
  <c r="M83" i="48" s="1"/>
  <c r="C77" i="48"/>
  <c r="K76" i="48"/>
  <c r="I76" i="48"/>
  <c r="H76" i="48"/>
  <c r="F76" i="48"/>
  <c r="E76" i="48"/>
  <c r="K75" i="48"/>
  <c r="I75" i="48"/>
  <c r="H75" i="48"/>
  <c r="F75" i="48"/>
  <c r="E75" i="48"/>
  <c r="K74" i="48"/>
  <c r="I74" i="48"/>
  <c r="H74" i="48"/>
  <c r="F74" i="48"/>
  <c r="E74" i="48"/>
  <c r="K73" i="48"/>
  <c r="I73" i="48"/>
  <c r="H73" i="48"/>
  <c r="F73" i="48"/>
  <c r="E73" i="48"/>
  <c r="K72" i="48"/>
  <c r="I72" i="48"/>
  <c r="H72" i="48"/>
  <c r="F72" i="48"/>
  <c r="E72" i="48"/>
  <c r="K71" i="48"/>
  <c r="I71" i="48"/>
  <c r="H71" i="48"/>
  <c r="F71" i="48"/>
  <c r="E71" i="48"/>
  <c r="K70" i="48"/>
  <c r="I70" i="48"/>
  <c r="H70" i="48"/>
  <c r="F70" i="48"/>
  <c r="E70" i="48"/>
  <c r="K69" i="48"/>
  <c r="I69" i="48"/>
  <c r="H69" i="48"/>
  <c r="F69" i="48"/>
  <c r="E69" i="48"/>
  <c r="H68" i="48"/>
  <c r="F68" i="48"/>
  <c r="E68" i="48"/>
  <c r="F67" i="48"/>
  <c r="E67" i="48"/>
  <c r="F66" i="48"/>
  <c r="E66" i="48"/>
  <c r="F65" i="48"/>
  <c r="E65" i="48"/>
  <c r="F64" i="48"/>
  <c r="E64" i="48"/>
  <c r="F63" i="48"/>
  <c r="E63" i="48"/>
  <c r="F62" i="48"/>
  <c r="E62" i="48"/>
  <c r="F61" i="48"/>
  <c r="E61" i="48"/>
  <c r="N54" i="48"/>
  <c r="N48" i="48"/>
  <c r="N47" i="48"/>
  <c r="N46" i="48"/>
  <c r="K45" i="48"/>
  <c r="N45" i="48" s="1"/>
  <c r="N44" i="48"/>
  <c r="L35" i="48"/>
  <c r="K35" i="48"/>
  <c r="J35" i="48"/>
  <c r="K34" i="48"/>
  <c r="L33" i="48"/>
  <c r="K33" i="48"/>
  <c r="J33" i="48"/>
  <c r="K31" i="48"/>
  <c r="J31" i="48"/>
  <c r="J30" i="48"/>
  <c r="M23" i="48"/>
  <c r="M24" i="48" s="1"/>
  <c r="M25" i="48" s="1"/>
  <c r="M26" i="48" s="1"/>
  <c r="M27" i="48" s="1"/>
  <c r="M28" i="48" s="1"/>
  <c r="M29" i="48" s="1"/>
  <c r="K20" i="48"/>
  <c r="C20" i="48"/>
  <c r="F19" i="48"/>
  <c r="E19" i="48"/>
  <c r="F18" i="48"/>
  <c r="E18" i="48"/>
  <c r="F17" i="48"/>
  <c r="E17" i="48"/>
  <c r="F16" i="48"/>
  <c r="E16" i="48"/>
  <c r="F15" i="48"/>
  <c r="E15" i="48"/>
  <c r="F14" i="48"/>
  <c r="E14" i="48"/>
  <c r="F13" i="48"/>
  <c r="E13" i="48"/>
  <c r="F12" i="48"/>
  <c r="E12" i="48"/>
  <c r="F11" i="48"/>
  <c r="E11" i="48"/>
  <c r="F10" i="48"/>
  <c r="E10" i="48"/>
  <c r="F9" i="48"/>
  <c r="E9" i="48"/>
  <c r="F8" i="48"/>
  <c r="E8" i="48"/>
  <c r="F7" i="48"/>
  <c r="E7" i="48"/>
  <c r="F6" i="48"/>
  <c r="E6" i="48"/>
  <c r="F5" i="48"/>
  <c r="E5" i="48"/>
  <c r="M31" i="48" l="1"/>
  <c r="M32" i="48" s="1"/>
  <c r="M33" i="48" s="1"/>
  <c r="M34" i="48" s="1"/>
  <c r="M35" i="48" s="1"/>
  <c r="K77" i="48"/>
  <c r="M88" i="48"/>
  <c r="E20" i="48"/>
  <c r="N55" i="48"/>
  <c r="M90" i="48"/>
  <c r="E77" i="48"/>
  <c r="F33" i="49"/>
  <c r="F40" i="49" s="1"/>
  <c r="G36" i="49"/>
  <c r="G37" i="49" s="1"/>
  <c r="G44" i="49" s="1"/>
  <c r="J55" i="48"/>
  <c r="L89" i="45"/>
  <c r="K89" i="45"/>
  <c r="M89" i="45" s="1"/>
  <c r="J89" i="45"/>
  <c r="K104" i="45"/>
  <c r="G47" i="46"/>
  <c r="F47" i="46"/>
  <c r="D47" i="46"/>
  <c r="K35" i="45"/>
  <c r="J35" i="45"/>
  <c r="L35" i="45"/>
  <c r="J35" i="46"/>
  <c r="I35" i="46"/>
  <c r="G45" i="49" l="1"/>
  <c r="E43" i="46"/>
  <c r="E44" i="46"/>
  <c r="E40" i="46"/>
  <c r="G38" i="46"/>
  <c r="F34" i="46"/>
  <c r="F31" i="46"/>
  <c r="F33" i="46"/>
  <c r="F40" i="46" s="1"/>
  <c r="F38" i="46"/>
  <c r="D34" i="46"/>
  <c r="E17" i="46"/>
  <c r="E34" i="46" s="1"/>
  <c r="E64" i="45" l="1"/>
  <c r="F64" i="45"/>
  <c r="N34" i="47" l="1"/>
  <c r="N19" i="47"/>
  <c r="M4" i="47"/>
  <c r="M5" i="47"/>
  <c r="M6" i="47"/>
  <c r="M7" i="47"/>
  <c r="M8" i="47"/>
  <c r="M9" i="47"/>
  <c r="M10" i="47"/>
  <c r="M11" i="47"/>
  <c r="M12" i="47"/>
  <c r="M13" i="47"/>
  <c r="M14" i="47"/>
  <c r="M15" i="47"/>
  <c r="M16" i="47"/>
  <c r="M17" i="47"/>
  <c r="M18" i="47"/>
  <c r="N16" i="47"/>
  <c r="N13" i="47"/>
  <c r="N8" i="47"/>
  <c r="L34" i="47"/>
  <c r="K34" i="47"/>
  <c r="M33" i="47"/>
  <c r="M32" i="47"/>
  <c r="M31" i="47"/>
  <c r="M30" i="47"/>
  <c r="M29" i="47"/>
  <c r="M28" i="47"/>
  <c r="M27" i="47"/>
  <c r="M26" i="47"/>
  <c r="M25" i="47"/>
  <c r="M24" i="47"/>
  <c r="M23" i="47"/>
  <c r="M22" i="47"/>
  <c r="M21" i="47"/>
  <c r="M20" i="47"/>
  <c r="M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18" i="47"/>
  <c r="H19" i="47"/>
  <c r="G34" i="47"/>
  <c r="F11" i="47"/>
  <c r="F7" i="47"/>
  <c r="F34" i="47" s="1"/>
  <c r="H5" i="47"/>
  <c r="H6" i="47"/>
  <c r="H8" i="47"/>
  <c r="H9" i="47"/>
  <c r="H10" i="47"/>
  <c r="H11" i="47"/>
  <c r="H12" i="47"/>
  <c r="H13" i="47"/>
  <c r="H14" i="47"/>
  <c r="H15" i="47"/>
  <c r="H16" i="47"/>
  <c r="H17" i="47"/>
  <c r="H4" i="47"/>
  <c r="C34" i="47"/>
  <c r="B34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19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4" i="47"/>
  <c r="G14" i="46"/>
  <c r="G34" i="46" s="1"/>
  <c r="H7" i="47" l="1"/>
  <c r="H34" i="47" s="1"/>
  <c r="M34" i="47"/>
  <c r="D34" i="47"/>
  <c r="E38" i="46"/>
  <c r="D38" i="46"/>
  <c r="K35" i="46"/>
  <c r="G36" i="46"/>
  <c r="G37" i="46" s="1"/>
  <c r="E36" i="46"/>
  <c r="E37" i="46" s="1"/>
  <c r="D36" i="46"/>
  <c r="D37" i="46" s="1"/>
  <c r="G33" i="46"/>
  <c r="G40" i="46" s="1"/>
  <c r="D33" i="46"/>
  <c r="D40" i="46" s="1"/>
  <c r="B31" i="46"/>
  <c r="B30" i="46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/>
  <c r="B3" i="46"/>
  <c r="B2" i="46"/>
  <c r="M86" i="45"/>
  <c r="D43" i="46" l="1"/>
  <c r="G43" i="46"/>
  <c r="H44" i="46"/>
  <c r="G44" i="46"/>
  <c r="H45" i="46"/>
  <c r="D44" i="46"/>
  <c r="F36" i="46"/>
  <c r="F37" i="46" s="1"/>
  <c r="F43" i="46" s="1"/>
  <c r="R135" i="45"/>
  <c r="C112" i="45"/>
  <c r="J105" i="45"/>
  <c r="L88" i="45"/>
  <c r="K88" i="45"/>
  <c r="L87" i="45"/>
  <c r="K87" i="45"/>
  <c r="M87" i="45" s="1"/>
  <c r="L85" i="45"/>
  <c r="K85" i="45"/>
  <c r="J85" i="45"/>
  <c r="M84" i="45"/>
  <c r="M79" i="45"/>
  <c r="M80" i="45" s="1"/>
  <c r="M81" i="45" s="1"/>
  <c r="M82" i="45" s="1"/>
  <c r="C76" i="45"/>
  <c r="K75" i="45"/>
  <c r="I75" i="45"/>
  <c r="H75" i="45"/>
  <c r="F75" i="45"/>
  <c r="E75" i="45"/>
  <c r="K74" i="45"/>
  <c r="I74" i="45"/>
  <c r="H74" i="45"/>
  <c r="F74" i="45"/>
  <c r="E74" i="45"/>
  <c r="K73" i="45"/>
  <c r="I73" i="45"/>
  <c r="H73" i="45"/>
  <c r="F73" i="45"/>
  <c r="E73" i="45"/>
  <c r="K72" i="45"/>
  <c r="I72" i="45"/>
  <c r="H72" i="45"/>
  <c r="F72" i="45"/>
  <c r="E72" i="45"/>
  <c r="K71" i="45"/>
  <c r="I71" i="45"/>
  <c r="H71" i="45"/>
  <c r="F71" i="45"/>
  <c r="E71" i="45"/>
  <c r="K70" i="45"/>
  <c r="I70" i="45"/>
  <c r="H70" i="45"/>
  <c r="F70" i="45"/>
  <c r="E70" i="45"/>
  <c r="K69" i="45"/>
  <c r="I69" i="45"/>
  <c r="H69" i="45"/>
  <c r="F69" i="45"/>
  <c r="E69" i="45"/>
  <c r="K68" i="45"/>
  <c r="I68" i="45"/>
  <c r="H68" i="45"/>
  <c r="F68" i="45"/>
  <c r="E68" i="45"/>
  <c r="H67" i="45"/>
  <c r="F67" i="45"/>
  <c r="E67" i="45"/>
  <c r="F66" i="45"/>
  <c r="E66" i="45"/>
  <c r="F65" i="45"/>
  <c r="E65" i="45"/>
  <c r="F63" i="45"/>
  <c r="E63" i="45"/>
  <c r="F62" i="45"/>
  <c r="E62" i="45"/>
  <c r="F61" i="45"/>
  <c r="E61" i="45"/>
  <c r="F60" i="45"/>
  <c r="E60" i="45"/>
  <c r="N53" i="45"/>
  <c r="N47" i="45"/>
  <c r="N46" i="45"/>
  <c r="N45" i="45"/>
  <c r="K44" i="45"/>
  <c r="N44" i="45" s="1"/>
  <c r="N43" i="45"/>
  <c r="K34" i="45"/>
  <c r="L33" i="45"/>
  <c r="K33" i="45"/>
  <c r="J33" i="45"/>
  <c r="K31" i="45"/>
  <c r="J31" i="45"/>
  <c r="M31" i="45" s="1"/>
  <c r="M32" i="45" s="1"/>
  <c r="M33" i="45" s="1"/>
  <c r="M34" i="45" s="1"/>
  <c r="M35" i="45" s="1"/>
  <c r="J30" i="45"/>
  <c r="M24" i="45"/>
  <c r="M25" i="45" s="1"/>
  <c r="M26" i="45" s="1"/>
  <c r="M27" i="45" s="1"/>
  <c r="M28" i="45" s="1"/>
  <c r="M29" i="45" s="1"/>
  <c r="M23" i="45"/>
  <c r="K20" i="45"/>
  <c r="C20" i="45"/>
  <c r="F19" i="45"/>
  <c r="E19" i="45"/>
  <c r="F18" i="45"/>
  <c r="E18" i="45"/>
  <c r="F17" i="45"/>
  <c r="E17" i="45"/>
  <c r="F16" i="45"/>
  <c r="E16" i="45"/>
  <c r="F15" i="45"/>
  <c r="E15" i="45"/>
  <c r="F14" i="45"/>
  <c r="E14" i="45"/>
  <c r="F13" i="45"/>
  <c r="E13" i="45"/>
  <c r="F12" i="45"/>
  <c r="E12" i="45"/>
  <c r="F11" i="45"/>
  <c r="F10" i="45"/>
  <c r="F9" i="45"/>
  <c r="E9" i="45"/>
  <c r="F8" i="45"/>
  <c r="E8" i="45"/>
  <c r="F7" i="45"/>
  <c r="E7" i="45"/>
  <c r="F6" i="45"/>
  <c r="E6" i="45"/>
  <c r="F5" i="45"/>
  <c r="E5" i="45"/>
  <c r="E20" i="45" s="1"/>
  <c r="K76" i="45" l="1"/>
  <c r="F44" i="46"/>
  <c r="E76" i="45"/>
  <c r="N54" i="45"/>
  <c r="J54" i="45"/>
  <c r="I48" i="44"/>
  <c r="K34" i="43"/>
  <c r="O44" i="43"/>
  <c r="K35" i="44"/>
  <c r="M34" i="43"/>
  <c r="G50" i="44" l="1"/>
  <c r="K87" i="43"/>
  <c r="M87" i="43"/>
  <c r="L35" i="44"/>
  <c r="L87" i="43"/>
  <c r="R133" i="43"/>
  <c r="O113" i="43"/>
  <c r="M86" i="43"/>
  <c r="M85" i="43"/>
  <c r="P123" i="43"/>
  <c r="P113" i="43"/>
  <c r="F46" i="44" l="1"/>
  <c r="E34" i="44"/>
  <c r="D38" i="44"/>
  <c r="H34" i="44"/>
  <c r="G34" i="44"/>
  <c r="D34" i="44"/>
  <c r="H40" i="44"/>
  <c r="D40" i="44"/>
  <c r="F72" i="41" l="1"/>
  <c r="F73" i="41"/>
  <c r="L18" i="44" l="1"/>
  <c r="K45" i="43" l="1"/>
  <c r="N69" i="41"/>
  <c r="E59" i="43" l="1"/>
  <c r="M35" i="44" l="1"/>
  <c r="G2" i="44"/>
  <c r="B3" i="44"/>
  <c r="B4" i="44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23" i="44"/>
  <c r="B24" i="44"/>
  <c r="B25" i="44"/>
  <c r="B26" i="44"/>
  <c r="B27" i="44"/>
  <c r="B28" i="44"/>
  <c r="B29" i="44"/>
  <c r="B30" i="44"/>
  <c r="B31" i="44"/>
  <c r="B32" i="44"/>
  <c r="H38" i="44"/>
  <c r="G38" i="44"/>
  <c r="F38" i="44"/>
  <c r="E38" i="44"/>
  <c r="I38" i="44"/>
  <c r="I34" i="44"/>
  <c r="I36" i="44" s="1"/>
  <c r="I37" i="44" s="1"/>
  <c r="H36" i="44"/>
  <c r="H37" i="44" s="1"/>
  <c r="G36" i="44"/>
  <c r="G37" i="44" s="1"/>
  <c r="F34" i="44"/>
  <c r="F36" i="44" s="1"/>
  <c r="F37" i="44" s="1"/>
  <c r="D36" i="44"/>
  <c r="D37" i="44" s="1"/>
  <c r="I33" i="44"/>
  <c r="I40" i="44" s="1"/>
  <c r="H33" i="44"/>
  <c r="G33" i="44"/>
  <c r="G40" i="44" s="1"/>
  <c r="F33" i="44"/>
  <c r="D33" i="44"/>
  <c r="E36" i="44"/>
  <c r="E37" i="44" s="1"/>
  <c r="B2" i="44"/>
  <c r="C110" i="43"/>
  <c r="J103" i="43"/>
  <c r="L86" i="43"/>
  <c r="K86" i="43"/>
  <c r="L84" i="43"/>
  <c r="K84" i="43"/>
  <c r="J84" i="43"/>
  <c r="M83" i="43"/>
  <c r="M78" i="43"/>
  <c r="M79" i="43" s="1"/>
  <c r="M80" i="43" s="1"/>
  <c r="M81" i="43" s="1"/>
  <c r="C75" i="43"/>
  <c r="K74" i="43"/>
  <c r="I74" i="43"/>
  <c r="H74" i="43"/>
  <c r="F74" i="43"/>
  <c r="E74" i="43"/>
  <c r="K73" i="43"/>
  <c r="I73" i="43"/>
  <c r="H73" i="43"/>
  <c r="F73" i="43"/>
  <c r="E73" i="43"/>
  <c r="K72" i="43"/>
  <c r="I72" i="43"/>
  <c r="H72" i="43"/>
  <c r="F72" i="43"/>
  <c r="E72" i="43"/>
  <c r="K71" i="43"/>
  <c r="I71" i="43"/>
  <c r="H71" i="43"/>
  <c r="F71" i="43"/>
  <c r="E71" i="43"/>
  <c r="K70" i="43"/>
  <c r="I70" i="43"/>
  <c r="H70" i="43"/>
  <c r="F70" i="43"/>
  <c r="E70" i="43"/>
  <c r="K69" i="43"/>
  <c r="I69" i="43"/>
  <c r="H69" i="43"/>
  <c r="F69" i="43"/>
  <c r="E69" i="43"/>
  <c r="K68" i="43"/>
  <c r="I68" i="43"/>
  <c r="H68" i="43"/>
  <c r="F68" i="43"/>
  <c r="E68" i="43"/>
  <c r="K67" i="43"/>
  <c r="I67" i="43"/>
  <c r="H67" i="43"/>
  <c r="F67" i="43"/>
  <c r="E67" i="43"/>
  <c r="H66" i="43"/>
  <c r="F66" i="43"/>
  <c r="E66" i="43"/>
  <c r="F65" i="43"/>
  <c r="E65" i="43"/>
  <c r="F64" i="43"/>
  <c r="E64" i="43"/>
  <c r="F63" i="43"/>
  <c r="E63" i="43"/>
  <c r="F62" i="43"/>
  <c r="E62" i="43"/>
  <c r="F61" i="43"/>
  <c r="E61" i="43"/>
  <c r="K75" i="43"/>
  <c r="F60" i="43"/>
  <c r="E60" i="43"/>
  <c r="F59" i="43"/>
  <c r="N52" i="43"/>
  <c r="N46" i="43"/>
  <c r="N45" i="43"/>
  <c r="N44" i="43"/>
  <c r="K43" i="43"/>
  <c r="N43" i="43" s="1"/>
  <c r="N42" i="43"/>
  <c r="L33" i="43"/>
  <c r="K33" i="43"/>
  <c r="J33" i="43"/>
  <c r="K31" i="43"/>
  <c r="J31" i="43"/>
  <c r="M31" i="43" s="1"/>
  <c r="M32" i="43" s="1"/>
  <c r="M33" i="43" s="1"/>
  <c r="J30" i="43"/>
  <c r="M24" i="43"/>
  <c r="M25" i="43" s="1"/>
  <c r="M26" i="43" s="1"/>
  <c r="M27" i="43" s="1"/>
  <c r="M28" i="43" s="1"/>
  <c r="M29" i="43" s="1"/>
  <c r="M23" i="43"/>
  <c r="K20" i="43"/>
  <c r="C20" i="43"/>
  <c r="F19" i="43"/>
  <c r="E19" i="43"/>
  <c r="F18" i="43"/>
  <c r="E18" i="43"/>
  <c r="F17" i="43"/>
  <c r="E17" i="43"/>
  <c r="F16" i="43"/>
  <c r="E16" i="43"/>
  <c r="F15" i="43"/>
  <c r="E15" i="43"/>
  <c r="F14" i="43"/>
  <c r="E14" i="43"/>
  <c r="F13" i="43"/>
  <c r="E13" i="43"/>
  <c r="F12" i="43"/>
  <c r="E12" i="43"/>
  <c r="F11" i="43"/>
  <c r="E11" i="43"/>
  <c r="F10" i="43"/>
  <c r="E10" i="43"/>
  <c r="F9" i="43"/>
  <c r="E9" i="43"/>
  <c r="F8" i="43"/>
  <c r="E8" i="43"/>
  <c r="F7" i="43"/>
  <c r="E7" i="43"/>
  <c r="F6" i="43"/>
  <c r="E6" i="43"/>
  <c r="F5" i="43"/>
  <c r="E5" i="43"/>
  <c r="E20" i="43" s="1"/>
  <c r="G46" i="42"/>
  <c r="D46" i="42"/>
  <c r="M85" i="41"/>
  <c r="L85" i="41"/>
  <c r="K20" i="41"/>
  <c r="M33" i="41"/>
  <c r="L33" i="41"/>
  <c r="K85" i="41"/>
  <c r="K33" i="41"/>
  <c r="L35" i="42"/>
  <c r="K35" i="42"/>
  <c r="J33" i="41"/>
  <c r="G45" i="44" l="1"/>
  <c r="G44" i="44"/>
  <c r="H44" i="44"/>
  <c r="H45" i="44"/>
  <c r="E45" i="44"/>
  <c r="D44" i="44"/>
  <c r="D45" i="44"/>
  <c r="N53" i="43"/>
  <c r="E75" i="43"/>
  <c r="I45" i="44"/>
  <c r="I44" i="44"/>
  <c r="F45" i="44"/>
  <c r="F44" i="44"/>
  <c r="E33" i="44"/>
  <c r="E40" i="44" s="1"/>
  <c r="E44" i="44" s="1"/>
  <c r="J53" i="43"/>
  <c r="D44" i="42"/>
  <c r="D45" i="42"/>
  <c r="D40" i="42"/>
  <c r="D34" i="42"/>
  <c r="D33" i="42"/>
  <c r="H45" i="42"/>
  <c r="H34" i="42"/>
  <c r="H33" i="42"/>
  <c r="H40" i="42"/>
  <c r="I44" i="42" l="1"/>
  <c r="I40" i="42"/>
  <c r="I35" i="42"/>
  <c r="I34" i="42"/>
  <c r="I33" i="42"/>
  <c r="I38" i="42"/>
  <c r="I36" i="42"/>
  <c r="I37" i="42" s="1"/>
  <c r="G40" i="42"/>
  <c r="G38" i="42"/>
  <c r="G36" i="42"/>
  <c r="G34" i="42"/>
  <c r="F40" i="42"/>
  <c r="E34" i="42"/>
  <c r="E33" i="42"/>
  <c r="E31" i="42"/>
  <c r="E40" i="42"/>
  <c r="E38" i="42"/>
  <c r="I45" i="42" l="1"/>
  <c r="E17" i="42" l="1"/>
  <c r="G33" i="42"/>
  <c r="G37" i="42"/>
  <c r="G44" i="42" s="1"/>
  <c r="F34" i="42"/>
  <c r="F36" i="42" s="1"/>
  <c r="F37" i="42" s="1"/>
  <c r="F38" i="42"/>
  <c r="D107" i="41"/>
  <c r="E107" i="41" s="1"/>
  <c r="G45" i="42" l="1"/>
  <c r="F44" i="42"/>
  <c r="K64" i="41"/>
  <c r="K5" i="41"/>
  <c r="K42" i="41" l="1"/>
  <c r="K63" i="41" l="1"/>
  <c r="K62" i="41"/>
  <c r="K61" i="41"/>
  <c r="K60" i="41"/>
  <c r="K59" i="41"/>
  <c r="J101" i="41" l="1"/>
  <c r="M23" i="41"/>
  <c r="M24" i="41"/>
  <c r="M25" i="41" s="1"/>
  <c r="M26" i="41" s="1"/>
  <c r="M27" i="41" s="1"/>
  <c r="M28" i="41" s="1"/>
  <c r="M29" i="41" s="1"/>
  <c r="L35" i="40"/>
  <c r="K35" i="40"/>
  <c r="E6" i="41"/>
  <c r="F6" i="41"/>
  <c r="E7" i="41"/>
  <c r="F7" i="41"/>
  <c r="E8" i="41"/>
  <c r="F8" i="41"/>
  <c r="E9" i="41"/>
  <c r="F9" i="41"/>
  <c r="E10" i="41"/>
  <c r="F10" i="41"/>
  <c r="E11" i="41"/>
  <c r="F11" i="41"/>
  <c r="E12" i="41"/>
  <c r="F12" i="41"/>
  <c r="E13" i="41"/>
  <c r="F13" i="41"/>
  <c r="E14" i="41"/>
  <c r="F14" i="41"/>
  <c r="E15" i="41"/>
  <c r="F15" i="41"/>
  <c r="E16" i="41"/>
  <c r="F16" i="41"/>
  <c r="E17" i="41"/>
  <c r="F17" i="41"/>
  <c r="E18" i="41"/>
  <c r="F18" i="41"/>
  <c r="E19" i="41"/>
  <c r="F19" i="41"/>
  <c r="F5" i="41"/>
  <c r="E5" i="41"/>
  <c r="BR39" i="3"/>
  <c r="BQ39" i="3"/>
  <c r="BP39" i="3"/>
  <c r="BO39" i="3"/>
  <c r="BV35" i="3"/>
  <c r="BU36" i="3"/>
  <c r="BR35" i="3"/>
  <c r="BR37" i="3" s="1"/>
  <c r="BR38" i="3" s="1"/>
  <c r="BQ35" i="3"/>
  <c r="BQ37" i="3" s="1"/>
  <c r="BQ38" i="3" s="1"/>
  <c r="BQ45" i="3" s="1"/>
  <c r="BP35" i="3"/>
  <c r="BP37" i="3" s="1"/>
  <c r="BP38" i="3" s="1"/>
  <c r="BR34" i="3"/>
  <c r="BR42" i="3" s="1"/>
  <c r="BQ34" i="3"/>
  <c r="BQ42" i="3" s="1"/>
  <c r="BP34" i="3"/>
  <c r="BP42" i="3" s="1"/>
  <c r="BM33" i="3"/>
  <c r="BM32" i="3"/>
  <c r="BM31" i="3"/>
  <c r="BM30" i="3"/>
  <c r="BM29" i="3"/>
  <c r="BM28" i="3"/>
  <c r="BM27" i="3"/>
  <c r="BM26" i="3"/>
  <c r="BM25" i="3"/>
  <c r="BM24" i="3"/>
  <c r="BM23" i="3"/>
  <c r="BM22" i="3"/>
  <c r="BM21" i="3"/>
  <c r="BM20" i="3"/>
  <c r="BM19" i="3"/>
  <c r="BM18" i="3"/>
  <c r="BM17" i="3"/>
  <c r="BM16" i="3"/>
  <c r="BO15" i="3"/>
  <c r="BT36" i="3" s="1"/>
  <c r="BM15" i="3"/>
  <c r="BM14" i="3"/>
  <c r="BM13" i="3"/>
  <c r="BM12" i="3"/>
  <c r="BM11" i="3"/>
  <c r="BM10" i="3"/>
  <c r="BM9" i="3"/>
  <c r="BM8" i="3"/>
  <c r="BM7" i="3"/>
  <c r="BM6" i="3"/>
  <c r="BM5" i="3"/>
  <c r="BM4" i="3"/>
  <c r="BM3" i="3"/>
  <c r="J371" i="6"/>
  <c r="M352" i="6"/>
  <c r="M353" i="6" s="1"/>
  <c r="M354" i="6" s="1"/>
  <c r="F349" i="6"/>
  <c r="E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K333" i="6"/>
  <c r="F333" i="6"/>
  <c r="E333" i="6"/>
  <c r="K322" i="6"/>
  <c r="M307" i="6"/>
  <c r="M308" i="6" s="1"/>
  <c r="M309" i="6" s="1"/>
  <c r="M310" i="6" s="1"/>
  <c r="M311" i="6" s="1"/>
  <c r="M312" i="6" s="1"/>
  <c r="M313" i="6" s="1"/>
  <c r="M306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J289" i="6"/>
  <c r="K326" i="6" s="1"/>
  <c r="F289" i="6"/>
  <c r="E289" i="6"/>
  <c r="L288" i="6"/>
  <c r="F288" i="6"/>
  <c r="E288" i="6"/>
  <c r="L287" i="6"/>
  <c r="K287" i="6"/>
  <c r="F287" i="6"/>
  <c r="E287" i="6"/>
  <c r="H38" i="42"/>
  <c r="D38" i="42"/>
  <c r="M35" i="42"/>
  <c r="O57" i="3" s="1"/>
  <c r="H36" i="42"/>
  <c r="H37" i="42" s="1"/>
  <c r="E36" i="42"/>
  <c r="E37" i="42" s="1"/>
  <c r="D36" i="42"/>
  <c r="D37" i="42" s="1"/>
  <c r="F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" i="42"/>
  <c r="B2" i="42"/>
  <c r="C108" i="41"/>
  <c r="M84" i="41"/>
  <c r="L83" i="41"/>
  <c r="K83" i="41"/>
  <c r="J83" i="41"/>
  <c r="M82" i="41"/>
  <c r="M77" i="41"/>
  <c r="M78" i="41" s="1"/>
  <c r="M79" i="41" s="1"/>
  <c r="M80" i="41" s="1"/>
  <c r="C74" i="41"/>
  <c r="K73" i="41"/>
  <c r="I73" i="41"/>
  <c r="H73" i="41"/>
  <c r="E73" i="41"/>
  <c r="K72" i="41"/>
  <c r="I72" i="41"/>
  <c r="H72" i="41"/>
  <c r="E72" i="41"/>
  <c r="K71" i="41"/>
  <c r="I71" i="41"/>
  <c r="H71" i="41"/>
  <c r="F71" i="41"/>
  <c r="E71" i="41"/>
  <c r="K70" i="41"/>
  <c r="I70" i="41"/>
  <c r="H70" i="41"/>
  <c r="F70" i="41"/>
  <c r="E70" i="41"/>
  <c r="K69" i="41"/>
  <c r="I69" i="41"/>
  <c r="H69" i="41"/>
  <c r="F69" i="41"/>
  <c r="E69" i="41"/>
  <c r="K68" i="41"/>
  <c r="I68" i="41"/>
  <c r="H68" i="41"/>
  <c r="F68" i="41"/>
  <c r="E68" i="41"/>
  <c r="K67" i="41"/>
  <c r="I67" i="41"/>
  <c r="H67" i="41"/>
  <c r="F67" i="41"/>
  <c r="E67" i="41"/>
  <c r="K66" i="41"/>
  <c r="I66" i="41"/>
  <c r="H66" i="41"/>
  <c r="F66" i="41"/>
  <c r="H65" i="41"/>
  <c r="F65" i="41"/>
  <c r="E65" i="41"/>
  <c r="H64" i="41"/>
  <c r="F64" i="41"/>
  <c r="E64" i="41"/>
  <c r="H63" i="41"/>
  <c r="F63" i="41"/>
  <c r="E63" i="41"/>
  <c r="H62" i="41"/>
  <c r="F62" i="41"/>
  <c r="E62" i="41"/>
  <c r="H61" i="41"/>
  <c r="F61" i="41"/>
  <c r="E61" i="41"/>
  <c r="H60" i="41"/>
  <c r="F60" i="41"/>
  <c r="E60" i="41"/>
  <c r="H59" i="41"/>
  <c r="F59" i="41"/>
  <c r="E59" i="41"/>
  <c r="F58" i="41"/>
  <c r="E58" i="41"/>
  <c r="N51" i="41"/>
  <c r="N45" i="41"/>
  <c r="N44" i="41"/>
  <c r="N43" i="41"/>
  <c r="J52" i="41"/>
  <c r="N41" i="41"/>
  <c r="K31" i="41"/>
  <c r="J31" i="41"/>
  <c r="J30" i="41"/>
  <c r="C20" i="41"/>
  <c r="J54" i="39"/>
  <c r="J102" i="39"/>
  <c r="J45" i="40"/>
  <c r="N53" i="39"/>
  <c r="K53" i="39"/>
  <c r="M86" i="39"/>
  <c r="J35" i="40"/>
  <c r="H44" i="42" l="1"/>
  <c r="E45" i="42"/>
  <c r="E44" i="42"/>
  <c r="F45" i="42"/>
  <c r="M31" i="41"/>
  <c r="M32" i="41" s="1"/>
  <c r="E20" i="41"/>
  <c r="K74" i="41"/>
  <c r="E66" i="41"/>
  <c r="E74" i="41" s="1"/>
  <c r="BP46" i="3"/>
  <c r="BP45" i="3"/>
  <c r="BR46" i="3"/>
  <c r="BR45" i="3"/>
  <c r="BO34" i="3"/>
  <c r="BO42" i="3" s="1"/>
  <c r="BO35" i="3"/>
  <c r="BO37" i="3" s="1"/>
  <c r="BO38" i="3" s="1"/>
  <c r="BO46" i="3" s="1"/>
  <c r="J327" i="6"/>
  <c r="N42" i="41"/>
  <c r="N52" i="41" s="1"/>
  <c r="F71" i="39"/>
  <c r="D34" i="40" l="1"/>
  <c r="D36" i="40"/>
  <c r="D33" i="40"/>
  <c r="D40" i="40" s="1"/>
  <c r="G40" i="38" l="1"/>
  <c r="G38" i="40"/>
  <c r="G34" i="40"/>
  <c r="E33" i="40" l="1"/>
  <c r="E40" i="40" s="1"/>
  <c r="E34" i="40"/>
  <c r="N43" i="39" l="1"/>
  <c r="K20" i="39" l="1"/>
  <c r="C109" i="39"/>
  <c r="D44" i="38"/>
  <c r="J37" i="38"/>
  <c r="N47" i="39"/>
  <c r="N46" i="39"/>
  <c r="N45" i="39"/>
  <c r="C76" i="39"/>
  <c r="D68" i="39" l="1"/>
  <c r="K44" i="39" l="1"/>
  <c r="N44" i="39" s="1"/>
  <c r="N54" i="39" s="1"/>
  <c r="K34" i="39" l="1"/>
  <c r="E61" i="39" l="1"/>
  <c r="F61" i="39"/>
  <c r="E62" i="39"/>
  <c r="F62" i="39"/>
  <c r="E63" i="39"/>
  <c r="F63" i="39"/>
  <c r="E64" i="39"/>
  <c r="F64" i="39"/>
  <c r="E65" i="39"/>
  <c r="F65" i="39"/>
  <c r="E66" i="39"/>
  <c r="F66" i="39"/>
  <c r="E67" i="39"/>
  <c r="F67" i="39"/>
  <c r="E68" i="39"/>
  <c r="F68" i="39"/>
  <c r="E69" i="39"/>
  <c r="F69" i="39"/>
  <c r="E70" i="39"/>
  <c r="F70" i="39"/>
  <c r="E71" i="39"/>
  <c r="E72" i="39"/>
  <c r="F72" i="39"/>
  <c r="E73" i="39"/>
  <c r="F73" i="39"/>
  <c r="E74" i="39"/>
  <c r="F74" i="39"/>
  <c r="E75" i="39"/>
  <c r="F75" i="39"/>
  <c r="F6" i="39"/>
  <c r="E7" i="39"/>
  <c r="F7" i="39"/>
  <c r="E8" i="39"/>
  <c r="F8" i="39"/>
  <c r="E9" i="39"/>
  <c r="F9" i="39"/>
  <c r="E10" i="39"/>
  <c r="F10" i="39"/>
  <c r="E11" i="39"/>
  <c r="F11" i="39"/>
  <c r="E12" i="39"/>
  <c r="F12" i="39"/>
  <c r="E13" i="39"/>
  <c r="F13" i="39"/>
  <c r="E14" i="39"/>
  <c r="F14" i="39"/>
  <c r="E15" i="39"/>
  <c r="F15" i="39"/>
  <c r="E16" i="39"/>
  <c r="F16" i="39"/>
  <c r="E17" i="39"/>
  <c r="F17" i="39"/>
  <c r="E18" i="39"/>
  <c r="F18" i="39"/>
  <c r="E19" i="39"/>
  <c r="F19" i="39"/>
  <c r="F5" i="39"/>
  <c r="E5" i="39"/>
  <c r="F60" i="39"/>
  <c r="E60" i="39"/>
  <c r="K61" i="39"/>
  <c r="K62" i="39"/>
  <c r="K63" i="39"/>
  <c r="K64" i="39"/>
  <c r="K65" i="39"/>
  <c r="K66" i="39"/>
  <c r="K67" i="39"/>
  <c r="K68" i="39"/>
  <c r="K69" i="39"/>
  <c r="K70" i="39"/>
  <c r="K71" i="39"/>
  <c r="K72" i="39"/>
  <c r="K73" i="39"/>
  <c r="K74" i="39"/>
  <c r="K75" i="39"/>
  <c r="K60" i="39"/>
  <c r="I61" i="39"/>
  <c r="I62" i="39"/>
  <c r="I63" i="39"/>
  <c r="I64" i="39"/>
  <c r="I65" i="39"/>
  <c r="I66" i="39"/>
  <c r="I67" i="39"/>
  <c r="I68" i="39"/>
  <c r="I69" i="39"/>
  <c r="I70" i="39"/>
  <c r="I71" i="39"/>
  <c r="I72" i="39"/>
  <c r="I73" i="39"/>
  <c r="I74" i="39"/>
  <c r="I75" i="39"/>
  <c r="I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60" i="39"/>
  <c r="F38" i="40"/>
  <c r="E38" i="40"/>
  <c r="D38" i="40"/>
  <c r="G36" i="40"/>
  <c r="G37" i="40" s="1"/>
  <c r="F34" i="40"/>
  <c r="F36" i="40" s="1"/>
  <c r="F37" i="40" s="1"/>
  <c r="F44" i="40" s="1"/>
  <c r="E36" i="40"/>
  <c r="D37" i="40"/>
  <c r="H33" i="40"/>
  <c r="G33" i="40"/>
  <c r="G40" i="40" s="1"/>
  <c r="F33" i="40"/>
  <c r="F40" i="40" s="1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B4" i="40"/>
  <c r="B3" i="40"/>
  <c r="B2" i="40"/>
  <c r="L85" i="39"/>
  <c r="K85" i="39"/>
  <c r="J85" i="39"/>
  <c r="M84" i="39"/>
  <c r="M79" i="39"/>
  <c r="M80" i="39" s="1"/>
  <c r="M81" i="39" s="1"/>
  <c r="M82" i="39" s="1"/>
  <c r="J34" i="39"/>
  <c r="I34" i="39"/>
  <c r="J33" i="39"/>
  <c r="M23" i="39"/>
  <c r="M24" i="39" s="1"/>
  <c r="M25" i="39" s="1"/>
  <c r="M26" i="39" s="1"/>
  <c r="M27" i="39" s="1"/>
  <c r="M28" i="39" s="1"/>
  <c r="M29" i="39" s="1"/>
  <c r="M30" i="39" s="1"/>
  <c r="M31" i="39" s="1"/>
  <c r="M32" i="39" s="1"/>
  <c r="C20" i="39"/>
  <c r="L83" i="37"/>
  <c r="M34" i="37"/>
  <c r="M34" i="35"/>
  <c r="J34" i="37"/>
  <c r="G44" i="40" l="1"/>
  <c r="G45" i="40"/>
  <c r="K37" i="40" s="1"/>
  <c r="D45" i="40"/>
  <c r="D44" i="40"/>
  <c r="E37" i="40"/>
  <c r="E44" i="40" s="1"/>
  <c r="E76" i="39"/>
  <c r="E20" i="39"/>
  <c r="M34" i="39"/>
  <c r="M35" i="39" s="1"/>
  <c r="F45" i="40"/>
  <c r="K76" i="39"/>
  <c r="K35" i="38"/>
  <c r="J83" i="37"/>
  <c r="J37" i="40" l="1"/>
  <c r="E45" i="40"/>
  <c r="M82" i="37"/>
  <c r="K83" i="37"/>
  <c r="J35" i="38"/>
  <c r="K5" i="37" l="1"/>
  <c r="D43" i="38"/>
  <c r="D33" i="38"/>
  <c r="D40" i="38"/>
  <c r="D34" i="38"/>
  <c r="H33" i="38"/>
  <c r="F43" i="38"/>
  <c r="F40" i="38"/>
  <c r="F33" i="38"/>
  <c r="F34" i="38"/>
  <c r="G44" i="38" l="1"/>
  <c r="K37" i="38" s="1"/>
  <c r="G37" i="38"/>
  <c r="G43" i="38"/>
  <c r="G42" i="38"/>
  <c r="G34" i="38"/>
  <c r="M23" i="37" l="1"/>
  <c r="J35" i="36"/>
  <c r="M77" i="37"/>
  <c r="E71" i="37" l="1"/>
  <c r="K66" i="37" l="1"/>
  <c r="I66" i="37"/>
  <c r="I65" i="37"/>
  <c r="K42" i="37" l="1"/>
  <c r="E34" i="38" l="1"/>
  <c r="D58" i="37" l="1"/>
  <c r="R4" i="37" l="1"/>
  <c r="K67" i="37" l="1"/>
  <c r="K68" i="37"/>
  <c r="K69" i="37"/>
  <c r="K70" i="37"/>
  <c r="K71" i="37"/>
  <c r="K72" i="37"/>
  <c r="K73" i="37"/>
  <c r="I67" i="37"/>
  <c r="I68" i="37"/>
  <c r="I69" i="37"/>
  <c r="I70" i="37"/>
  <c r="I71" i="37"/>
  <c r="I72" i="37"/>
  <c r="I73" i="37"/>
  <c r="K64" i="37"/>
  <c r="I64" i="37"/>
  <c r="H66" i="37"/>
  <c r="H67" i="37"/>
  <c r="H68" i="37"/>
  <c r="H69" i="37"/>
  <c r="H70" i="37"/>
  <c r="H71" i="37"/>
  <c r="H72" i="37"/>
  <c r="H73" i="37"/>
  <c r="H64" i="37"/>
  <c r="K59" i="37"/>
  <c r="K60" i="37"/>
  <c r="K61" i="37"/>
  <c r="K63" i="37"/>
  <c r="I59" i="37"/>
  <c r="I60" i="37"/>
  <c r="I61" i="37"/>
  <c r="I62" i="37"/>
  <c r="I63" i="37"/>
  <c r="H59" i="37"/>
  <c r="H60" i="37"/>
  <c r="H61" i="37"/>
  <c r="H62" i="37"/>
  <c r="H63" i="37"/>
  <c r="K58" i="37"/>
  <c r="I58" i="37"/>
  <c r="H58" i="37"/>
  <c r="J99" i="37"/>
  <c r="U8" i="37" l="1"/>
  <c r="Q8" i="37"/>
  <c r="Q21" i="37" s="1"/>
  <c r="K62" i="37" l="1"/>
  <c r="K74" i="37" s="1"/>
  <c r="U21" i="37"/>
  <c r="I34" i="37"/>
  <c r="L35" i="38"/>
  <c r="E6" i="37"/>
  <c r="F6" i="37"/>
  <c r="E7" i="37"/>
  <c r="F7" i="37"/>
  <c r="E8" i="37"/>
  <c r="F8" i="37"/>
  <c r="E9" i="37"/>
  <c r="F9" i="37"/>
  <c r="E10" i="37"/>
  <c r="F10" i="37"/>
  <c r="E11" i="37"/>
  <c r="F11" i="37"/>
  <c r="E12" i="37"/>
  <c r="F12" i="37"/>
  <c r="E13" i="37"/>
  <c r="F13" i="37"/>
  <c r="E14" i="37"/>
  <c r="F14" i="37"/>
  <c r="E15" i="37"/>
  <c r="F15" i="37"/>
  <c r="E16" i="37"/>
  <c r="F16" i="37"/>
  <c r="E17" i="37"/>
  <c r="F17" i="37"/>
  <c r="E18" i="37"/>
  <c r="F18" i="37"/>
  <c r="E19" i="37"/>
  <c r="F19" i="37"/>
  <c r="F5" i="37"/>
  <c r="E5" i="37"/>
  <c r="E64" i="37"/>
  <c r="F64" i="37"/>
  <c r="E65" i="37"/>
  <c r="F65" i="37"/>
  <c r="E66" i="37"/>
  <c r="F66" i="37"/>
  <c r="E67" i="37"/>
  <c r="F67" i="37"/>
  <c r="E68" i="37"/>
  <c r="F68" i="37"/>
  <c r="E69" i="37"/>
  <c r="F69" i="37"/>
  <c r="E70" i="37"/>
  <c r="F70" i="37"/>
  <c r="F71" i="37"/>
  <c r="E72" i="37"/>
  <c r="F72" i="37"/>
  <c r="E73" i="37"/>
  <c r="F73" i="37"/>
  <c r="E63" i="37"/>
  <c r="F63" i="37"/>
  <c r="E62" i="37"/>
  <c r="F62" i="37"/>
  <c r="K43" i="37"/>
  <c r="E38" i="38" l="1"/>
  <c r="E36" i="38"/>
  <c r="E37" i="38" s="1"/>
  <c r="G33" i="38"/>
  <c r="E33" i="38"/>
  <c r="E40" i="38" s="1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4" i="38"/>
  <c r="B13" i="38"/>
  <c r="B12" i="38"/>
  <c r="B11" i="38"/>
  <c r="B10" i="38"/>
  <c r="B9" i="38"/>
  <c r="B8" i="38"/>
  <c r="B7" i="38"/>
  <c r="B6" i="38"/>
  <c r="B5" i="38"/>
  <c r="B4" i="38"/>
  <c r="B3" i="38"/>
  <c r="B2" i="38"/>
  <c r="M78" i="37"/>
  <c r="M79" i="37" s="1"/>
  <c r="M80" i="37" s="1"/>
  <c r="C74" i="37"/>
  <c r="F61" i="37"/>
  <c r="E61" i="37"/>
  <c r="F60" i="37"/>
  <c r="E60" i="37"/>
  <c r="F59" i="37"/>
  <c r="E59" i="37"/>
  <c r="F58" i="37"/>
  <c r="E58" i="37"/>
  <c r="J33" i="37"/>
  <c r="M24" i="37"/>
  <c r="M25" i="37" s="1"/>
  <c r="M26" i="37" s="1"/>
  <c r="M27" i="37" s="1"/>
  <c r="M28" i="37" s="1"/>
  <c r="M29" i="37" s="1"/>
  <c r="M30" i="37" s="1"/>
  <c r="M31" i="37" s="1"/>
  <c r="M32" i="37" s="1"/>
  <c r="C20" i="37"/>
  <c r="J6" i="37"/>
  <c r="L5" i="37"/>
  <c r="K47" i="37" s="1"/>
  <c r="M52" i="37" s="1"/>
  <c r="E20" i="37"/>
  <c r="D38" i="38" l="1"/>
  <c r="G38" i="38"/>
  <c r="F38" i="38"/>
  <c r="E43" i="38"/>
  <c r="J40" i="38" s="1"/>
  <c r="E74" i="37"/>
  <c r="J52" i="37"/>
  <c r="E44" i="38"/>
  <c r="J34" i="35"/>
  <c r="D36" i="38" l="1"/>
  <c r="D37" i="38" s="1"/>
  <c r="G36" i="38"/>
  <c r="F36" i="38"/>
  <c r="F37" i="38" s="1"/>
  <c r="E43" i="36"/>
  <c r="D43" i="36"/>
  <c r="D44" i="36"/>
  <c r="G34" i="36"/>
  <c r="F40" i="36"/>
  <c r="F34" i="36"/>
  <c r="E34" i="36"/>
  <c r="E33" i="36"/>
  <c r="D38" i="36"/>
  <c r="D34" i="36"/>
  <c r="D33" i="36"/>
  <c r="D40" i="36" s="1"/>
  <c r="P81" i="35"/>
  <c r="M82" i="35"/>
  <c r="I35" i="36"/>
  <c r="F44" i="38" l="1"/>
  <c r="U14" i="35"/>
  <c r="J58" i="35" l="1"/>
  <c r="I17" i="36" l="1"/>
  <c r="K6" i="35" l="1"/>
  <c r="I58" i="35"/>
  <c r="K58" i="35" s="1"/>
  <c r="K5" i="35" l="1"/>
  <c r="E6" i="35" l="1"/>
  <c r="F6" i="35"/>
  <c r="E7" i="35"/>
  <c r="F7" i="35"/>
  <c r="E8" i="35"/>
  <c r="F8" i="35"/>
  <c r="E9" i="35"/>
  <c r="F9" i="35"/>
  <c r="E10" i="35"/>
  <c r="F10" i="35"/>
  <c r="E11" i="35"/>
  <c r="F11" i="35"/>
  <c r="E12" i="35"/>
  <c r="F12" i="35"/>
  <c r="E13" i="35"/>
  <c r="F13" i="35"/>
  <c r="E14" i="35"/>
  <c r="F14" i="35"/>
  <c r="E15" i="35"/>
  <c r="F15" i="35"/>
  <c r="E16" i="35"/>
  <c r="F16" i="35"/>
  <c r="E17" i="35"/>
  <c r="F17" i="35"/>
  <c r="E18" i="35"/>
  <c r="F18" i="35"/>
  <c r="E19" i="35"/>
  <c r="F19" i="35"/>
  <c r="E20" i="35"/>
  <c r="F20" i="35"/>
  <c r="F5" i="35"/>
  <c r="E5" i="35"/>
  <c r="Z3" i="35" l="1"/>
  <c r="Q4" i="35"/>
  <c r="Q14" i="35" s="1"/>
  <c r="C21" i="35" l="1"/>
  <c r="E21" i="35"/>
  <c r="C74" i="35"/>
  <c r="BK44" i="3"/>
  <c r="BH44" i="3"/>
  <c r="BK42" i="3"/>
  <c r="BI42" i="3"/>
  <c r="BH42" i="3"/>
  <c r="BK38" i="3"/>
  <c r="BK40" i="3" s="1"/>
  <c r="BK41" i="3" s="1"/>
  <c r="BJ38" i="3"/>
  <c r="BK34" i="3"/>
  <c r="BJ34" i="3"/>
  <c r="BJ39" i="3" s="1"/>
  <c r="BF33" i="3"/>
  <c r="BF32" i="3"/>
  <c r="BF31" i="3"/>
  <c r="BF30" i="3"/>
  <c r="BF29" i="3"/>
  <c r="BF28" i="3"/>
  <c r="BF27" i="3"/>
  <c r="BH26" i="3"/>
  <c r="BF26" i="3"/>
  <c r="BF25" i="3"/>
  <c r="BF24" i="3"/>
  <c r="BF23" i="3"/>
  <c r="BF22" i="3"/>
  <c r="BF21" i="3"/>
  <c r="BF20" i="3"/>
  <c r="BF19" i="3"/>
  <c r="BH18" i="3"/>
  <c r="BF18" i="3"/>
  <c r="BF17" i="3"/>
  <c r="BF16" i="3"/>
  <c r="BF15" i="3"/>
  <c r="BF14" i="3"/>
  <c r="BF13" i="3"/>
  <c r="BF12" i="3"/>
  <c r="BF11" i="3"/>
  <c r="BF10" i="3"/>
  <c r="BF9" i="3"/>
  <c r="BF8" i="3"/>
  <c r="BF7" i="3"/>
  <c r="BF6" i="3"/>
  <c r="BF5" i="3"/>
  <c r="BF4" i="3"/>
  <c r="BL3" i="3"/>
  <c r="BI3" i="3"/>
  <c r="BI38" i="3" s="1"/>
  <c r="BI40" i="3" s="1"/>
  <c r="BI41" i="3" s="1"/>
  <c r="BF3" i="3"/>
  <c r="J283" i="6"/>
  <c r="H282" i="6"/>
  <c r="H281" i="6"/>
  <c r="H280" i="6"/>
  <c r="H279" i="6"/>
  <c r="H278" i="6"/>
  <c r="H277" i="6"/>
  <c r="H276" i="6"/>
  <c r="H275" i="6"/>
  <c r="H274" i="6"/>
  <c r="H273" i="6"/>
  <c r="H27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K245" i="6"/>
  <c r="F245" i="6"/>
  <c r="E245" i="6"/>
  <c r="H235" i="6"/>
  <c r="K234" i="6"/>
  <c r="M220" i="6"/>
  <c r="M221" i="6" s="1"/>
  <c r="M222" i="6" s="1"/>
  <c r="M223" i="6" s="1"/>
  <c r="M224" i="6" s="1"/>
  <c r="M225" i="6" s="1"/>
  <c r="F217" i="6"/>
  <c r="E217" i="6"/>
  <c r="F216" i="6"/>
  <c r="E216" i="6"/>
  <c r="F215" i="6"/>
  <c r="E215" i="6"/>
  <c r="F214" i="6"/>
  <c r="E214" i="6"/>
  <c r="F213" i="6"/>
  <c r="E213" i="6"/>
  <c r="E212" i="6"/>
  <c r="F210" i="6"/>
  <c r="E210" i="6"/>
  <c r="F209" i="6"/>
  <c r="E209" i="6"/>
  <c r="F208" i="6"/>
  <c r="E208" i="6"/>
  <c r="F207" i="6"/>
  <c r="F206" i="6"/>
  <c r="E206" i="6"/>
  <c r="F205" i="6"/>
  <c r="E205" i="6"/>
  <c r="F204" i="6"/>
  <c r="E204" i="6"/>
  <c r="J203" i="6"/>
  <c r="K238" i="6" s="1"/>
  <c r="J239" i="6" s="1"/>
  <c r="F203" i="6"/>
  <c r="E203" i="6"/>
  <c r="L202" i="6"/>
  <c r="F202" i="6"/>
  <c r="E202" i="6"/>
  <c r="L201" i="6"/>
  <c r="F201" i="6"/>
  <c r="E201" i="6"/>
  <c r="G38" i="36"/>
  <c r="F38" i="36"/>
  <c r="E38" i="36"/>
  <c r="K35" i="36"/>
  <c r="G36" i="36"/>
  <c r="G37" i="36" s="1"/>
  <c r="F36" i="36"/>
  <c r="F37" i="36" s="1"/>
  <c r="E36" i="36"/>
  <c r="E37" i="36" s="1"/>
  <c r="G33" i="36"/>
  <c r="G40" i="36" s="1"/>
  <c r="F33" i="36"/>
  <c r="E40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  <c r="M77" i="35"/>
  <c r="M78" i="35" s="1"/>
  <c r="M79" i="35" s="1"/>
  <c r="M80" i="35" s="1"/>
  <c r="F73" i="35"/>
  <c r="E73" i="35"/>
  <c r="F72" i="35"/>
  <c r="E72" i="35"/>
  <c r="F71" i="35"/>
  <c r="E71" i="35"/>
  <c r="F70" i="35"/>
  <c r="E70" i="35"/>
  <c r="F69" i="35"/>
  <c r="E69" i="35"/>
  <c r="F68" i="35"/>
  <c r="E68" i="35"/>
  <c r="F67" i="35"/>
  <c r="E67" i="35"/>
  <c r="F66" i="35"/>
  <c r="E66" i="35"/>
  <c r="F65" i="35"/>
  <c r="E65" i="35"/>
  <c r="F64" i="35"/>
  <c r="E64" i="35"/>
  <c r="F63" i="35"/>
  <c r="E63" i="35"/>
  <c r="F62" i="35"/>
  <c r="E62" i="35"/>
  <c r="F61" i="35"/>
  <c r="E61" i="35"/>
  <c r="F60" i="35"/>
  <c r="E60" i="35"/>
  <c r="F59" i="35"/>
  <c r="E59" i="35"/>
  <c r="K95" i="35"/>
  <c r="M98" i="35" s="1"/>
  <c r="F58" i="35"/>
  <c r="E58" i="35"/>
  <c r="M24" i="35"/>
  <c r="M25" i="35" s="1"/>
  <c r="M26" i="35" s="1"/>
  <c r="M27" i="35" s="1"/>
  <c r="M28" i="35" s="1"/>
  <c r="M29" i="35" s="1"/>
  <c r="M30" i="35" s="1"/>
  <c r="M31" i="35" s="1"/>
  <c r="M32" i="35" s="1"/>
  <c r="M33" i="35" s="1"/>
  <c r="J7" i="35"/>
  <c r="L6" i="35"/>
  <c r="K47" i="35" s="1"/>
  <c r="J52" i="35" s="1"/>
  <c r="L5" i="35"/>
  <c r="G60" i="3"/>
  <c r="F43" i="36" l="1"/>
  <c r="F44" i="36"/>
  <c r="E74" i="35"/>
  <c r="J98" i="35"/>
  <c r="BJ44" i="3"/>
  <c r="BH38" i="3"/>
  <c r="BH40" i="3" s="1"/>
  <c r="BH41" i="3" s="1"/>
  <c r="BH47" i="3" s="1"/>
  <c r="BH48" i="3" s="1"/>
  <c r="BK47" i="3"/>
  <c r="BK48" i="3" s="1"/>
  <c r="BJ42" i="3"/>
  <c r="BJ40" i="3"/>
  <c r="BJ41" i="3" s="1"/>
  <c r="BI34" i="3"/>
  <c r="BI44" i="3" s="1"/>
  <c r="BI47" i="3" s="1"/>
  <c r="BI48" i="3" s="1"/>
  <c r="E44" i="36"/>
  <c r="G44" i="36"/>
  <c r="G43" i="36"/>
  <c r="D36" i="36"/>
  <c r="D37" i="36" s="1"/>
  <c r="BJ47" i="3" l="1"/>
  <c r="BJ48" i="3" s="1"/>
  <c r="K100" i="6" l="1"/>
  <c r="K138" i="6"/>
  <c r="G59" i="3" l="1"/>
  <c r="G58" i="3" l="1"/>
  <c r="G57" i="3"/>
  <c r="O53" i="3"/>
  <c r="BB40" i="3"/>
  <c r="BA40" i="3"/>
  <c r="AZ40" i="3"/>
  <c r="AY40" i="3"/>
  <c r="BD36" i="3"/>
  <c r="BB36" i="3"/>
  <c r="BB38" i="3" s="1"/>
  <c r="BB39" i="3" s="1"/>
  <c r="BA36" i="3"/>
  <c r="BA38" i="3" s="1"/>
  <c r="BA39" i="3" s="1"/>
  <c r="AZ36" i="3"/>
  <c r="AZ38" i="3" s="1"/>
  <c r="AZ39" i="3" s="1"/>
  <c r="BB34" i="3"/>
  <c r="BB42" i="3" s="1"/>
  <c r="BA34" i="3"/>
  <c r="BA42" i="3" s="1"/>
  <c r="AZ34" i="3"/>
  <c r="AZ42" i="3" s="1"/>
  <c r="BC32" i="3"/>
  <c r="AW32" i="3"/>
  <c r="AW31" i="3"/>
  <c r="AW30" i="3"/>
  <c r="AW29" i="3"/>
  <c r="AW28" i="3"/>
  <c r="AW27" i="3"/>
  <c r="AW26" i="3"/>
  <c r="AW25" i="3"/>
  <c r="AW24" i="3"/>
  <c r="AY23" i="3"/>
  <c r="AW23" i="3"/>
  <c r="AW22" i="3"/>
  <c r="AW21" i="3"/>
  <c r="AW20" i="3"/>
  <c r="AW19" i="3"/>
  <c r="AW18" i="3"/>
  <c r="AW17" i="3"/>
  <c r="AW16" i="3"/>
  <c r="AW15" i="3"/>
  <c r="AW14" i="3"/>
  <c r="AW13" i="3"/>
  <c r="AW12" i="3"/>
  <c r="AW11" i="3"/>
  <c r="AW10" i="3"/>
  <c r="AW9" i="3"/>
  <c r="AW8" i="3"/>
  <c r="AW7" i="3"/>
  <c r="AW6" i="3"/>
  <c r="AY5" i="3"/>
  <c r="AW5" i="3"/>
  <c r="AW4" i="3"/>
  <c r="AW3" i="3"/>
  <c r="Q189" i="6"/>
  <c r="K183" i="6"/>
  <c r="M169" i="6"/>
  <c r="M170" i="6" s="1"/>
  <c r="M171" i="6" s="1"/>
  <c r="M172" i="6" s="1"/>
  <c r="M173" i="6" s="1"/>
  <c r="M174" i="6" s="1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F154" i="6"/>
  <c r="F153" i="6"/>
  <c r="J152" i="6"/>
  <c r="K187" i="6" s="1"/>
  <c r="F152" i="6"/>
  <c r="L151" i="6"/>
  <c r="F151" i="6"/>
  <c r="L150" i="6"/>
  <c r="F150" i="6"/>
  <c r="J188" i="6" l="1"/>
  <c r="BA46" i="3"/>
  <c r="AZ45" i="3"/>
  <c r="BB45" i="3"/>
  <c r="BC36" i="3"/>
  <c r="AZ46" i="3"/>
  <c r="BB46" i="3"/>
  <c r="BA45" i="3"/>
  <c r="AY34" i="3"/>
  <c r="AY42" i="3" s="1"/>
  <c r="AY36" i="3"/>
  <c r="AY38" i="3" s="1"/>
  <c r="AY39" i="3" s="1"/>
  <c r="AY46" i="3" l="1"/>
  <c r="AY45" i="3" l="1"/>
  <c r="G56" i="3" l="1"/>
  <c r="F35" i="3" l="1"/>
  <c r="F42" i="3" s="1"/>
  <c r="F36" i="3"/>
  <c r="F38" i="3" s="1"/>
  <c r="F39" i="3" s="1"/>
  <c r="F40" i="3"/>
  <c r="F43" i="3" l="1"/>
  <c r="F130" i="6"/>
  <c r="F129" i="6"/>
  <c r="F128" i="6"/>
  <c r="E128" i="6"/>
  <c r="F127" i="6"/>
  <c r="E127" i="6"/>
  <c r="F126" i="6"/>
  <c r="E126" i="6"/>
  <c r="F125" i="6"/>
  <c r="E125" i="6"/>
  <c r="F124" i="6"/>
  <c r="E124" i="6"/>
  <c r="I123" i="6"/>
  <c r="F123" i="6"/>
  <c r="E123" i="6"/>
  <c r="F122" i="6"/>
  <c r="E122" i="6"/>
  <c r="M121" i="6"/>
  <c r="M122" i="6" s="1"/>
  <c r="F121" i="6"/>
  <c r="E121" i="6"/>
  <c r="F120" i="6"/>
  <c r="E120" i="6"/>
  <c r="F119" i="6"/>
  <c r="E119" i="6"/>
  <c r="J117" i="6"/>
  <c r="F117" i="6"/>
  <c r="E117" i="6"/>
  <c r="L116" i="6"/>
  <c r="F116" i="6"/>
  <c r="E116" i="6"/>
  <c r="L115" i="6"/>
  <c r="F89" i="6"/>
  <c r="F88" i="6"/>
  <c r="E88" i="6"/>
  <c r="D87" i="6"/>
  <c r="C87" i="6"/>
  <c r="F86" i="6"/>
  <c r="E86" i="6"/>
  <c r="F85" i="6"/>
  <c r="E85" i="6"/>
  <c r="F84" i="6"/>
  <c r="E84" i="6"/>
  <c r="F83" i="6"/>
  <c r="E83" i="6"/>
  <c r="F82" i="6"/>
  <c r="E82" i="6"/>
  <c r="F81" i="6"/>
  <c r="E81" i="6"/>
  <c r="D80" i="6"/>
  <c r="C80" i="6"/>
  <c r="F79" i="6"/>
  <c r="E79" i="6"/>
  <c r="F78" i="6"/>
  <c r="E78" i="6"/>
  <c r="I77" i="6"/>
  <c r="F77" i="6"/>
  <c r="E77" i="6"/>
  <c r="F76" i="6"/>
  <c r="E76" i="6"/>
  <c r="M75" i="6"/>
  <c r="M76" i="6" s="1"/>
  <c r="F75" i="6"/>
  <c r="E75" i="6"/>
  <c r="F74" i="6"/>
  <c r="E74" i="6"/>
  <c r="F73" i="6"/>
  <c r="E73" i="6"/>
  <c r="F72" i="6"/>
  <c r="E72" i="6"/>
  <c r="J71" i="6"/>
  <c r="F71" i="6"/>
  <c r="E71" i="6"/>
  <c r="L70" i="6"/>
  <c r="F70" i="6"/>
  <c r="E70" i="6"/>
  <c r="L69" i="6"/>
  <c r="E69" i="6"/>
  <c r="D69" i="6"/>
  <c r="F69" i="6" s="1"/>
  <c r="K63" i="6"/>
  <c r="K65" i="6" s="1"/>
  <c r="F54" i="6"/>
  <c r="E53" i="6"/>
  <c r="G52" i="6"/>
  <c r="C52" i="6"/>
  <c r="J51" i="6"/>
  <c r="E51" i="6"/>
  <c r="F50" i="6"/>
  <c r="E50" i="6"/>
  <c r="F49" i="6"/>
  <c r="E49" i="6"/>
  <c r="F48" i="6"/>
  <c r="E48" i="6"/>
  <c r="I47" i="6"/>
  <c r="F47" i="6"/>
  <c r="E47" i="6"/>
  <c r="Q46" i="6"/>
  <c r="P46" i="6"/>
  <c r="F46" i="6"/>
  <c r="E46" i="6"/>
  <c r="M45" i="6"/>
  <c r="M46" i="6" s="1"/>
  <c r="F45" i="6"/>
  <c r="E45" i="6"/>
  <c r="F44" i="6"/>
  <c r="E44" i="6"/>
  <c r="E43" i="6"/>
  <c r="F42" i="6"/>
  <c r="E42" i="6"/>
  <c r="J41" i="6"/>
  <c r="F41" i="6"/>
  <c r="E41" i="6"/>
  <c r="L40" i="6"/>
  <c r="F40" i="6"/>
  <c r="E40" i="6"/>
  <c r="L39" i="6"/>
  <c r="E39" i="6"/>
  <c r="AT46" i="3"/>
  <c r="AS46" i="3"/>
  <c r="AU42" i="3"/>
  <c r="AU40" i="3"/>
  <c r="AT40" i="3"/>
  <c r="AS40" i="3"/>
  <c r="AU36" i="3"/>
  <c r="AU38" i="3" s="1"/>
  <c r="AU39" i="3" s="1"/>
  <c r="AT36" i="3"/>
  <c r="AT38" i="3" s="1"/>
  <c r="AT39" i="3" s="1"/>
  <c r="AT34" i="3"/>
  <c r="AT42" i="3" s="1"/>
  <c r="AS22" i="3"/>
  <c r="AS36" i="3" s="1"/>
  <c r="AS38" i="3" s="1"/>
  <c r="AS39" i="3" s="1"/>
  <c r="AQ4" i="3"/>
  <c r="AQ3" i="3"/>
  <c r="AM44" i="3"/>
  <c r="AL42" i="3"/>
  <c r="AN40" i="3"/>
  <c r="AM40" i="3"/>
  <c r="AL37" i="3"/>
  <c r="AL40" i="3" s="1"/>
  <c r="AN36" i="3"/>
  <c r="AN38" i="3" s="1"/>
  <c r="AN39" i="3" s="1"/>
  <c r="AN34" i="3"/>
  <c r="AN42" i="3" s="1"/>
  <c r="AM32" i="3"/>
  <c r="AM34" i="3" s="1"/>
  <c r="AM42" i="3" s="1"/>
  <c r="AL30" i="3"/>
  <c r="AL26" i="3"/>
  <c r="AP18" i="3"/>
  <c r="AP17" i="3"/>
  <c r="AJ4" i="3"/>
  <c r="AJ3" i="3"/>
  <c r="AI36" i="3"/>
  <c r="AF43" i="3"/>
  <c r="AH40" i="3"/>
  <c r="AG40" i="3"/>
  <c r="AF40" i="3"/>
  <c r="AE40" i="3"/>
  <c r="AH36" i="3"/>
  <c r="AH38" i="3" s="1"/>
  <c r="AH39" i="3" s="1"/>
  <c r="AG36" i="3"/>
  <c r="AG38" i="3" s="1"/>
  <c r="AG39" i="3" s="1"/>
  <c r="AF36" i="3"/>
  <c r="AF38" i="3" s="1"/>
  <c r="AF39" i="3" s="1"/>
  <c r="AE36" i="3"/>
  <c r="AE38" i="3" s="1"/>
  <c r="AE39" i="3" s="1"/>
  <c r="AH35" i="3"/>
  <c r="AH42" i="3" s="1"/>
  <c r="AG35" i="3"/>
  <c r="AG42" i="3" s="1"/>
  <c r="AF35" i="3"/>
  <c r="AF42" i="3" s="1"/>
  <c r="AE35" i="3"/>
  <c r="AE42" i="3" s="1"/>
  <c r="AI34" i="3"/>
  <c r="AC5" i="3"/>
  <c r="AC4" i="3"/>
  <c r="AU45" i="3" l="1"/>
  <c r="AN45" i="3"/>
  <c r="AG45" i="3"/>
  <c r="AL36" i="3"/>
  <c r="AL38" i="3" s="1"/>
  <c r="AL39" i="3" s="1"/>
  <c r="AP19" i="3"/>
  <c r="M47" i="6"/>
  <c r="M123" i="6"/>
  <c r="M124" i="6" s="1"/>
  <c r="M125" i="6" s="1"/>
  <c r="M77" i="6"/>
  <c r="M78" i="6" s="1"/>
  <c r="F80" i="6"/>
  <c r="F87" i="6"/>
  <c r="E80" i="6"/>
  <c r="E87" i="6"/>
  <c r="AQ5" i="3"/>
  <c r="AT45" i="3"/>
  <c r="AV36" i="3"/>
  <c r="AS34" i="3"/>
  <c r="AS42" i="3" s="1"/>
  <c r="AS45" i="3" s="1"/>
  <c r="AM36" i="3"/>
  <c r="AM38" i="3" s="1"/>
  <c r="AM39" i="3" s="1"/>
  <c r="AM45" i="3" s="1"/>
  <c r="AO36" i="3"/>
  <c r="AF45" i="3"/>
  <c r="AF46" i="3" s="1"/>
  <c r="AG44" i="3"/>
  <c r="AH45" i="3"/>
  <c r="AE45" i="3"/>
  <c r="AE46" i="3" s="1"/>
  <c r="AL45" i="3" l="1"/>
  <c r="AQ6" i="3"/>
  <c r="AJ5" i="3"/>
  <c r="AC6" i="3"/>
  <c r="AQ7" i="3" l="1"/>
  <c r="AJ6" i="3"/>
  <c r="AC7" i="3"/>
  <c r="AQ8" i="3" l="1"/>
  <c r="AJ7" i="3"/>
  <c r="AC8" i="3"/>
  <c r="AQ9" i="3" l="1"/>
  <c r="AJ8" i="3"/>
  <c r="AC9" i="3"/>
  <c r="AQ10" i="3" l="1"/>
  <c r="AJ9" i="3"/>
  <c r="AC10" i="3"/>
  <c r="AQ11" i="3" l="1"/>
  <c r="AJ10" i="3"/>
  <c r="AC11" i="3"/>
  <c r="AQ12" i="3" l="1"/>
  <c r="AJ11" i="3"/>
  <c r="AC12" i="3"/>
  <c r="AQ13" i="3" l="1"/>
  <c r="AJ12" i="3"/>
  <c r="AC13" i="3"/>
  <c r="AQ14" i="3" l="1"/>
  <c r="AJ13" i="3"/>
  <c r="AC14" i="3"/>
  <c r="H36" i="3"/>
  <c r="D36" i="3"/>
  <c r="AQ15" i="3" l="1"/>
  <c r="AJ14" i="3"/>
  <c r="AC15" i="3"/>
  <c r="AQ16" i="3" l="1"/>
  <c r="AJ15" i="3"/>
  <c r="AC16" i="3"/>
  <c r="D51" i="3"/>
  <c r="AQ17" i="3" l="1"/>
  <c r="AJ16" i="3"/>
  <c r="AC17" i="3"/>
  <c r="AQ18" i="3" l="1"/>
  <c r="AJ17" i="3"/>
  <c r="AC18" i="3"/>
  <c r="AQ19" i="3" l="1"/>
  <c r="AJ18" i="3"/>
  <c r="AC19" i="3"/>
  <c r="AQ20" i="3" l="1"/>
  <c r="AJ19" i="3"/>
  <c r="AC20" i="3"/>
  <c r="AQ21" i="3" l="1"/>
  <c r="AJ20" i="3"/>
  <c r="AC21" i="3"/>
  <c r="AQ22" i="3" l="1"/>
  <c r="AJ21" i="3"/>
  <c r="AC22" i="3"/>
  <c r="G12" i="6"/>
  <c r="AQ23" i="3" l="1"/>
  <c r="AJ22" i="3"/>
  <c r="AC23" i="3"/>
  <c r="AQ24" i="3" l="1"/>
  <c r="AJ23" i="3"/>
  <c r="AC24" i="3"/>
  <c r="AQ25" i="3" l="1"/>
  <c r="AJ24" i="3"/>
  <c r="AC25" i="3"/>
  <c r="AQ26" i="3" l="1"/>
  <c r="AJ25" i="3"/>
  <c r="AC26" i="3"/>
  <c r="AQ27" i="3" l="1"/>
  <c r="AJ26" i="3"/>
  <c r="AC27" i="3"/>
  <c r="AQ28" i="3" l="1"/>
  <c r="AJ27" i="3"/>
  <c r="AC28" i="3"/>
  <c r="AQ29" i="3" l="1"/>
  <c r="AJ28" i="3"/>
  <c r="AC29" i="3"/>
  <c r="AQ30" i="3" l="1"/>
  <c r="AJ29" i="3"/>
  <c r="AC30" i="3"/>
  <c r="AQ31" i="3" l="1"/>
  <c r="AJ30" i="3"/>
  <c r="AC31" i="3"/>
  <c r="AQ32" i="3" l="1"/>
  <c r="AQ33" i="3"/>
  <c r="AJ31" i="3"/>
  <c r="AC32" i="3"/>
  <c r="AJ33" i="3" l="1"/>
  <c r="AJ32" i="3"/>
  <c r="AC34" i="3"/>
  <c r="AC33" i="3"/>
  <c r="D40" i="3" l="1"/>
  <c r="E3" i="6" l="1"/>
  <c r="L4" i="6"/>
  <c r="L3" i="6"/>
  <c r="L5" i="6" l="1"/>
  <c r="M9" i="6" l="1"/>
  <c r="M10" i="6" s="1"/>
  <c r="I11" i="6" l="1"/>
  <c r="S43" i="3" l="1"/>
  <c r="U40" i="3"/>
  <c r="T40" i="3"/>
  <c r="S40" i="3"/>
  <c r="R40" i="3"/>
  <c r="T36" i="3"/>
  <c r="T38" i="3" s="1"/>
  <c r="T39" i="3" s="1"/>
  <c r="T35" i="3"/>
  <c r="T42" i="3" s="1"/>
  <c r="Y33" i="3"/>
  <c r="W33" i="3"/>
  <c r="S33" i="3"/>
  <c r="S21" i="3"/>
  <c r="R19" i="3"/>
  <c r="R11" i="3"/>
  <c r="U10" i="3"/>
  <c r="P5" i="3"/>
  <c r="P4" i="3"/>
  <c r="L43" i="3"/>
  <c r="N40" i="3"/>
  <c r="M40" i="3"/>
  <c r="L40" i="3"/>
  <c r="K40" i="3"/>
  <c r="N36" i="3"/>
  <c r="N38" i="3" s="1"/>
  <c r="N39" i="3" s="1"/>
  <c r="L36" i="3"/>
  <c r="L38" i="3" s="1"/>
  <c r="L39" i="3" s="1"/>
  <c r="K36" i="3"/>
  <c r="N35" i="3"/>
  <c r="N42" i="3" s="1"/>
  <c r="L35" i="3"/>
  <c r="L42" i="3" s="1"/>
  <c r="K35" i="3"/>
  <c r="K42" i="3" s="1"/>
  <c r="M13" i="3"/>
  <c r="O36" i="3" s="1"/>
  <c r="D52" i="3" s="1"/>
  <c r="I5" i="3"/>
  <c r="I4" i="3"/>
  <c r="V36" i="3" l="1"/>
  <c r="D53" i="3" s="1"/>
  <c r="S36" i="3"/>
  <c r="S38" i="3" s="1"/>
  <c r="S39" i="3" s="1"/>
  <c r="T45" i="3"/>
  <c r="T46" i="3" s="1"/>
  <c r="R36" i="3"/>
  <c r="M36" i="3"/>
  <c r="M38" i="3" s="1"/>
  <c r="M39" i="3" s="1"/>
  <c r="K38" i="3"/>
  <c r="K39" i="3" s="1"/>
  <c r="L44" i="3"/>
  <c r="L45" i="3" s="1"/>
  <c r="U36" i="3"/>
  <c r="U38" i="3" s="1"/>
  <c r="U39" i="3" s="1"/>
  <c r="U45" i="3" s="1"/>
  <c r="P6" i="3"/>
  <c r="P8" i="3"/>
  <c r="P9" i="3"/>
  <c r="P7" i="3"/>
  <c r="S35" i="3"/>
  <c r="S42" i="3" s="1"/>
  <c r="U35" i="3"/>
  <c r="R35" i="3"/>
  <c r="R42" i="3" s="1"/>
  <c r="N44" i="3"/>
  <c r="N45" i="3" s="1"/>
  <c r="I6" i="3"/>
  <c r="M35" i="3"/>
  <c r="M42" i="3" s="1"/>
  <c r="C22" i="6"/>
  <c r="E21" i="6"/>
  <c r="G4" i="6"/>
  <c r="G3" i="6"/>
  <c r="M44" i="3" l="1"/>
  <c r="M45" i="3" s="1"/>
  <c r="S46" i="3"/>
  <c r="S45" i="3" s="1"/>
  <c r="R38" i="3"/>
  <c r="R39" i="3" s="1"/>
  <c r="R45" i="3" s="1"/>
  <c r="R46" i="3" s="1"/>
  <c r="K44" i="3"/>
  <c r="K45" i="3" s="1"/>
  <c r="T44" i="3"/>
  <c r="P10" i="3"/>
  <c r="I7" i="3"/>
  <c r="R47" i="3" l="1"/>
  <c r="P11" i="3"/>
  <c r="I8" i="3"/>
  <c r="J5" i="6"/>
  <c r="P12" i="3" l="1"/>
  <c r="I9" i="3"/>
  <c r="P13" i="3" l="1"/>
  <c r="I10" i="3"/>
  <c r="P14" i="3" l="1"/>
  <c r="I11" i="3"/>
  <c r="P15" i="3" l="1"/>
  <c r="I12" i="3"/>
  <c r="F20" i="6"/>
  <c r="P16" i="6"/>
  <c r="P14" i="6"/>
  <c r="P8" i="6"/>
  <c r="P16" i="3" l="1"/>
  <c r="I13" i="3"/>
  <c r="P19" i="6"/>
  <c r="P17" i="3" l="1"/>
  <c r="I14" i="3"/>
  <c r="P18" i="3" l="1"/>
  <c r="I15" i="3"/>
  <c r="D4" i="6"/>
  <c r="K27" i="6"/>
  <c r="K29" i="6" s="1"/>
  <c r="F15" i="6"/>
  <c r="F16" i="6"/>
  <c r="F17" i="6"/>
  <c r="F18" i="6"/>
  <c r="F19" i="6"/>
  <c r="F21" i="6"/>
  <c r="F14" i="6"/>
  <c r="F12" i="6"/>
  <c r="F11" i="6"/>
  <c r="F10" i="6"/>
  <c r="F4" i="6"/>
  <c r="P19" i="3" l="1"/>
  <c r="I16" i="3"/>
  <c r="P20" i="3" l="1"/>
  <c r="I17" i="3"/>
  <c r="E13" i="6"/>
  <c r="E14" i="6"/>
  <c r="E15" i="6"/>
  <c r="E16" i="6"/>
  <c r="E17" i="6"/>
  <c r="E18" i="6"/>
  <c r="E19" i="6"/>
  <c r="E20" i="6"/>
  <c r="E4" i="6"/>
  <c r="E5" i="6"/>
  <c r="E6" i="6"/>
  <c r="E7" i="6"/>
  <c r="E8" i="6"/>
  <c r="E9" i="6"/>
  <c r="E10" i="6"/>
  <c r="E11" i="6"/>
  <c r="E12" i="6"/>
  <c r="P21" i="3" l="1"/>
  <c r="I18" i="3"/>
  <c r="P22" i="3" l="1"/>
  <c r="I19" i="3"/>
  <c r="P23" i="3" l="1"/>
  <c r="I20" i="3"/>
  <c r="F5" i="6"/>
  <c r="F6" i="6"/>
  <c r="F8" i="6"/>
  <c r="P24" i="3" l="1"/>
  <c r="I21" i="3"/>
  <c r="P25" i="3" l="1"/>
  <c r="I22" i="3"/>
  <c r="P26" i="3" l="1"/>
  <c r="I23" i="3"/>
  <c r="P27" i="3" l="1"/>
  <c r="I24" i="3"/>
  <c r="P28" i="3" l="1"/>
  <c r="I25" i="3"/>
  <c r="P29" i="3" l="1"/>
  <c r="I26" i="3"/>
  <c r="G36" i="3"/>
  <c r="G38" i="3" s="1"/>
  <c r="G39" i="3" s="1"/>
  <c r="E36" i="3"/>
  <c r="E38" i="3" s="1"/>
  <c r="G40" i="3"/>
  <c r="G35" i="3"/>
  <c r="G42" i="3" s="1"/>
  <c r="D38" i="3" l="1"/>
  <c r="D39" i="3" s="1"/>
  <c r="P30" i="3"/>
  <c r="I27" i="3"/>
  <c r="G43" i="3"/>
  <c r="E40" i="3"/>
  <c r="E35" i="3"/>
  <c r="D35" i="3"/>
  <c r="D42" i="3" s="1"/>
  <c r="D43" i="3" l="1"/>
  <c r="P31" i="3"/>
  <c r="I28" i="3"/>
  <c r="E39" i="3"/>
  <c r="E42" i="3"/>
  <c r="B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B34" i="3" s="1"/>
  <c r="E43" i="3" l="1"/>
  <c r="P32" i="3"/>
  <c r="I29" i="3"/>
  <c r="B31" i="3"/>
  <c r="B27" i="3"/>
  <c r="B23" i="3"/>
  <c r="B19" i="3"/>
  <c r="B15" i="3"/>
  <c r="B11" i="3"/>
  <c r="B7" i="3"/>
  <c r="B32" i="3"/>
  <c r="B24" i="3"/>
  <c r="B16" i="3"/>
  <c r="B8" i="3"/>
  <c r="B30" i="3"/>
  <c r="B26" i="3"/>
  <c r="B22" i="3"/>
  <c r="B18" i="3"/>
  <c r="B14" i="3"/>
  <c r="B10" i="3"/>
  <c r="B6" i="3"/>
  <c r="B28" i="3"/>
  <c r="B20" i="3"/>
  <c r="B12" i="3"/>
  <c r="B33" i="3"/>
  <c r="B29" i="3"/>
  <c r="B25" i="3"/>
  <c r="B21" i="3"/>
  <c r="B17" i="3"/>
  <c r="B13" i="3"/>
  <c r="B9" i="3"/>
  <c r="B5" i="3"/>
  <c r="P34" i="3" l="1"/>
  <c r="P33" i="3"/>
  <c r="I30" i="3"/>
  <c r="I31" i="3" l="1"/>
  <c r="I32" i="3" l="1"/>
  <c r="I33" i="3"/>
</calcChain>
</file>

<file path=xl/sharedStrings.xml><?xml version="1.0" encoding="utf-8"?>
<sst xmlns="http://schemas.openxmlformats.org/spreadsheetml/2006/main" count="4350" uniqueCount="457">
  <si>
    <t>ира</t>
  </si>
  <si>
    <t>олеся</t>
  </si>
  <si>
    <t>дата</t>
  </si>
  <si>
    <t>кол-во смен</t>
  </si>
  <si>
    <t>сумма по uds</t>
  </si>
  <si>
    <t>разница</t>
  </si>
  <si>
    <t>3%от uds</t>
  </si>
  <si>
    <t>премия</t>
  </si>
  <si>
    <t>1% от нал</t>
  </si>
  <si>
    <t>май</t>
  </si>
  <si>
    <t>№ дня</t>
  </si>
  <si>
    <t>оля</t>
  </si>
  <si>
    <t>наталья</t>
  </si>
  <si>
    <t xml:space="preserve">выручка </t>
  </si>
  <si>
    <t>оклад</t>
  </si>
  <si>
    <t>начислено</t>
  </si>
  <si>
    <t>Месяц</t>
  </si>
  <si>
    <t>Выручка</t>
  </si>
  <si>
    <t>июнь</t>
  </si>
  <si>
    <t>июль</t>
  </si>
  <si>
    <t>август</t>
  </si>
  <si>
    <t>скидка</t>
  </si>
  <si>
    <t>uds</t>
  </si>
  <si>
    <t>нал</t>
  </si>
  <si>
    <t>безнал</t>
  </si>
  <si>
    <t>скидка по UDS</t>
  </si>
  <si>
    <t xml:space="preserve">аванс </t>
  </si>
  <si>
    <t>граттол</t>
  </si>
  <si>
    <t>акт сверки</t>
  </si>
  <si>
    <t>эстель</t>
  </si>
  <si>
    <t>москва</t>
  </si>
  <si>
    <t>милан</t>
  </si>
  <si>
    <t>амирханов(эль)</t>
  </si>
  <si>
    <t xml:space="preserve">джамп </t>
  </si>
  <si>
    <t>фирма</t>
  </si>
  <si>
    <t>сумма</t>
  </si>
  <si>
    <t>статус</t>
  </si>
  <si>
    <t>на магазин</t>
  </si>
  <si>
    <t>внесено</t>
  </si>
  <si>
    <t>солигорск</t>
  </si>
  <si>
    <t>житковичи</t>
  </si>
  <si>
    <t>за июнь</t>
  </si>
  <si>
    <t>осталось</t>
  </si>
  <si>
    <t>реализация за июнь месяц</t>
  </si>
  <si>
    <t>дата внесения</t>
  </si>
  <si>
    <t>за месяц</t>
  </si>
  <si>
    <t>ирина</t>
  </si>
  <si>
    <t>обязат страх ФОНД</t>
  </si>
  <si>
    <t>аванс</t>
  </si>
  <si>
    <t>единый налог</t>
  </si>
  <si>
    <t>итог</t>
  </si>
  <si>
    <t>подох налог</t>
  </si>
  <si>
    <t>белгосстарх</t>
  </si>
  <si>
    <t>велком</t>
  </si>
  <si>
    <t>телесеть</t>
  </si>
  <si>
    <t>граттол(карта)</t>
  </si>
  <si>
    <t>+</t>
  </si>
  <si>
    <t>комиссия за аванс раб</t>
  </si>
  <si>
    <t>пришло</t>
  </si>
  <si>
    <t>доплата единого</t>
  </si>
  <si>
    <t>наличка</t>
  </si>
  <si>
    <t>реализация</t>
  </si>
  <si>
    <t>бьюти левел</t>
  </si>
  <si>
    <t>данделион</t>
  </si>
  <si>
    <t>насир</t>
  </si>
  <si>
    <t>магазин</t>
  </si>
  <si>
    <t>фрезы</t>
  </si>
  <si>
    <t>наклейки</t>
  </si>
  <si>
    <t>коммуналка</t>
  </si>
  <si>
    <t>естель</t>
  </si>
  <si>
    <t>нет наклад</t>
  </si>
  <si>
    <t>люмекс(лизап)</t>
  </si>
  <si>
    <t>-</t>
  </si>
  <si>
    <t>выручка</t>
  </si>
  <si>
    <t>1% от прод</t>
  </si>
  <si>
    <t>3% от uds</t>
  </si>
  <si>
    <t>1% от суммы</t>
  </si>
  <si>
    <t xml:space="preserve">к выдаче </t>
  </si>
  <si>
    <t>29июля: -400р</t>
  </si>
  <si>
    <t>аванс наличка</t>
  </si>
  <si>
    <t>роял</t>
  </si>
  <si>
    <t>аренда</t>
  </si>
  <si>
    <t>амирханов</t>
  </si>
  <si>
    <t>гратол</t>
  </si>
  <si>
    <t>уно</t>
  </si>
  <si>
    <t>пудра</t>
  </si>
  <si>
    <t>сильвер стар</t>
  </si>
  <si>
    <t>атис</t>
  </si>
  <si>
    <t>итал вакс</t>
  </si>
  <si>
    <t>домикс</t>
  </si>
  <si>
    <t>сделать</t>
  </si>
  <si>
    <t>оплачено</t>
  </si>
  <si>
    <t>долг насиру</t>
  </si>
  <si>
    <t>приход</t>
  </si>
  <si>
    <t>аванс карта</t>
  </si>
  <si>
    <t>итого переучет</t>
  </si>
  <si>
    <t>часы</t>
  </si>
  <si>
    <t>трио(jessNail)</t>
  </si>
  <si>
    <t>космо</t>
  </si>
  <si>
    <t>москва(старлет)</t>
  </si>
  <si>
    <t>долг</t>
  </si>
  <si>
    <t>джамп</t>
  </si>
  <si>
    <t>гратол(карта)</t>
  </si>
  <si>
    <t>реализация за июль месяц</t>
  </si>
  <si>
    <t>за июль</t>
  </si>
  <si>
    <t>эстель(ДИМА)</t>
  </si>
  <si>
    <t>бьюти левел(ДИМА)</t>
  </si>
  <si>
    <t>милан(ДИМА)</t>
  </si>
  <si>
    <t>амирхановДИМА-жтк</t>
  </si>
  <si>
    <t>люмекс(лизап)ДИМА</t>
  </si>
  <si>
    <t>30 ЧИСЛА ЗА ДИМУ ОПЛАТИТЬ</t>
  </si>
  <si>
    <t>аванс нал</t>
  </si>
  <si>
    <t>трио(jessNail)ДИМА</t>
  </si>
  <si>
    <t>ИП Галибус-могилёв</t>
  </si>
  <si>
    <t>милан(ДИМА)-жтк</t>
  </si>
  <si>
    <t>jessNail(ИП симанкова)</t>
  </si>
  <si>
    <t>ИП боровой</t>
  </si>
  <si>
    <t>химмедсинтез</t>
  </si>
  <si>
    <t>Елена салфетки</t>
  </si>
  <si>
    <t>врм-стайл</t>
  </si>
  <si>
    <t>девалтовский</t>
  </si>
  <si>
    <t>реестр</t>
  </si>
  <si>
    <t>кол-во счетов</t>
  </si>
  <si>
    <t xml:space="preserve">насир </t>
  </si>
  <si>
    <t xml:space="preserve">эстель </t>
  </si>
  <si>
    <t>Елена салфетки(белспалайн)</t>
  </si>
  <si>
    <t>ИП Галибус-могилёв(наклейки)</t>
  </si>
  <si>
    <t>с довозом</t>
  </si>
  <si>
    <t>экспобел мелочь</t>
  </si>
  <si>
    <t>оплата по банку 473,1</t>
  </si>
  <si>
    <t>ошибка в 17 позиции и  не правильная сумма в 22</t>
  </si>
  <si>
    <t>нет накладной</t>
  </si>
  <si>
    <t>маратон</t>
  </si>
  <si>
    <t>киеми</t>
  </si>
  <si>
    <t>оплата 13 сент за август месяц с олиного счета</t>
  </si>
  <si>
    <t>ОТПУСК!! выплата была 8 сентября 274 р. Добавить на следующий месяц 16 рублей по юдс за продажу не включенную в расчет 8 сентября</t>
  </si>
  <si>
    <t>реализация за август месяц</t>
  </si>
  <si>
    <t>джамп жтк</t>
  </si>
  <si>
    <t>джамп сол</t>
  </si>
  <si>
    <t>бьюти левел жтк</t>
  </si>
  <si>
    <t>10 руб/смена каждой</t>
  </si>
  <si>
    <t>26 числа оплата</t>
  </si>
  <si>
    <t>ира+наташа</t>
  </si>
  <si>
    <t>неполных смен</t>
  </si>
  <si>
    <t>олеся+наташа</t>
  </si>
  <si>
    <t>продавец вышедший на подмену получает 20р за смену, если выручка меньше 1000р, если больше идет %</t>
  </si>
  <si>
    <t>выручка мес</t>
  </si>
  <si>
    <t>неполный</t>
  </si>
  <si>
    <t>сентябрь</t>
  </si>
  <si>
    <t>натали маркет врм</t>
  </si>
  <si>
    <t>ип амирханов(эль)</t>
  </si>
  <si>
    <t>на 5 р меньше, чем в накладной, тк выше оплатили больше на 5</t>
  </si>
  <si>
    <t>неполный р/д</t>
  </si>
  <si>
    <t>полный р/д</t>
  </si>
  <si>
    <t>ИП Галибус-ЖТК</t>
  </si>
  <si>
    <t>ИП Галибус</t>
  </si>
  <si>
    <t>бьюти левел-ЖТК</t>
  </si>
  <si>
    <t xml:space="preserve"> JN(ИП симанкова)-ЖТК</t>
  </si>
  <si>
    <t>реализация за СЕНЯТБРЬ месяц</t>
  </si>
  <si>
    <t>уплата</t>
  </si>
  <si>
    <t>за сент</t>
  </si>
  <si>
    <t>за ноябрь</t>
  </si>
  <si>
    <t>октябрь</t>
  </si>
  <si>
    <t>ноябрь</t>
  </si>
  <si>
    <t>сводка выручки по месяцам</t>
  </si>
  <si>
    <t>реализация за ОКТЯБРЬ месяц</t>
  </si>
  <si>
    <t>график выручки</t>
  </si>
  <si>
    <t>график реализации</t>
  </si>
  <si>
    <t>общая</t>
  </si>
  <si>
    <t>жтк</t>
  </si>
  <si>
    <t>за окт</t>
  </si>
  <si>
    <t>за декабрь</t>
  </si>
  <si>
    <t>нет накл</t>
  </si>
  <si>
    <t>примечание</t>
  </si>
  <si>
    <t>аванс работникам</t>
  </si>
  <si>
    <t>белспалайн</t>
  </si>
  <si>
    <t>ввозной налог</t>
  </si>
  <si>
    <t>В ТЕЧ МЕС</t>
  </si>
  <si>
    <t>Налоги и прочие расходы</t>
  </si>
  <si>
    <t>всего:</t>
  </si>
  <si>
    <t>осталось оплатить:</t>
  </si>
  <si>
    <t>ВЕЛКОМ</t>
  </si>
  <si>
    <t>15 ЧИСЛА ПО 10 Р</t>
  </si>
  <si>
    <t>лизап</t>
  </si>
  <si>
    <t>юлия</t>
  </si>
  <si>
    <t>ип лосик</t>
  </si>
  <si>
    <t>ип галибус</t>
  </si>
  <si>
    <t>симанкова</t>
  </si>
  <si>
    <t>10Р 15 Числа</t>
  </si>
  <si>
    <t>ГАЛЕРЕЯ</t>
  </si>
  <si>
    <t>ВЕСТ</t>
  </si>
  <si>
    <t>ольга</t>
  </si>
  <si>
    <t>декабрь</t>
  </si>
  <si>
    <t>оплачано</t>
  </si>
  <si>
    <t>сентбрь</t>
  </si>
  <si>
    <t>АВГУСТ</t>
  </si>
  <si>
    <t>СЕНТЯБРЬ</t>
  </si>
  <si>
    <t>ОКТЯБРЬ</t>
  </si>
  <si>
    <t>основа ТЦ ВЕСТ</t>
  </si>
  <si>
    <t>январь</t>
  </si>
  <si>
    <t>за нояб</t>
  </si>
  <si>
    <t>за январь</t>
  </si>
  <si>
    <t>реализация за НОЯБРЬ месяц "ТЦ ВЕСТ"</t>
  </si>
  <si>
    <t>ТЦ "вест"</t>
  </si>
  <si>
    <t>ТЦ "галерея"</t>
  </si>
  <si>
    <t>ИП Симанкова</t>
  </si>
  <si>
    <t>до10числа каждого</t>
  </si>
  <si>
    <t>за янв</t>
  </si>
  <si>
    <t>ВЕСТ конец ноября, декабрь</t>
  </si>
  <si>
    <t>февраль</t>
  </si>
  <si>
    <t>март</t>
  </si>
  <si>
    <t>апрель</t>
  </si>
  <si>
    <t>ООО "Люмекс"</t>
  </si>
  <si>
    <t>ООО "ВРМ-стайл</t>
  </si>
  <si>
    <t>ООО "КМИЗ-экспорт"</t>
  </si>
  <si>
    <t>ИП Казакова</t>
  </si>
  <si>
    <t>ИП Голованова</t>
  </si>
  <si>
    <t>ИП Симанкова-ЖТК</t>
  </si>
  <si>
    <t>НЕТ НАКЛАДНОЙ</t>
  </si>
  <si>
    <t>ЖТК</t>
  </si>
  <si>
    <t>реализация за НОЯБРЬ месяц</t>
  </si>
  <si>
    <t>ООО "Данделион"</t>
  </si>
  <si>
    <t>ООО "Бьюти Левел"</t>
  </si>
  <si>
    <t>скидки</t>
  </si>
  <si>
    <t>процессинговый центр</t>
  </si>
  <si>
    <t>кол-во всех смен</t>
  </si>
  <si>
    <t>5,5 часов</t>
  </si>
  <si>
    <t>9 часов</t>
  </si>
  <si>
    <t>ира+олеся</t>
  </si>
  <si>
    <t>оклад (16 полных смен*20р)</t>
  </si>
  <si>
    <r>
      <t>30 дек. 3% от выручки:</t>
    </r>
    <r>
      <rPr>
        <sz val="9"/>
        <color theme="4"/>
        <rFont val="Calibri"/>
        <family val="2"/>
        <charset val="204"/>
        <scheme val="minor"/>
      </rPr>
      <t xml:space="preserve"> </t>
    </r>
    <r>
      <rPr>
        <sz val="9"/>
        <color theme="4" tint="-0.249977111117893"/>
        <rFont val="Calibri"/>
        <family val="2"/>
        <charset val="204"/>
        <scheme val="minor"/>
      </rPr>
      <t>12,53</t>
    </r>
  </si>
  <si>
    <r>
      <t>7 дек. отработано: 5,5 часов-</t>
    </r>
    <r>
      <rPr>
        <sz val="9"/>
        <color theme="4" tint="-0.249977111117893"/>
        <rFont val="Calibri"/>
        <family val="2"/>
        <charset val="204"/>
        <scheme val="minor"/>
      </rPr>
      <t>10р.</t>
    </r>
  </si>
  <si>
    <r>
      <t>9 дек. отработано: 9 часов-</t>
    </r>
    <r>
      <rPr>
        <sz val="9"/>
        <color theme="4" tint="-0.249977111117893"/>
        <rFont val="Calibri"/>
        <family val="2"/>
        <charset val="204"/>
        <scheme val="minor"/>
      </rPr>
      <t>16,36р.</t>
    </r>
  </si>
  <si>
    <t>1% от продаж за месяц</t>
  </si>
  <si>
    <t>3% от uds за месяц</t>
  </si>
  <si>
    <t>ООО "Белспалайн"</t>
  </si>
  <si>
    <t>реализация за ДЕКАБРЬ месяц</t>
  </si>
  <si>
    <t>за февраль</t>
  </si>
  <si>
    <t>ВЕСТ январь</t>
  </si>
  <si>
    <t>Граттол</t>
  </si>
  <si>
    <t>лена-жтк</t>
  </si>
  <si>
    <t>НЕ НУЖНО</t>
  </si>
  <si>
    <t>РОЯЛ</t>
  </si>
  <si>
    <t>ИП Амирханов</t>
  </si>
  <si>
    <t xml:space="preserve">оклад </t>
  </si>
  <si>
    <t>30 янв. выплата</t>
  </si>
  <si>
    <t>реализация за ЯНВАРЬ месяц</t>
  </si>
  <si>
    <t>за март</t>
  </si>
  <si>
    <t>сент</t>
  </si>
  <si>
    <t>ВЫРУЧКА ЖТК</t>
  </si>
  <si>
    <t>ОПЛАЧЕНО</t>
  </si>
  <si>
    <t>29ЯНВАРЯ</t>
  </si>
  <si>
    <t>740.39</t>
  </si>
  <si>
    <t>ИП КАЗАКОВА( ЗИНГЕР)</t>
  </si>
  <si>
    <t>ООО "Наши волосы"</t>
  </si>
  <si>
    <t>ООО "Эстель Сервис"</t>
  </si>
  <si>
    <t>ЧП "Джамп Плюс"</t>
  </si>
  <si>
    <t>ИП Чепурко</t>
  </si>
  <si>
    <t>нет</t>
  </si>
  <si>
    <t>итого:</t>
  </si>
  <si>
    <t>реализация за ЯНВАРЬ месяц "ТЦ ВЕСТ"</t>
  </si>
  <si>
    <t>ВЕСТ февраль (ИП ЛОСИК)</t>
  </si>
  <si>
    <t>ГАЛЕРЕЯ февраль (ИП КОНОПЛЯНИК)</t>
  </si>
  <si>
    <t>ООО "Био Линия БЛР"</t>
  </si>
  <si>
    <t>НОЯБРЬ</t>
  </si>
  <si>
    <t>ГАЛЕРЕЯ март (ИП КОНОПЛЯНИК)</t>
  </si>
  <si>
    <t>ВЕСТ март (ИП ЛОСИК)</t>
  </si>
  <si>
    <t>реализация за ФЕВРАЛЬ месяц</t>
  </si>
  <si>
    <t>реализация за ФЕВРАЛЬ месяц "ТЦ ВЕСТ"</t>
  </si>
  <si>
    <t>за апрель</t>
  </si>
  <si>
    <t>перчатки</t>
  </si>
  <si>
    <t>галерея</t>
  </si>
  <si>
    <t>вест</t>
  </si>
  <si>
    <t>Химмедсинтез</t>
  </si>
  <si>
    <t>UDS</t>
  </si>
  <si>
    <t>Страховые взносы</t>
  </si>
  <si>
    <t>Бухгалтер</t>
  </si>
  <si>
    <t>долг за товар</t>
  </si>
  <si>
    <t>"БЛЭК-ЛАК"</t>
  </si>
  <si>
    <t>ВЕРНУЛИ</t>
  </si>
  <si>
    <t>ДУКАБРЬ</t>
  </si>
  <si>
    <t>ДЕКАБРЬ</t>
  </si>
  <si>
    <t>ГАЛЕРЕЯ апрель (ИП КОНОПЛЯНИК)</t>
  </si>
  <si>
    <t>ВЕСТ апрель (ИП ЛОСИК)</t>
  </si>
  <si>
    <t>СТАРЫЙ ПЕРЕУЧЕТ НА 01.04.2020</t>
  </si>
  <si>
    <t>РАЗНИЦА</t>
  </si>
  <si>
    <t>дезраствор</t>
  </si>
  <si>
    <t>дезраствор эспобел</t>
  </si>
  <si>
    <t>на 3.04</t>
  </si>
  <si>
    <t>минус закупка 150р</t>
  </si>
  <si>
    <t>итого наличных денег на 03.04.2020</t>
  </si>
  <si>
    <t>ООО"Люмекс"</t>
  </si>
  <si>
    <t>ООО"Белспалайн"</t>
  </si>
  <si>
    <t>реализация за МАРТ месяц "ТЦ ВЕСТ"</t>
  </si>
  <si>
    <t>реализация за МАРТ месяц</t>
  </si>
  <si>
    <t>за май</t>
  </si>
  <si>
    <t>СККО</t>
  </si>
  <si>
    <t>БЕЗ ОПЛАТ</t>
  </si>
  <si>
    <t>в мае заплатить</t>
  </si>
  <si>
    <t>с 1 по 12.04</t>
  </si>
  <si>
    <t>долг милан</t>
  </si>
  <si>
    <t>MILANKOCMETICS</t>
  </si>
  <si>
    <t>намири хамири</t>
  </si>
  <si>
    <t>kiemi</t>
  </si>
  <si>
    <t>аванс 120</t>
  </si>
  <si>
    <t>ЗП</t>
  </si>
  <si>
    <t>акт сверки по безнальным платежам</t>
  </si>
  <si>
    <t>Эстель</t>
  </si>
  <si>
    <t>ип чепурко</t>
  </si>
  <si>
    <t>jess nail</t>
  </si>
  <si>
    <t>реализация за АПРЕЛЬ месяц</t>
  </si>
  <si>
    <t>АПРЕЛЬ</t>
  </si>
  <si>
    <t>СИСТЕМА</t>
  </si>
  <si>
    <t>КЕЙР ПОЙНТ</t>
  </si>
  <si>
    <t>*</t>
  </si>
  <si>
    <t>ОСТАТКИ РЕАЛИЗАЦИИ</t>
  </si>
  <si>
    <t>акт сверки по НАЛИЧНЫМ платежам</t>
  </si>
  <si>
    <t>акт сверки по БЕЗНАЛЬНЫМ платежам</t>
  </si>
  <si>
    <t>зингер</t>
  </si>
  <si>
    <t>еще не пришел</t>
  </si>
  <si>
    <t>мистик</t>
  </si>
  <si>
    <t>ООО "БЕЛСЕПТ"</t>
  </si>
  <si>
    <t>469 долл за май аренда</t>
  </si>
  <si>
    <t>олесе аванс карта не давать в июне</t>
  </si>
  <si>
    <t>мария</t>
  </si>
  <si>
    <t>ИП Мороз</t>
  </si>
  <si>
    <t>переучет на 01.06</t>
  </si>
  <si>
    <t>зп</t>
  </si>
  <si>
    <t>ВЕСТ май (ИП ЛОСИК)</t>
  </si>
  <si>
    <t>ГАЛЕРЕЯ июнь (ИП КОНОПЛЯНИК)</t>
  </si>
  <si>
    <t>ГАЛЕРЕЯ май (ИП КОНОПЛЯНИК)</t>
  </si>
  <si>
    <t>реализация за МАЙ месяц</t>
  </si>
  <si>
    <t>накл у лены</t>
  </si>
  <si>
    <t>олеся 100р взяяла в июне и мария 300р взяла</t>
  </si>
  <si>
    <t>Данделион</t>
  </si>
  <si>
    <t>переплата</t>
  </si>
  <si>
    <t>скрин в вайбере и на тел по оплатам</t>
  </si>
  <si>
    <t>не нужно</t>
  </si>
  <si>
    <t>не платил</t>
  </si>
  <si>
    <t>ира на весте +370,5</t>
  </si>
  <si>
    <t>ЖИТКОВИЧИ МАЙ</t>
  </si>
  <si>
    <t xml:space="preserve">РАСХОДЫ </t>
  </si>
  <si>
    <t>Магазин</t>
  </si>
  <si>
    <t>Кейр пойнт москва</t>
  </si>
  <si>
    <t>аванс 100</t>
  </si>
  <si>
    <t>зарплаты без аванса</t>
  </si>
  <si>
    <t>ВЕСТ июнь (ИП ЛОСИК)</t>
  </si>
  <si>
    <t>ЯНВАРЬ</t>
  </si>
  <si>
    <t>ГАЛЕРЕЯ июль (ИП КОНОПЛЯНИК)</t>
  </si>
  <si>
    <t>ВЕСТ июль (ИП ЛОСИК)</t>
  </si>
  <si>
    <t>ЖИТКОВИЧИ июль</t>
  </si>
  <si>
    <t>за август</t>
  </si>
  <si>
    <t>25 РУБЛЕЙ ОКЛАД</t>
  </si>
  <si>
    <t>ООО "Бьюти левел"</t>
  </si>
  <si>
    <t>эльпаза</t>
  </si>
  <si>
    <t>старлет</t>
  </si>
  <si>
    <t>НЕТ</t>
  </si>
  <si>
    <t>за июЛь</t>
  </si>
  <si>
    <t>ЗА 2 КВАРТАЛ ПЕРЕПЛАТА 133,5. СТАВКИ ИЗМЕНИЛИСЬ ЗА 3 КВАРТАЛ И СОСТ 133,5</t>
  </si>
  <si>
    <t>ЗА ИЮЛЬ, АВГ, СЕНТ ЕДИНЫЙ НЕ ПЛАТИМ</t>
  </si>
  <si>
    <t>одноразка</t>
  </si>
  <si>
    <t xml:space="preserve">блек </t>
  </si>
  <si>
    <t xml:space="preserve">ИП Филипович </t>
  </si>
  <si>
    <t>НЕ ВЕРНОЕ ИП</t>
  </si>
  <si>
    <t>настя</t>
  </si>
  <si>
    <t>даша</t>
  </si>
  <si>
    <t>ООО "Наши Волосы"</t>
  </si>
  <si>
    <t>ООО "МиланКосметикс"</t>
  </si>
  <si>
    <t>ООО"Данделион"</t>
  </si>
  <si>
    <t>НЕТ НАКЛД</t>
  </si>
  <si>
    <t>Амирханов</t>
  </si>
  <si>
    <t>доставка</t>
  </si>
  <si>
    <t>113,36 со счета коно</t>
  </si>
  <si>
    <t>оплачено не на тот счет</t>
  </si>
  <si>
    <t>Оплачено</t>
  </si>
  <si>
    <t>АПР</t>
  </si>
  <si>
    <t>МАЙ</t>
  </si>
  <si>
    <t>ИЮН</t>
  </si>
  <si>
    <t>ИЮЛ</t>
  </si>
  <si>
    <t>АВГ</t>
  </si>
  <si>
    <t>СЕНТ</t>
  </si>
  <si>
    <t>НЕ ПЛАТИЛ</t>
  </si>
  <si>
    <t>ЗА ОКТЯБРЬ</t>
  </si>
  <si>
    <t>ЗА АВГУСТ</t>
  </si>
  <si>
    <t>ГАЛЕРЕЯ СЕНТЯБРЬ (ИП КОНОПЛЯНИК)</t>
  </si>
  <si>
    <t>ВЕСТ СЕНТЯБРЬ (ИП ЛОСИК)</t>
  </si>
  <si>
    <t>ЖИТКОВИЧИ СЕНТЯБРЬ</t>
  </si>
  <si>
    <t>НАЛ</t>
  </si>
  <si>
    <t>БЕЗНАЛ</t>
  </si>
  <si>
    <t>ОБЩЕЕ</t>
  </si>
  <si>
    <t>ДАТА</t>
  </si>
  <si>
    <t>ИТОГО</t>
  </si>
  <si>
    <t>РЕАЛЬНЫЕ СУММЫ</t>
  </si>
  <si>
    <t>ПО ЧЕКАМ(для налоговой)</t>
  </si>
  <si>
    <t>191,38 С ГАЛЕРЕИ СЧЕТА</t>
  </si>
  <si>
    <t>оплатили как разницу</t>
  </si>
  <si>
    <t>ГАЛЕРЕЯ ОКТЯБРЬ (ИП КОНОПЛЯНИК)</t>
  </si>
  <si>
    <t>ЗА ноябрь</t>
  </si>
  <si>
    <t>ЗА сент</t>
  </si>
  <si>
    <t>Люмекс</t>
  </si>
  <si>
    <t>Биолиния</t>
  </si>
  <si>
    <t>товар</t>
  </si>
  <si>
    <t>205 нал 95 на долги</t>
  </si>
  <si>
    <t>аванс карта 44</t>
  </si>
  <si>
    <t>95-44=51  51р-это пошло на долги</t>
  </si>
  <si>
    <t>долг сентября 108,82-51= 57,82</t>
  </si>
  <si>
    <t>за октябрь</t>
  </si>
  <si>
    <t>ВЕСТ октябрь (ИП ЛОСИК)</t>
  </si>
  <si>
    <t>эсткль</t>
  </si>
  <si>
    <t>ВЕСТ НОЯБРЬ (ИП ЛОСИК)</t>
  </si>
  <si>
    <t>ГАЛЕРЕЯ НОЯБРЬ (ИП КОНОПЛЯНИК)</t>
  </si>
  <si>
    <t>ГАЛЕРЕЯ декабрь (ИП КОНОПЛЯНИК)</t>
  </si>
  <si>
    <t>ВЕСТ декабрь (ИП ЛОСИК)</t>
  </si>
  <si>
    <t>За январь</t>
  </si>
  <si>
    <t>Лизап</t>
  </si>
  <si>
    <t>ЧЕПУРКО</t>
  </si>
  <si>
    <t>ДОПЛАТИТЬ</t>
  </si>
  <si>
    <t>лунинецкое ЖКХ</t>
  </si>
  <si>
    <t>БиоЛинияБЛР</t>
  </si>
  <si>
    <t>Симанкова</t>
  </si>
  <si>
    <t>к нг</t>
  </si>
  <si>
    <t>от оли</t>
  </si>
  <si>
    <t>юле 29-30 ноября досчитать</t>
  </si>
  <si>
    <t>ОЛЕСЯ НА 2 МАГАЗИНА</t>
  </si>
  <si>
    <t>ЖКХ</t>
  </si>
  <si>
    <t>]</t>
  </si>
  <si>
    <t>за ФЕВРАЛЬ</t>
  </si>
  <si>
    <t>исправить ип</t>
  </si>
  <si>
    <t>Milan</t>
  </si>
  <si>
    <t>Бьюти левел</t>
  </si>
  <si>
    <t>пропущенная</t>
  </si>
  <si>
    <t>Наши волосы</t>
  </si>
  <si>
    <t>ИП Амири Насир</t>
  </si>
  <si>
    <t>нет наклд</t>
  </si>
  <si>
    <t>Дьяковская</t>
  </si>
  <si>
    <t>ЛЮДМИЛА</t>
  </si>
  <si>
    <t>НЕ  ПЛАТИЛ</t>
  </si>
  <si>
    <t>МИЛАН</t>
  </si>
  <si>
    <t>ДАНДЕЛИОН</t>
  </si>
  <si>
    <t>СИМАНКОВА</t>
  </si>
  <si>
    <t>БЬЮТИ ЛЕВЕЛ</t>
  </si>
  <si>
    <t>налог при УСН</t>
  </si>
  <si>
    <t>переучет на 7 число</t>
  </si>
  <si>
    <t>смен</t>
  </si>
  <si>
    <t>зарплата</t>
  </si>
  <si>
    <t>месяц:</t>
  </si>
  <si>
    <t>НАСТЯ</t>
  </si>
  <si>
    <t>ЮЛЯ</t>
  </si>
  <si>
    <t>на 9.03</t>
  </si>
  <si>
    <t>ЭСТЕЛЬ</t>
  </si>
  <si>
    <t>БИОЛИНИЯ</t>
  </si>
  <si>
    <t>НЕТ НАКЛ</t>
  </si>
  <si>
    <t>ЗАПРОСИТЬ АКТ</t>
  </si>
  <si>
    <t>руб</t>
  </si>
  <si>
    <t>евро</t>
  </si>
  <si>
    <t>25 КОПЕЕК НЕ ДОПЛАЧЕНО</t>
  </si>
  <si>
    <t>ИП ГАЛИБУС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</si>
</sst>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_р_."/>
    <numFmt numFmtId="165" formatCode="#,##0.00_р_."/>
    <numFmt numFmtId="166" formatCode="0.0"/>
    <numFmt numFmtId="167" formatCode="#,##0.000_р_."/>
  </numFmts>
  <fonts count="35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2"/>
      <color rgb="FF1B1725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theme="4"/>
      <name val="Calibri"/>
      <family val="2"/>
      <charset val="204"/>
      <scheme val="minor"/>
    </font>
    <font>
      <sz val="9"/>
      <color theme="4" tint="-0.249977111117893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rgb="FF000000"/>
      <name val="Yandex-sans"/>
      <charset val="204"/>
    </font>
    <font>
      <sz val="7.5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9"/>
      <color rgb="FFC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i/>
      <sz val="48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 diagonalDown="1">
      <left style="thick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1332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6" xfId="0" applyFill="1" applyBorder="1" applyProtection="1">
      <protection hidden="1"/>
    </xf>
    <xf numFmtId="0" fontId="0" fillId="0" borderId="8" xfId="0" applyBorder="1"/>
    <xf numFmtId="2" fontId="0" fillId="0" borderId="0" xfId="0" applyNumberFormat="1"/>
    <xf numFmtId="0" fontId="0" fillId="0" borderId="0" xfId="0" applyBorder="1" applyAlignment="1" applyProtection="1">
      <protection hidden="1"/>
    </xf>
    <xf numFmtId="0" fontId="0" fillId="0" borderId="0" xfId="0" applyBorder="1" applyProtection="1">
      <protection hidden="1"/>
    </xf>
    <xf numFmtId="14" fontId="0" fillId="0" borderId="0" xfId="0" applyNumberFormat="1" applyBorder="1"/>
    <xf numFmtId="2" fontId="0" fillId="0" borderId="0" xfId="0" applyNumberFormat="1" applyBorder="1"/>
    <xf numFmtId="165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/>
    <xf numFmtId="0" fontId="4" fillId="0" borderId="0" xfId="0" applyFont="1" applyProtection="1">
      <protection hidden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  <xf numFmtId="2" fontId="4" fillId="0" borderId="1" xfId="0" applyNumberFormat="1" applyFont="1" applyBorder="1"/>
    <xf numFmtId="0" fontId="4" fillId="0" borderId="11" xfId="0" applyFont="1" applyBorder="1"/>
    <xf numFmtId="0" fontId="4" fillId="0" borderId="3" xfId="0" applyFont="1" applyBorder="1" applyAlignment="1" applyProtection="1">
      <protection hidden="1"/>
    </xf>
    <xf numFmtId="0" fontId="4" fillId="0" borderId="0" xfId="0" applyFont="1"/>
    <xf numFmtId="2" fontId="4" fillId="0" borderId="1" xfId="0" applyNumberFormat="1" applyFont="1" applyFill="1" applyBorder="1"/>
    <xf numFmtId="2" fontId="4" fillId="2" borderId="1" xfId="0" applyNumberFormat="1" applyFont="1" applyFill="1" applyBorder="1"/>
    <xf numFmtId="0" fontId="4" fillId="0" borderId="7" xfId="0" applyFont="1" applyBorder="1" applyAlignment="1">
      <alignment horizontal="center"/>
    </xf>
    <xf numFmtId="2" fontId="4" fillId="0" borderId="7" xfId="0" applyNumberFormat="1" applyFont="1" applyBorder="1"/>
    <xf numFmtId="0" fontId="4" fillId="0" borderId="7" xfId="0" applyFont="1" applyBorder="1"/>
    <xf numFmtId="1" fontId="4" fillId="0" borderId="10" xfId="0" applyNumberFormat="1" applyFont="1" applyFill="1" applyBorder="1" applyProtection="1">
      <protection hidden="1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/>
    <xf numFmtId="2" fontId="4" fillId="0" borderId="8" xfId="0" applyNumberFormat="1" applyFont="1" applyBorder="1"/>
    <xf numFmtId="2" fontId="4" fillId="0" borderId="0" xfId="0" applyNumberFormat="1" applyFont="1"/>
    <xf numFmtId="0" fontId="4" fillId="0" borderId="0" xfId="0" applyFont="1" applyBorder="1" applyAlignment="1" applyProtection="1">
      <protection hidden="1"/>
    </xf>
    <xf numFmtId="0" fontId="4" fillId="0" borderId="4" xfId="0" applyFont="1" applyBorder="1" applyAlignment="1" applyProtection="1">
      <protection hidden="1"/>
    </xf>
    <xf numFmtId="1" fontId="4" fillId="0" borderId="5" xfId="0" applyNumberFormat="1" applyFont="1" applyFill="1" applyBorder="1" applyProtection="1">
      <protection hidden="1"/>
    </xf>
    <xf numFmtId="0" fontId="0" fillId="0" borderId="0" xfId="0"/>
    <xf numFmtId="0" fontId="0" fillId="0" borderId="1" xfId="0" applyBorder="1" applyAlignment="1"/>
    <xf numFmtId="4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2" xfId="0" applyBorder="1"/>
    <xf numFmtId="0" fontId="6" fillId="0" borderId="1" xfId="0" applyFont="1" applyBorder="1"/>
    <xf numFmtId="0" fontId="6" fillId="0" borderId="11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4" fillId="0" borderId="6" xfId="0" applyFont="1" applyFill="1" applyBorder="1" applyProtection="1">
      <protection hidden="1"/>
    </xf>
    <xf numFmtId="4" fontId="5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6" fillId="0" borderId="1" xfId="0" applyNumberFormat="1" applyFont="1" applyBorder="1"/>
    <xf numFmtId="4" fontId="0" fillId="0" borderId="1" xfId="0" applyNumberFormat="1" applyBorder="1"/>
    <xf numFmtId="4" fontId="7" fillId="5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7" xfId="0" applyNumberFormat="1" applyBorder="1" applyAlignment="1">
      <alignment vertical="center"/>
    </xf>
    <xf numFmtId="0" fontId="0" fillId="0" borderId="1" xfId="0" applyFill="1" applyBorder="1"/>
    <xf numFmtId="0" fontId="0" fillId="2" borderId="11" xfId="0" applyFill="1" applyBorder="1"/>
    <xf numFmtId="0" fontId="5" fillId="2" borderId="1" xfId="0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2" fontId="4" fillId="6" borderId="10" xfId="0" applyNumberFormat="1" applyFont="1" applyFill="1" applyBorder="1" applyProtection="1">
      <protection hidden="1"/>
    </xf>
    <xf numFmtId="1" fontId="4" fillId="6" borderId="5" xfId="0" applyNumberFormat="1" applyFont="1" applyFill="1" applyBorder="1" applyProtection="1">
      <protection hidden="1"/>
    </xf>
    <xf numFmtId="14" fontId="0" fillId="6" borderId="10" xfId="0" applyNumberFormat="1" applyFont="1" applyFill="1" applyBorder="1"/>
    <xf numFmtId="0" fontId="4" fillId="0" borderId="17" xfId="0" applyFont="1" applyBorder="1" applyProtection="1">
      <protection hidden="1"/>
    </xf>
    <xf numFmtId="0" fontId="4" fillId="0" borderId="18" xfId="0" applyFont="1" applyBorder="1" applyProtection="1">
      <protection hidden="1"/>
    </xf>
    <xf numFmtId="0" fontId="4" fillId="0" borderId="19" xfId="0" applyFont="1" applyBorder="1" applyProtection="1">
      <protection hidden="1"/>
    </xf>
    <xf numFmtId="0" fontId="4" fillId="0" borderId="20" xfId="0" applyFont="1" applyBorder="1" applyProtection="1">
      <protection hidden="1"/>
    </xf>
    <xf numFmtId="2" fontId="4" fillId="0" borderId="0" xfId="0" applyNumberFormat="1" applyFont="1" applyBorder="1" applyProtection="1">
      <protection hidden="1"/>
    </xf>
    <xf numFmtId="2" fontId="4" fillId="0" borderId="21" xfId="0" applyNumberFormat="1" applyFont="1" applyBorder="1" applyProtection="1">
      <protection hidden="1"/>
    </xf>
    <xf numFmtId="2" fontId="4" fillId="0" borderId="0" xfId="0" applyNumberFormat="1" applyFont="1" applyFill="1" applyBorder="1" applyProtection="1">
      <protection hidden="1"/>
    </xf>
    <xf numFmtId="2" fontId="4" fillId="0" borderId="21" xfId="0" applyNumberFormat="1" applyFont="1" applyFill="1" applyBorder="1" applyProtection="1">
      <protection hidden="1"/>
    </xf>
    <xf numFmtId="2" fontId="4" fillId="3" borderId="0" xfId="0" applyNumberFormat="1" applyFont="1" applyFill="1" applyBorder="1" applyProtection="1">
      <protection hidden="1"/>
    </xf>
    <xf numFmtId="2" fontId="4" fillId="3" borderId="21" xfId="0" applyNumberFormat="1" applyFont="1" applyFill="1" applyBorder="1" applyProtection="1">
      <protection hidden="1"/>
    </xf>
    <xf numFmtId="0" fontId="4" fillId="0" borderId="0" xfId="0" applyFont="1" applyFill="1" applyBorder="1" applyProtection="1">
      <protection hidden="1"/>
    </xf>
    <xf numFmtId="0" fontId="4" fillId="0" borderId="21" xfId="0" applyFont="1" applyFill="1" applyBorder="1" applyProtection="1">
      <protection hidden="1"/>
    </xf>
    <xf numFmtId="14" fontId="4" fillId="0" borderId="20" xfId="0" applyNumberFormat="1" applyFont="1" applyBorder="1"/>
    <xf numFmtId="2" fontId="4" fillId="0" borderId="0" xfId="0" applyNumberFormat="1" applyFont="1" applyBorder="1"/>
    <xf numFmtId="0" fontId="4" fillId="0" borderId="21" xfId="0" applyNumberFormat="1" applyFont="1" applyBorder="1"/>
    <xf numFmtId="1" fontId="4" fillId="0" borderId="21" xfId="0" applyNumberFormat="1" applyFont="1" applyBorder="1"/>
    <xf numFmtId="14" fontId="4" fillId="0" borderId="22" xfId="0" applyNumberFormat="1" applyFont="1" applyBorder="1"/>
    <xf numFmtId="2" fontId="4" fillId="0" borderId="23" xfId="0" applyNumberFormat="1" applyFont="1" applyBorder="1"/>
    <xf numFmtId="2" fontId="4" fillId="0" borderId="24" xfId="0" applyNumberFormat="1" applyFont="1" applyBorder="1"/>
    <xf numFmtId="14" fontId="6" fillId="0" borderId="0" xfId="0" applyNumberFormat="1" applyFont="1" applyBorder="1"/>
    <xf numFmtId="0" fontId="6" fillId="0" borderId="14" xfId="0" applyFont="1" applyFill="1" applyBorder="1"/>
    <xf numFmtId="165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Border="1"/>
    <xf numFmtId="0" fontId="4" fillId="0" borderId="1" xfId="0" applyFont="1" applyBorder="1" applyProtection="1">
      <protection hidden="1"/>
    </xf>
    <xf numFmtId="0" fontId="0" fillId="0" borderId="0" xfId="0" applyFill="1"/>
    <xf numFmtId="0" fontId="4" fillId="0" borderId="1" xfId="0" applyFont="1" applyFill="1" applyBorder="1" applyProtection="1">
      <protection hidden="1"/>
    </xf>
    <xf numFmtId="2" fontId="4" fillId="0" borderId="1" xfId="0" applyNumberFormat="1" applyFont="1" applyFill="1" applyBorder="1" applyProtection="1">
      <protection hidden="1"/>
    </xf>
    <xf numFmtId="2" fontId="4" fillId="3" borderId="1" xfId="0" applyNumberFormat="1" applyFont="1" applyFill="1" applyBorder="1" applyProtection="1">
      <protection hidden="1"/>
    </xf>
    <xf numFmtId="0" fontId="0" fillId="0" borderId="1" xfId="0" applyBorder="1"/>
    <xf numFmtId="0" fontId="0" fillId="0" borderId="11" xfId="0" applyBorder="1"/>
    <xf numFmtId="0" fontId="0" fillId="2" borderId="0" xfId="0" applyFill="1" applyBorder="1"/>
    <xf numFmtId="4" fontId="0" fillId="0" borderId="1" xfId="0" applyNumberFormat="1" applyFill="1" applyBorder="1"/>
    <xf numFmtId="165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6" fontId="0" fillId="0" borderId="9" xfId="0" applyNumberFormat="1" applyBorder="1"/>
    <xf numFmtId="0" fontId="0" fillId="0" borderId="26" xfId="0" applyBorder="1"/>
    <xf numFmtId="14" fontId="0" fillId="0" borderId="26" xfId="0" applyNumberFormat="1" applyBorder="1"/>
    <xf numFmtId="4" fontId="0" fillId="0" borderId="16" xfId="0" applyNumberFormat="1" applyBorder="1"/>
    <xf numFmtId="0" fontId="0" fillId="0" borderId="16" xfId="0" applyBorder="1" applyAlignment="1">
      <alignment horizontal="left"/>
    </xf>
    <xf numFmtId="165" fontId="3" fillId="0" borderId="26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7" xfId="0" applyFont="1" applyBorder="1"/>
    <xf numFmtId="0" fontId="4" fillId="0" borderId="0" xfId="0" applyFont="1" applyBorder="1" applyProtection="1">
      <protection hidden="1"/>
    </xf>
    <xf numFmtId="0" fontId="4" fillId="0" borderId="27" xfId="0" applyFont="1" applyBorder="1" applyAlignment="1">
      <alignment horizontal="center"/>
    </xf>
    <xf numFmtId="14" fontId="4" fillId="0" borderId="0" xfId="0" applyNumberFormat="1" applyFont="1" applyBorder="1"/>
    <xf numFmtId="0" fontId="4" fillId="0" borderId="0" xfId="0" applyFont="1" applyBorder="1"/>
    <xf numFmtId="0" fontId="4" fillId="0" borderId="28" xfId="0" applyFont="1" applyBorder="1" applyAlignment="1">
      <alignment horizontal="center"/>
    </xf>
    <xf numFmtId="0" fontId="4" fillId="0" borderId="20" xfId="0" applyFont="1" applyBorder="1"/>
    <xf numFmtId="0" fontId="4" fillId="0" borderId="29" xfId="0" applyFont="1" applyBorder="1" applyProtection="1">
      <protection hidden="1"/>
    </xf>
    <xf numFmtId="0" fontId="0" fillId="0" borderId="29" xfId="0" applyBorder="1"/>
    <xf numFmtId="0" fontId="4" fillId="3" borderId="0" xfId="0" applyFont="1" applyFill="1" applyBorder="1" applyProtection="1">
      <protection hidden="1"/>
    </xf>
    <xf numFmtId="2" fontId="0" fillId="0" borderId="29" xfId="0" applyNumberFormat="1" applyBorder="1"/>
    <xf numFmtId="2" fontId="4" fillId="0" borderId="20" xfId="0" applyNumberFormat="1" applyFont="1" applyBorder="1"/>
    <xf numFmtId="0" fontId="4" fillId="0" borderId="20" xfId="0" applyFont="1" applyBorder="1" applyAlignment="1" applyProtection="1">
      <protection hidden="1"/>
    </xf>
    <xf numFmtId="14" fontId="8" fillId="0" borderId="20" xfId="0" applyNumberFormat="1" applyFont="1" applyBorder="1"/>
    <xf numFmtId="0" fontId="8" fillId="0" borderId="0" xfId="0" applyNumberFormat="1" applyFont="1" applyBorder="1"/>
    <xf numFmtId="0" fontId="0" fillId="0" borderId="0" xfId="0" applyNumberFormat="1" applyBorder="1"/>
    <xf numFmtId="0" fontId="6" fillId="0" borderId="0" xfId="0" applyFont="1" applyFill="1" applyBorder="1"/>
    <xf numFmtId="0" fontId="0" fillId="0" borderId="22" xfId="0" applyBorder="1"/>
    <xf numFmtId="0" fontId="0" fillId="0" borderId="23" xfId="0" applyBorder="1"/>
    <xf numFmtId="14" fontId="0" fillId="0" borderId="23" xfId="0" applyNumberFormat="1" applyBorder="1"/>
    <xf numFmtId="0" fontId="0" fillId="0" borderId="24" xfId="0" applyBorder="1"/>
    <xf numFmtId="0" fontId="4" fillId="0" borderId="21" xfId="0" applyFont="1" applyBorder="1" applyProtection="1">
      <protection hidden="1"/>
    </xf>
    <xf numFmtId="14" fontId="4" fillId="0" borderId="21" xfId="0" applyNumberFormat="1" applyFont="1" applyBorder="1"/>
    <xf numFmtId="0" fontId="4" fillId="0" borderId="30" xfId="0" applyFont="1" applyBorder="1" applyAlignment="1" applyProtection="1">
      <protection hidden="1"/>
    </xf>
    <xf numFmtId="0" fontId="4" fillId="0" borderId="21" xfId="0" applyFont="1" applyBorder="1"/>
    <xf numFmtId="2" fontId="0" fillId="0" borderId="0" xfId="0" applyNumberFormat="1" applyBorder="1" applyProtection="1">
      <protection hidden="1"/>
    </xf>
    <xf numFmtId="2" fontId="0" fillId="0" borderId="21" xfId="0" applyNumberFormat="1" applyBorder="1"/>
    <xf numFmtId="2" fontId="0" fillId="0" borderId="0" xfId="0" applyNumberFormat="1" applyFill="1" applyBorder="1" applyProtection="1">
      <protection hidden="1"/>
    </xf>
    <xf numFmtId="0" fontId="0" fillId="3" borderId="0" xfId="0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4" fillId="0" borderId="0" xfId="0" applyNumberFormat="1" applyFont="1" applyBorder="1"/>
    <xf numFmtId="1" fontId="4" fillId="0" borderId="0" xfId="0" applyNumberFormat="1" applyFont="1" applyFill="1" applyBorder="1" applyProtection="1">
      <protection hidden="1"/>
    </xf>
    <xf numFmtId="14" fontId="0" fillId="0" borderId="0" xfId="0" applyNumberFormat="1" applyFill="1" applyBorder="1"/>
    <xf numFmtId="2" fontId="0" fillId="0" borderId="0" xfId="0" applyNumberFormat="1" applyFill="1" applyBorder="1"/>
    <xf numFmtId="0" fontId="6" fillId="0" borderId="1" xfId="0" applyFont="1" applyFill="1" applyBorder="1"/>
    <xf numFmtId="2" fontId="0" fillId="0" borderId="20" xfId="0" applyNumberFormat="1" applyBorder="1"/>
    <xf numFmtId="0" fontId="6" fillId="0" borderId="31" xfId="0" applyFont="1" applyBorder="1"/>
    <xf numFmtId="4" fontId="7" fillId="5" borderId="7" xfId="0" applyNumberFormat="1" applyFont="1" applyFill="1" applyBorder="1" applyAlignment="1">
      <alignment horizontal="center" vertical="center" wrapText="1"/>
    </xf>
    <xf numFmtId="4" fontId="0" fillId="0" borderId="0" xfId="0" applyNumberFormat="1" applyBorder="1"/>
    <xf numFmtId="16" fontId="0" fillId="0" borderId="1" xfId="0" applyNumberFormat="1" applyBorder="1"/>
    <xf numFmtId="4" fontId="6" fillId="0" borderId="11" xfId="0" applyNumberFormat="1" applyFont="1" applyBorder="1"/>
    <xf numFmtId="0" fontId="0" fillId="0" borderId="9" xfId="0" applyFill="1" applyBorder="1"/>
    <xf numFmtId="14" fontId="0" fillId="0" borderId="9" xfId="0" applyNumberFormat="1" applyBorder="1" applyAlignment="1">
      <alignment vertical="center"/>
    </xf>
    <xf numFmtId="14" fontId="0" fillId="0" borderId="29" xfId="0" applyNumberFormat="1" applyBorder="1"/>
    <xf numFmtId="4" fontId="0" fillId="0" borderId="21" xfId="0" applyNumberFormat="1" applyBorder="1"/>
    <xf numFmtId="0" fontId="6" fillId="0" borderId="0" xfId="0" applyFont="1" applyBorder="1"/>
    <xf numFmtId="4" fontId="6" fillId="0" borderId="13" xfId="0" applyNumberFormat="1" applyFont="1" applyBorder="1"/>
    <xf numFmtId="4" fontId="3" fillId="5" borderId="7" xfId="0" applyNumberFormat="1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Border="1"/>
    <xf numFmtId="0" fontId="0" fillId="0" borderId="11" xfId="0" applyFont="1" applyBorder="1"/>
    <xf numFmtId="2" fontId="0" fillId="0" borderId="1" xfId="0" applyNumberFormat="1" applyFont="1" applyFill="1" applyBorder="1"/>
    <xf numFmtId="0" fontId="6" fillId="0" borderId="11" xfId="0" applyFont="1" applyBorder="1"/>
    <xf numFmtId="0" fontId="0" fillId="0" borderId="35" xfId="0" applyFill="1" applyBorder="1"/>
    <xf numFmtId="0" fontId="0" fillId="6" borderId="1" xfId="0" applyFont="1" applyFill="1" applyBorder="1"/>
    <xf numFmtId="2" fontId="0" fillId="0" borderId="0" xfId="0" applyNumberFormat="1" applyFill="1"/>
    <xf numFmtId="14" fontId="0" fillId="0" borderId="0" xfId="0" applyNumberFormat="1" applyFont="1" applyFill="1"/>
    <xf numFmtId="1" fontId="0" fillId="0" borderId="0" xfId="0" applyNumberFormat="1" applyBorder="1"/>
    <xf numFmtId="0" fontId="0" fillId="7" borderId="11" xfId="0" applyFont="1" applyFill="1" applyBorder="1"/>
    <xf numFmtId="0" fontId="0" fillId="7" borderId="1" xfId="0" applyFill="1" applyBorder="1"/>
    <xf numFmtId="0" fontId="4" fillId="0" borderId="36" xfId="0" applyFont="1" applyBorder="1" applyProtection="1">
      <protection hidden="1"/>
    </xf>
    <xf numFmtId="0" fontId="4" fillId="0" borderId="3" xfId="0" applyFont="1" applyBorder="1" applyProtection="1">
      <protection hidden="1"/>
    </xf>
    <xf numFmtId="2" fontId="4" fillId="0" borderId="35" xfId="0" applyNumberFormat="1" applyFont="1" applyBorder="1" applyProtection="1">
      <protection hidden="1"/>
    </xf>
    <xf numFmtId="2" fontId="4" fillId="0" borderId="35" xfId="0" applyNumberFormat="1" applyFont="1" applyFill="1" applyBorder="1" applyProtection="1">
      <protection hidden="1"/>
    </xf>
    <xf numFmtId="0" fontId="4" fillId="3" borderId="35" xfId="0" applyFont="1" applyFill="1" applyBorder="1" applyProtection="1">
      <protection hidden="1"/>
    </xf>
    <xf numFmtId="0" fontId="4" fillId="0" borderId="35" xfId="0" applyFont="1" applyFill="1" applyBorder="1" applyProtection="1">
      <protection hidden="1"/>
    </xf>
    <xf numFmtId="2" fontId="4" fillId="0" borderId="38" xfId="0" applyNumberFormat="1" applyFont="1" applyBorder="1" applyAlignment="1"/>
    <xf numFmtId="14" fontId="0" fillId="6" borderId="39" xfId="0" applyNumberFormat="1" applyFont="1" applyFill="1" applyBorder="1"/>
    <xf numFmtId="14" fontId="4" fillId="0" borderId="41" xfId="0" applyNumberFormat="1" applyFont="1" applyBorder="1"/>
    <xf numFmtId="1" fontId="4" fillId="0" borderId="13" xfId="0" applyNumberFormat="1" applyFont="1" applyBorder="1"/>
    <xf numFmtId="2" fontId="4" fillId="0" borderId="42" xfId="0" applyNumberFormat="1" applyFont="1" applyBorder="1"/>
    <xf numFmtId="2" fontId="4" fillId="0" borderId="13" xfId="0" applyNumberFormat="1" applyFont="1" applyBorder="1"/>
    <xf numFmtId="2" fontId="4" fillId="0" borderId="32" xfId="0" applyNumberFormat="1" applyFont="1" applyBorder="1"/>
    <xf numFmtId="1" fontId="4" fillId="6" borderId="40" xfId="0" applyNumberFormat="1" applyFont="1" applyFill="1" applyBorder="1" applyProtection="1">
      <protection hidden="1"/>
    </xf>
    <xf numFmtId="2" fontId="4" fillId="3" borderId="35" xfId="0" applyNumberFormat="1" applyFont="1" applyFill="1" applyBorder="1" applyProtection="1">
      <protection hidden="1"/>
    </xf>
    <xf numFmtId="0" fontId="6" fillId="7" borderId="11" xfId="0" applyFont="1" applyFill="1" applyBorder="1"/>
    <xf numFmtId="0" fontId="0" fillId="0" borderId="0" xfId="0" applyNumberFormat="1"/>
    <xf numFmtId="166" fontId="4" fillId="0" borderId="0" xfId="0" applyNumberFormat="1" applyFont="1" applyBorder="1"/>
    <xf numFmtId="166" fontId="4" fillId="0" borderId="23" xfId="0" applyNumberFormat="1" applyFont="1" applyBorder="1" applyAlignment="1">
      <alignment wrapText="1"/>
    </xf>
    <xf numFmtId="14" fontId="4" fillId="0" borderId="3" xfId="0" applyNumberFormat="1" applyFont="1" applyBorder="1" applyAlignment="1">
      <alignment horizontal="left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7" xfId="0" applyFont="1" applyFill="1" applyBorder="1"/>
    <xf numFmtId="0" fontId="0" fillId="6" borderId="7" xfId="0" applyFont="1" applyFill="1" applyBorder="1"/>
    <xf numFmtId="0" fontId="0" fillId="0" borderId="31" xfId="0" applyFont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8" xfId="0" applyFont="1" applyFill="1" applyBorder="1"/>
    <xf numFmtId="4" fontId="0" fillId="0" borderId="8" xfId="0" applyNumberFormat="1" applyFont="1" applyFill="1" applyBorder="1"/>
    <xf numFmtId="14" fontId="0" fillId="0" borderId="37" xfId="0" applyNumberFormat="1" applyBorder="1" applyAlignment="1">
      <alignment vertical="center"/>
    </xf>
    <xf numFmtId="0" fontId="0" fillId="0" borderId="1" xfId="0" applyFont="1" applyFill="1" applyBorder="1" applyAlignment="1">
      <alignment wrapText="1"/>
    </xf>
    <xf numFmtId="14" fontId="0" fillId="0" borderId="9" xfId="0" applyNumberFormat="1" applyFill="1" applyBorder="1" applyAlignment="1">
      <alignment vertical="center"/>
    </xf>
    <xf numFmtId="1" fontId="4" fillId="6" borderId="10" xfId="0" applyNumberFormat="1" applyFont="1" applyFill="1" applyBorder="1" applyProtection="1">
      <protection hidden="1"/>
    </xf>
    <xf numFmtId="1" fontId="0" fillId="0" borderId="0" xfId="0" applyNumberFormat="1"/>
    <xf numFmtId="0" fontId="0" fillId="2" borderId="43" xfId="0" applyFill="1" applyBorder="1"/>
    <xf numFmtId="4" fontId="0" fillId="2" borderId="44" xfId="0" applyNumberFormat="1" applyFill="1" applyBorder="1"/>
    <xf numFmtId="0" fontId="0" fillId="2" borderId="20" xfId="0" applyFill="1" applyBorder="1"/>
    <xf numFmtId="0" fontId="0" fillId="0" borderId="0" xfId="0" applyBorder="1" applyAlignment="1">
      <alignment horizontal="left"/>
    </xf>
    <xf numFmtId="0" fontId="0" fillId="6" borderId="7" xfId="0" applyFill="1" applyBorder="1"/>
    <xf numFmtId="0" fontId="0" fillId="0" borderId="8" xfId="0" applyFill="1" applyBorder="1"/>
    <xf numFmtId="4" fontId="6" fillId="6" borderId="1" xfId="0" applyNumberFormat="1" applyFont="1" applyFill="1" applyBorder="1"/>
    <xf numFmtId="4" fontId="7" fillId="6" borderId="7" xfId="0" applyNumberFormat="1" applyFont="1" applyFill="1" applyBorder="1" applyAlignment="1">
      <alignment horizontal="center" vertical="center" wrapText="1"/>
    </xf>
    <xf numFmtId="4" fontId="0" fillId="0" borderId="8" xfId="0" applyNumberFormat="1" applyFill="1" applyBorder="1"/>
    <xf numFmtId="0" fontId="0" fillId="0" borderId="8" xfId="0" applyFont="1" applyBorder="1"/>
    <xf numFmtId="4" fontId="0" fillId="0" borderId="8" xfId="0" applyNumberFormat="1" applyFont="1" applyBorder="1"/>
    <xf numFmtId="4" fontId="0" fillId="0" borderId="1" xfId="0" applyNumberFormat="1" applyFill="1" applyBorder="1" applyAlignment="1"/>
    <xf numFmtId="4" fontId="0" fillId="9" borderId="1" xfId="0" applyNumberFormat="1" applyFill="1" applyBorder="1" applyAlignment="1"/>
    <xf numFmtId="0" fontId="0" fillId="9" borderId="1" xfId="0" applyFill="1" applyBorder="1"/>
    <xf numFmtId="4" fontId="0" fillId="9" borderId="1" xfId="0" applyNumberForma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1" xfId="0" applyFont="1" applyFill="1" applyBorder="1"/>
    <xf numFmtId="2" fontId="4" fillId="0" borderId="7" xfId="0" applyNumberFormat="1" applyFont="1" applyFill="1" applyBorder="1"/>
    <xf numFmtId="0" fontId="4" fillId="0" borderId="7" xfId="0" applyFont="1" applyFill="1" applyBorder="1"/>
    <xf numFmtId="4" fontId="0" fillId="0" borderId="0" xfId="0" applyNumberFormat="1" applyFont="1" applyBorder="1"/>
    <xf numFmtId="2" fontId="4" fillId="0" borderId="21" xfId="0" applyNumberFormat="1" applyFont="1" applyBorder="1"/>
    <xf numFmtId="2" fontId="0" fillId="0" borderId="0" xfId="0" applyNumberFormat="1" applyFont="1" applyFill="1" applyBorder="1"/>
    <xf numFmtId="0" fontId="4" fillId="2" borderId="1" xfId="0" applyFont="1" applyFill="1" applyBorder="1"/>
    <xf numFmtId="0" fontId="0" fillId="0" borderId="0" xfId="0" applyBorder="1" applyAlignment="1"/>
    <xf numFmtId="4" fontId="0" fillId="0" borderId="1" xfId="0" applyNumberFormat="1" applyFont="1" applyFill="1" applyBorder="1"/>
    <xf numFmtId="2" fontId="4" fillId="0" borderId="0" xfId="0" applyNumberFormat="1" applyFont="1" applyFill="1" applyBorder="1" applyAlignment="1">
      <alignment wrapText="1"/>
    </xf>
    <xf numFmtId="2" fontId="4" fillId="0" borderId="1" xfId="0" applyNumberFormat="1" applyFont="1" applyFill="1" applyBorder="1" applyAlignment="1">
      <alignment wrapText="1"/>
    </xf>
    <xf numFmtId="2" fontId="4" fillId="0" borderId="1" xfId="0" applyNumberFormat="1" applyFont="1" applyBorder="1" applyProtection="1">
      <protection hidden="1"/>
    </xf>
    <xf numFmtId="14" fontId="4" fillId="0" borderId="1" xfId="0" applyNumberFormat="1" applyFont="1" applyBorder="1" applyAlignment="1">
      <alignment horizontal="left"/>
    </xf>
    <xf numFmtId="166" fontId="4" fillId="0" borderId="1" xfId="0" applyNumberFormat="1" applyFont="1" applyBorder="1"/>
    <xf numFmtId="0" fontId="4" fillId="0" borderId="1" xfId="0" applyNumberFormat="1" applyFont="1" applyBorder="1"/>
    <xf numFmtId="2" fontId="4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4" fontId="0" fillId="6" borderId="1" xfId="0" applyNumberFormat="1" applyFont="1" applyFill="1" applyBorder="1"/>
    <xf numFmtId="1" fontId="4" fillId="6" borderId="1" xfId="0" applyNumberFormat="1" applyFont="1" applyFill="1" applyBorder="1" applyProtection="1">
      <protection hidden="1"/>
    </xf>
    <xf numFmtId="2" fontId="4" fillId="0" borderId="45" xfId="0" applyNumberFormat="1" applyFont="1" applyFill="1" applyBorder="1" applyAlignment="1">
      <alignment wrapText="1"/>
    </xf>
    <xf numFmtId="0" fontId="4" fillId="0" borderId="2" xfId="0" applyFont="1" applyBorder="1" applyProtection="1">
      <protection hidden="1"/>
    </xf>
    <xf numFmtId="2" fontId="4" fillId="0" borderId="45" xfId="0" applyNumberFormat="1" applyFont="1" applyFill="1" applyBorder="1"/>
    <xf numFmtId="0" fontId="4" fillId="0" borderId="45" xfId="0" applyFont="1" applyFill="1" applyBorder="1"/>
    <xf numFmtId="0" fontId="4" fillId="0" borderId="11" xfId="0" applyFont="1" applyBorder="1" applyProtection="1">
      <protection hidden="1"/>
    </xf>
    <xf numFmtId="2" fontId="4" fillId="0" borderId="11" xfId="0" applyNumberFormat="1" applyFont="1" applyBorder="1" applyProtection="1">
      <protection hidden="1"/>
    </xf>
    <xf numFmtId="0" fontId="0" fillId="0" borderId="43" xfId="0" applyBorder="1"/>
    <xf numFmtId="2" fontId="0" fillId="0" borderId="44" xfId="0" applyNumberFormat="1" applyBorder="1"/>
    <xf numFmtId="0" fontId="10" fillId="0" borderId="1" xfId="0" applyFont="1" applyBorder="1"/>
    <xf numFmtId="4" fontId="0" fillId="0" borderId="1" xfId="0" applyNumberFormat="1" applyFont="1" applyBorder="1"/>
    <xf numFmtId="0" fontId="3" fillId="0" borderId="9" xfId="0" applyFont="1" applyFill="1" applyBorder="1" applyAlignment="1"/>
    <xf numFmtId="165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/>
    <xf numFmtId="165" fontId="3" fillId="0" borderId="1" xfId="0" applyNumberFormat="1" applyFont="1" applyFill="1" applyBorder="1" applyAlignment="1">
      <alignment vertical="center" wrapText="1"/>
    </xf>
    <xf numFmtId="2" fontId="3" fillId="0" borderId="1" xfId="0" applyNumberFormat="1" applyFont="1" applyBorder="1" applyAlignment="1"/>
    <xf numFmtId="4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2" xfId="0" applyFont="1" applyFill="1" applyBorder="1" applyAlignment="1">
      <alignment wrapText="1"/>
    </xf>
    <xf numFmtId="4" fontId="0" fillId="0" borderId="2" xfId="0" applyNumberFormat="1" applyFill="1" applyBorder="1" applyAlignment="1"/>
    <xf numFmtId="4" fontId="0" fillId="9" borderId="2" xfId="0" applyNumberFormat="1" applyFill="1" applyBorder="1" applyAlignment="1"/>
    <xf numFmtId="14" fontId="0" fillId="0" borderId="0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4" fontId="0" fillId="2" borderId="1" xfId="0" applyNumberFormat="1" applyFill="1" applyBorder="1"/>
    <xf numFmtId="4" fontId="3" fillId="2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wrapText="1"/>
    </xf>
    <xf numFmtId="0" fontId="0" fillId="10" borderId="1" xfId="0" applyFont="1" applyFill="1" applyBorder="1"/>
    <xf numFmtId="0" fontId="0" fillId="0" borderId="1" xfId="0" applyBorder="1" applyAlignment="1">
      <alignment horizontal="center" wrapText="1"/>
    </xf>
    <xf numFmtId="16" fontId="0" fillId="0" borderId="0" xfId="0" applyNumberFormat="1" applyBorder="1"/>
    <xf numFmtId="2" fontId="6" fillId="0" borderId="0" xfId="0" applyNumberFormat="1" applyFont="1" applyFill="1" applyBorder="1"/>
    <xf numFmtId="4" fontId="0" fillId="0" borderId="0" xfId="0" applyNumberFormat="1" applyFont="1" applyFill="1" applyBorder="1"/>
    <xf numFmtId="1" fontId="4" fillId="6" borderId="9" xfId="0" applyNumberFormat="1" applyFont="1" applyFill="1" applyBorder="1" applyProtection="1">
      <protection hidden="1"/>
    </xf>
    <xf numFmtId="0" fontId="8" fillId="0" borderId="1" xfId="0" applyNumberFormat="1" applyFont="1" applyFill="1" applyBorder="1"/>
    <xf numFmtId="2" fontId="8" fillId="0" borderId="1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center" vertical="center" wrapText="1"/>
    </xf>
    <xf numFmtId="2" fontId="0" fillId="0" borderId="10" xfId="0" applyNumberFormat="1" applyBorder="1"/>
    <xf numFmtId="0" fontId="0" fillId="0" borderId="0" xfId="0" applyFill="1" applyBorder="1" applyAlignment="1">
      <alignment horizontal="center" wrapText="1"/>
    </xf>
    <xf numFmtId="16" fontId="0" fillId="0" borderId="0" xfId="0" applyNumberFormat="1" applyFill="1" applyBorder="1"/>
    <xf numFmtId="165" fontId="3" fillId="0" borderId="0" xfId="0" applyNumberFormat="1" applyFont="1" applyFill="1" applyBorder="1" applyAlignment="1">
      <alignment vertical="center" wrapText="1"/>
    </xf>
    <xf numFmtId="0" fontId="0" fillId="11" borderId="0" xfId="0" applyFill="1" applyBorder="1"/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/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/>
    <xf numFmtId="0" fontId="4" fillId="0" borderId="0" xfId="0" applyFont="1" applyFill="1" applyBorder="1"/>
    <xf numFmtId="0" fontId="0" fillId="2" borderId="46" xfId="0" applyFill="1" applyBorder="1"/>
    <xf numFmtId="0" fontId="3" fillId="0" borderId="1" xfId="0" applyFont="1" applyBorder="1"/>
    <xf numFmtId="4" fontId="3" fillId="0" borderId="1" xfId="0" applyNumberFormat="1" applyFont="1" applyBorder="1"/>
    <xf numFmtId="4" fontId="3" fillId="2" borderId="1" xfId="0" applyNumberFormat="1" applyFont="1" applyFill="1" applyBorder="1"/>
    <xf numFmtId="0" fontId="3" fillId="0" borderId="9" xfId="0" applyFont="1" applyBorder="1"/>
    <xf numFmtId="0" fontId="6" fillId="3" borderId="26" xfId="0" applyFont="1" applyFill="1" applyBorder="1"/>
    <xf numFmtId="0" fontId="0" fillId="0" borderId="26" xfId="0" applyFont="1" applyBorder="1"/>
    <xf numFmtId="0" fontId="0" fillId="0" borderId="16" xfId="0" applyFont="1" applyBorder="1"/>
    <xf numFmtId="0" fontId="0" fillId="0" borderId="16" xfId="0" applyFill="1" applyBorder="1"/>
    <xf numFmtId="4" fontId="0" fillId="0" borderId="16" xfId="0" applyNumberFormat="1" applyFill="1" applyBorder="1"/>
    <xf numFmtId="0" fontId="3" fillId="0" borderId="16" xfId="0" applyFont="1" applyFill="1" applyBorder="1" applyAlignment="1">
      <alignment wrapText="1"/>
    </xf>
    <xf numFmtId="0" fontId="0" fillId="0" borderId="47" xfId="0" applyBorder="1"/>
    <xf numFmtId="4" fontId="0" fillId="0" borderId="47" xfId="0" applyNumberFormat="1" applyFont="1" applyFill="1" applyBorder="1"/>
    <xf numFmtId="4" fontId="3" fillId="5" borderId="47" xfId="0" applyNumberFormat="1" applyFont="1" applyFill="1" applyBorder="1" applyAlignment="1">
      <alignment horizontal="center" vertical="center" wrapText="1"/>
    </xf>
    <xf numFmtId="0" fontId="0" fillId="0" borderId="47" xfId="0" applyFont="1" applyBorder="1"/>
    <xf numFmtId="4" fontId="0" fillId="0" borderId="48" xfId="0" applyNumberFormat="1" applyFont="1" applyBorder="1"/>
    <xf numFmtId="0" fontId="0" fillId="0" borderId="49" xfId="0" applyBorder="1"/>
    <xf numFmtId="0" fontId="0" fillId="0" borderId="53" xfId="0" applyBorder="1"/>
    <xf numFmtId="0" fontId="0" fillId="0" borderId="54" xfId="0" applyBorder="1"/>
    <xf numFmtId="14" fontId="0" fillId="0" borderId="54" xfId="0" applyNumberFormat="1" applyFont="1" applyFill="1" applyBorder="1" applyAlignment="1">
      <alignment vertical="center"/>
    </xf>
    <xf numFmtId="165" fontId="3" fillId="0" borderId="26" xfId="0" applyNumberFormat="1" applyFont="1" applyFill="1" applyBorder="1" applyAlignment="1">
      <alignment vertical="center" wrapText="1"/>
    </xf>
    <xf numFmtId="14" fontId="0" fillId="0" borderId="54" xfId="0" applyNumberFormat="1" applyFont="1" applyFill="1" applyBorder="1"/>
    <xf numFmtId="14" fontId="0" fillId="0" borderId="54" xfId="0" applyNumberFormat="1" applyFont="1" applyFill="1" applyBorder="1" applyAlignment="1"/>
    <xf numFmtId="0" fontId="0" fillId="0" borderId="56" xfId="0" applyBorder="1"/>
    <xf numFmtId="0" fontId="0" fillId="0" borderId="49" xfId="0" applyFont="1" applyFill="1" applyBorder="1"/>
    <xf numFmtId="0" fontId="0" fillId="0" borderId="49" xfId="0" applyFill="1" applyBorder="1"/>
    <xf numFmtId="0" fontId="0" fillId="0" borderId="53" xfId="0" applyFont="1" applyFill="1" applyBorder="1"/>
    <xf numFmtId="2" fontId="0" fillId="0" borderId="53" xfId="0" applyNumberFormat="1" applyFont="1" applyFill="1" applyBorder="1"/>
    <xf numFmtId="0" fontId="0" fillId="0" borderId="53" xfId="0" applyFill="1" applyBorder="1"/>
    <xf numFmtId="0" fontId="0" fillId="0" borderId="53" xfId="0" applyFont="1" applyBorder="1"/>
    <xf numFmtId="0" fontId="0" fillId="0" borderId="59" xfId="0" applyFont="1" applyBorder="1"/>
    <xf numFmtId="0" fontId="0" fillId="0" borderId="59" xfId="0" applyBorder="1"/>
    <xf numFmtId="0" fontId="0" fillId="0" borderId="15" xfId="0" applyFont="1" applyFill="1" applyBorder="1"/>
    <xf numFmtId="0" fontId="0" fillId="0" borderId="15" xfId="0" applyNumberFormat="1" applyFill="1" applyBorder="1"/>
    <xf numFmtId="0" fontId="0" fillId="0" borderId="15" xfId="0" applyFill="1" applyBorder="1"/>
    <xf numFmtId="0" fontId="0" fillId="0" borderId="57" xfId="0" applyFill="1" applyBorder="1"/>
    <xf numFmtId="4" fontId="0" fillId="0" borderId="49" xfId="0" applyNumberFormat="1" applyFill="1" applyBorder="1" applyAlignment="1"/>
    <xf numFmtId="0" fontId="0" fillId="0" borderId="56" xfId="0" applyFill="1" applyBorder="1"/>
    <xf numFmtId="0" fontId="0" fillId="0" borderId="0" xfId="0" applyBorder="1" applyAlignment="1">
      <alignment horizontal="right"/>
    </xf>
    <xf numFmtId="0" fontId="0" fillId="0" borderId="58" xfId="0" applyBorder="1"/>
    <xf numFmtId="0" fontId="0" fillId="0" borderId="57" xfId="0" applyBorder="1"/>
    <xf numFmtId="0" fontId="3" fillId="0" borderId="54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0" fillId="0" borderId="54" xfId="0" applyBorder="1" applyAlignment="1">
      <alignment horizontal="right"/>
    </xf>
    <xf numFmtId="0" fontId="0" fillId="0" borderId="54" xfId="0" applyFill="1" applyBorder="1" applyAlignment="1">
      <alignment horizontal="right"/>
    </xf>
    <xf numFmtId="14" fontId="0" fillId="0" borderId="50" xfId="0" applyNumberFormat="1" applyFont="1" applyFill="1" applyBorder="1"/>
    <xf numFmtId="0" fontId="0" fillId="0" borderId="51" xfId="0" applyFont="1" applyFill="1" applyBorder="1"/>
    <xf numFmtId="2" fontId="0" fillId="0" borderId="51" xfId="0" applyNumberFormat="1" applyFont="1" applyFill="1" applyBorder="1"/>
    <xf numFmtId="4" fontId="3" fillId="0" borderId="51" xfId="0" applyNumberFormat="1" applyFont="1" applyFill="1" applyBorder="1" applyAlignment="1">
      <alignment horizontal="center" vertical="center" wrapText="1"/>
    </xf>
    <xf numFmtId="14" fontId="0" fillId="0" borderId="60" xfId="0" applyNumberFormat="1" applyFont="1" applyFill="1" applyBorder="1"/>
    <xf numFmtId="0" fontId="0" fillId="0" borderId="26" xfId="0" applyFont="1" applyFill="1" applyBorder="1"/>
    <xf numFmtId="0" fontId="0" fillId="0" borderId="47" xfId="0" applyFont="1" applyFill="1" applyBorder="1"/>
    <xf numFmtId="2" fontId="0" fillId="0" borderId="47" xfId="0" applyNumberFormat="1" applyFont="1" applyFill="1" applyBorder="1"/>
    <xf numFmtId="0" fontId="0" fillId="0" borderId="48" xfId="0" applyFont="1" applyFill="1" applyBorder="1"/>
    <xf numFmtId="0" fontId="0" fillId="12" borderId="56" xfId="0" applyFill="1" applyBorder="1"/>
    <xf numFmtId="0" fontId="0" fillId="13" borderId="49" xfId="0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/>
    <xf numFmtId="166" fontId="0" fillId="0" borderId="0" xfId="0" applyNumberFormat="1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1" xfId="0" applyBorder="1"/>
    <xf numFmtId="0" fontId="0" fillId="0" borderId="9" xfId="0" applyBorder="1"/>
    <xf numFmtId="0" fontId="0" fillId="0" borderId="1" xfId="0" applyBorder="1" applyAlignment="1">
      <alignment horizontal="left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Border="1"/>
    <xf numFmtId="0" fontId="0" fillId="0" borderId="61" xfId="0" applyFont="1" applyFill="1" applyBorder="1"/>
    <xf numFmtId="0" fontId="0" fillId="0" borderId="63" xfId="0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3" fillId="0" borderId="6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7" xfId="0" applyBorder="1"/>
    <xf numFmtId="165" fontId="3" fillId="0" borderId="65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Border="1"/>
    <xf numFmtId="0" fontId="8" fillId="0" borderId="0" xfId="0" applyNumberFormat="1" applyFont="1" applyFill="1" applyBorder="1"/>
    <xf numFmtId="1" fontId="0" fillId="0" borderId="21" xfId="0" applyNumberFormat="1" applyBorder="1"/>
    <xf numFmtId="0" fontId="4" fillId="0" borderId="68" xfId="0" applyFont="1" applyBorder="1" applyAlignment="1">
      <alignment horizontal="center"/>
    </xf>
    <xf numFmtId="0" fontId="0" fillId="0" borderId="21" xfId="0" applyBorder="1" applyProtection="1">
      <protection hidden="1"/>
    </xf>
    <xf numFmtId="0" fontId="0" fillId="0" borderId="21" xfId="0" applyBorder="1" applyAlignment="1" applyProtection="1">
      <protection hidden="1"/>
    </xf>
    <xf numFmtId="0" fontId="4" fillId="2" borderId="0" xfId="0" applyFont="1" applyFill="1" applyBorder="1"/>
    <xf numFmtId="0" fontId="0" fillId="0" borderId="21" xfId="0" applyNumberFormat="1" applyBorder="1"/>
    <xf numFmtId="0" fontId="4" fillId="7" borderId="0" xfId="0" applyFont="1" applyFill="1" applyBorder="1"/>
    <xf numFmtId="0" fontId="4" fillId="3" borderId="0" xfId="0" applyFont="1" applyFill="1" applyBorder="1"/>
    <xf numFmtId="0" fontId="4" fillId="0" borderId="21" xfId="0" applyFont="1" applyFill="1" applyBorder="1"/>
    <xf numFmtId="0" fontId="0" fillId="0" borderId="70" xfId="0" applyBorder="1"/>
    <xf numFmtId="0" fontId="0" fillId="0" borderId="27" xfId="0" applyBorder="1"/>
    <xf numFmtId="16" fontId="0" fillId="0" borderId="21" xfId="0" applyNumberFormat="1" applyBorder="1"/>
    <xf numFmtId="14" fontId="0" fillId="0" borderId="28" xfId="0" applyNumberFormat="1" applyBorder="1" applyAlignment="1">
      <alignment vertical="center"/>
    </xf>
    <xf numFmtId="14" fontId="0" fillId="0" borderId="72" xfId="0" applyNumberFormat="1" applyBorder="1" applyAlignment="1">
      <alignment vertical="center"/>
    </xf>
    <xf numFmtId="14" fontId="0" fillId="2" borderId="72" xfId="0" applyNumberFormat="1" applyFill="1" applyBorder="1" applyAlignment="1">
      <alignment vertical="center"/>
    </xf>
    <xf numFmtId="14" fontId="0" fillId="0" borderId="73" xfId="0" applyNumberFormat="1" applyBorder="1" applyAlignment="1">
      <alignment vertical="center"/>
    </xf>
    <xf numFmtId="14" fontId="0" fillId="0" borderId="27" xfId="0" applyNumberFormat="1" applyBorder="1"/>
    <xf numFmtId="14" fontId="0" fillId="0" borderId="28" xfId="0" applyNumberFormat="1" applyBorder="1" applyAlignment="1"/>
    <xf numFmtId="0" fontId="6" fillId="0" borderId="21" xfId="0" applyFont="1" applyBorder="1"/>
    <xf numFmtId="4" fontId="0" fillId="2" borderId="0" xfId="0" applyNumberFormat="1" applyFill="1" applyBorder="1"/>
    <xf numFmtId="0" fontId="0" fillId="0" borderId="21" xfId="0" applyFill="1" applyBorder="1"/>
    <xf numFmtId="0" fontId="0" fillId="0" borderId="20" xfId="0" applyFill="1" applyBorder="1"/>
    <xf numFmtId="14" fontId="6" fillId="0" borderId="28" xfId="0" applyNumberFormat="1" applyFont="1" applyBorder="1" applyAlignment="1">
      <alignment vertical="center"/>
    </xf>
    <xf numFmtId="14" fontId="0" fillId="0" borderId="28" xfId="0" applyNumberFormat="1" applyFont="1" applyBorder="1" applyAlignment="1">
      <alignment vertical="center"/>
    </xf>
    <xf numFmtId="14" fontId="0" fillId="0" borderId="27" xfId="0" applyNumberFormat="1" applyFont="1" applyFill="1" applyBorder="1" applyAlignment="1">
      <alignment vertical="center"/>
    </xf>
    <xf numFmtId="14" fontId="0" fillId="0" borderId="27" xfId="0" applyNumberFormat="1" applyFont="1" applyFill="1" applyBorder="1"/>
    <xf numFmtId="14" fontId="0" fillId="0" borderId="27" xfId="0" applyNumberFormat="1" applyFont="1" applyFill="1" applyBorder="1" applyAlignment="1"/>
    <xf numFmtId="14" fontId="0" fillId="0" borderId="28" xfId="0" applyNumberFormat="1" applyFont="1" applyFill="1" applyBorder="1"/>
    <xf numFmtId="14" fontId="0" fillId="0" borderId="68" xfId="0" applyNumberFormat="1" applyFont="1" applyFill="1" applyBorder="1"/>
    <xf numFmtId="14" fontId="0" fillId="0" borderId="20" xfId="0" applyNumberFormat="1" applyFont="1" applyFill="1" applyBorder="1"/>
    <xf numFmtId="0" fontId="0" fillId="0" borderId="20" xfId="0" applyFont="1" applyFill="1" applyBorder="1"/>
    <xf numFmtId="14" fontId="0" fillId="0" borderId="20" xfId="0" applyNumberFormat="1" applyFill="1" applyBorder="1"/>
    <xf numFmtId="14" fontId="0" fillId="0" borderId="27" xfId="0" applyNumberFormat="1" applyFont="1" applyBorder="1" applyAlignment="1">
      <alignment vertical="center"/>
    </xf>
    <xf numFmtId="14" fontId="6" fillId="0" borderId="27" xfId="0" applyNumberFormat="1" applyFont="1" applyBorder="1" applyAlignment="1">
      <alignment vertical="center"/>
    </xf>
    <xf numFmtId="14" fontId="0" fillId="0" borderId="27" xfId="0" applyNumberFormat="1" applyFont="1" applyFill="1" applyBorder="1" applyAlignment="1">
      <alignment wrapText="1"/>
    </xf>
    <xf numFmtId="0" fontId="0" fillId="0" borderId="27" xfId="0" applyFont="1" applyFill="1" applyBorder="1"/>
    <xf numFmtId="0" fontId="0" fillId="0" borderId="73" xfId="0" applyNumberFormat="1" applyFill="1" applyBorder="1"/>
    <xf numFmtId="0" fontId="0" fillId="0" borderId="27" xfId="0" applyNumberFormat="1" applyBorder="1"/>
    <xf numFmtId="0" fontId="0" fillId="0" borderId="27" xfId="0" applyNumberFormat="1" applyFill="1" applyBorder="1"/>
    <xf numFmtId="0" fontId="0" fillId="9" borderId="27" xfId="0" applyNumberFormat="1" applyFill="1" applyBorder="1"/>
    <xf numFmtId="14" fontId="6" fillId="3" borderId="27" xfId="0" applyNumberFormat="1" applyFont="1" applyFill="1" applyBorder="1" applyAlignment="1">
      <alignment vertical="center"/>
    </xf>
    <xf numFmtId="14" fontId="0" fillId="0" borderId="75" xfId="0" applyNumberFormat="1" applyFont="1" applyFill="1" applyBorder="1"/>
    <xf numFmtId="14" fontId="0" fillId="0" borderId="76" xfId="0" applyNumberFormat="1" applyFont="1" applyFill="1" applyBorder="1"/>
    <xf numFmtId="0" fontId="0" fillId="0" borderId="20" xfId="0" applyNumberFormat="1" applyFill="1" applyBorder="1"/>
    <xf numFmtId="0" fontId="0" fillId="0" borderId="77" xfId="0" applyFill="1" applyBorder="1"/>
    <xf numFmtId="0" fontId="0" fillId="0" borderId="20" xfId="0" applyFill="1" applyBorder="1" applyAlignment="1"/>
    <xf numFmtId="0" fontId="4" fillId="0" borderId="1" xfId="0" applyFont="1" applyFill="1" applyBorder="1" applyAlignment="1" applyProtection="1">
      <protection hidden="1"/>
    </xf>
    <xf numFmtId="4" fontId="3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6" xfId="0" applyNumberFormat="1" applyBorder="1"/>
    <xf numFmtId="0" fontId="0" fillId="0" borderId="23" xfId="0" applyFill="1" applyBorder="1"/>
    <xf numFmtId="165" fontId="3" fillId="0" borderId="0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 wrapText="1"/>
    </xf>
    <xf numFmtId="2" fontId="0" fillId="0" borderId="46" xfId="0" applyNumberFormat="1" applyBorder="1"/>
    <xf numFmtId="4" fontId="12" fillId="0" borderId="0" xfId="0" applyNumberFormat="1" applyFont="1" applyFill="1" applyBorder="1" applyAlignment="1">
      <alignment horizontal="right"/>
    </xf>
    <xf numFmtId="0" fontId="3" fillId="0" borderId="16" xfId="0" applyFont="1" applyBorder="1" applyAlignment="1"/>
    <xf numFmtId="4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17" xfId="0" applyFill="1" applyBorder="1"/>
    <xf numFmtId="16" fontId="0" fillId="0" borderId="0" xfId="0" applyNumberFormat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/>
    <xf numFmtId="0" fontId="4" fillId="0" borderId="26" xfId="0" applyFont="1" applyFill="1" applyBorder="1"/>
    <xf numFmtId="0" fontId="4" fillId="0" borderId="48" xfId="0" applyFont="1" applyFill="1" applyBorder="1"/>
    <xf numFmtId="0" fontId="0" fillId="10" borderId="1" xfId="0" applyFill="1" applyBorder="1"/>
    <xf numFmtId="2" fontId="0" fillId="0" borderId="19" xfId="0" applyNumberFormat="1" applyFill="1" applyBorder="1" applyAlignment="1"/>
    <xf numFmtId="2" fontId="0" fillId="0" borderId="10" xfId="0" applyNumberFormat="1" applyFill="1" applyBorder="1" applyAlignment="1"/>
    <xf numFmtId="0" fontId="0" fillId="0" borderId="1" xfId="0" applyFill="1" applyBorder="1" applyAlignment="1">
      <alignment horizontal="right"/>
    </xf>
    <xf numFmtId="2" fontId="4" fillId="6" borderId="1" xfId="0" applyNumberFormat="1" applyFont="1" applyFill="1" applyBorder="1" applyProtection="1">
      <protection hidden="1"/>
    </xf>
    <xf numFmtId="0" fontId="0" fillId="0" borderId="11" xfId="0" applyFill="1" applyBorder="1"/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/>
    <xf numFmtId="2" fontId="8" fillId="0" borderId="0" xfId="0" applyNumberFormat="1" applyFont="1" applyFill="1" applyBorder="1"/>
    <xf numFmtId="2" fontId="4" fillId="0" borderId="0" xfId="0" applyNumberFormat="1" applyFont="1" applyFill="1" applyBorder="1"/>
    <xf numFmtId="0" fontId="3" fillId="0" borderId="0" xfId="0" applyFont="1"/>
    <xf numFmtId="2" fontId="3" fillId="0" borderId="0" xfId="0" applyNumberFormat="1" applyFont="1"/>
    <xf numFmtId="0" fontId="3" fillId="0" borderId="0" xfId="0" applyFont="1" applyFill="1"/>
    <xf numFmtId="2" fontId="3" fillId="0" borderId="0" xfId="0" applyNumberFormat="1" applyFont="1" applyFill="1" applyBorder="1"/>
    <xf numFmtId="2" fontId="3" fillId="0" borderId="0" xfId="0" applyNumberFormat="1" applyFont="1" applyFill="1"/>
    <xf numFmtId="0" fontId="3" fillId="0" borderId="0" xfId="0" applyFont="1" applyFill="1" applyBorder="1"/>
    <xf numFmtId="2" fontId="3" fillId="0" borderId="0" xfId="0" applyNumberFormat="1" applyFont="1" applyFill="1" applyBorder="1" applyAlignment="1"/>
    <xf numFmtId="2" fontId="0" fillId="0" borderId="5" xfId="0" applyNumberFormat="1" applyBorder="1"/>
    <xf numFmtId="2" fontId="19" fillId="0" borderId="1" xfId="0" applyNumberFormat="1" applyFont="1" applyFill="1" applyBorder="1" applyProtection="1">
      <protection hidden="1"/>
    </xf>
    <xf numFmtId="0" fontId="19" fillId="0" borderId="1" xfId="0" applyFont="1" applyFill="1" applyBorder="1" applyProtection="1">
      <protection hidden="1"/>
    </xf>
    <xf numFmtId="1" fontId="19" fillId="0" borderId="1" xfId="0" applyNumberFormat="1" applyFont="1" applyFill="1" applyBorder="1" applyProtection="1">
      <protection hidden="1"/>
    </xf>
    <xf numFmtId="2" fontId="4" fillId="0" borderId="0" xfId="0" applyNumberFormat="1" applyFont="1" applyFill="1"/>
    <xf numFmtId="2" fontId="0" fillId="0" borderId="1" xfId="0" applyNumberFormat="1" applyFill="1" applyBorder="1"/>
    <xf numFmtId="9" fontId="3" fillId="0" borderId="0" xfId="0" applyNumberFormat="1" applyFont="1" applyFill="1"/>
    <xf numFmtId="0" fontId="3" fillId="10" borderId="1" xfId="0" applyFont="1" applyFill="1" applyBorder="1"/>
    <xf numFmtId="0" fontId="0" fillId="12" borderId="1" xfId="0" applyFill="1" applyBorder="1"/>
    <xf numFmtId="165" fontId="0" fillId="0" borderId="0" xfId="0" applyNumberFormat="1" applyFill="1" applyBorder="1"/>
    <xf numFmtId="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4" fontId="0" fillId="0" borderId="26" xfId="0" applyNumberFormat="1" applyFill="1" applyBorder="1"/>
    <xf numFmtId="165" fontId="0" fillId="0" borderId="0" xfId="0" applyNumberFormat="1" applyFill="1" applyBorder="1" applyAlignment="1"/>
    <xf numFmtId="4" fontId="0" fillId="12" borderId="56" xfId="0" applyNumberFormat="1" applyFill="1" applyBorder="1"/>
    <xf numFmtId="0" fontId="20" fillId="0" borderId="1" xfId="0" applyFont="1" applyBorder="1" applyAlignment="1" applyProtection="1">
      <alignment wrapText="1"/>
      <protection hidden="1"/>
    </xf>
    <xf numFmtId="14" fontId="20" fillId="0" borderId="1" xfId="0" applyNumberFormat="1" applyFont="1" applyBorder="1" applyAlignment="1" applyProtection="1">
      <alignment wrapText="1"/>
      <protection hidden="1"/>
    </xf>
    <xf numFmtId="166" fontId="4" fillId="6" borderId="1" xfId="0" applyNumberFormat="1" applyFont="1" applyFill="1" applyBorder="1" applyProtection="1">
      <protection hidden="1"/>
    </xf>
    <xf numFmtId="166" fontId="4" fillId="0" borderId="1" xfId="0" applyNumberFormat="1" applyFont="1" applyFill="1" applyBorder="1" applyProtection="1">
      <protection hidden="1"/>
    </xf>
    <xf numFmtId="0" fontId="0" fillId="0" borderId="0" xfId="0" applyNumberFormat="1" applyFill="1" applyBorder="1" applyAlignment="1">
      <alignment horizontal="left"/>
    </xf>
    <xf numFmtId="4" fontId="0" fillId="0" borderId="0" xfId="0" applyNumberFormat="1"/>
    <xf numFmtId="0" fontId="0" fillId="0" borderId="53" xfId="0" applyBorder="1" applyAlignment="1"/>
    <xf numFmtId="14" fontId="0" fillId="0" borderId="9" xfId="0" applyNumberFormat="1" applyFill="1" applyBorder="1"/>
    <xf numFmtId="14" fontId="0" fillId="0" borderId="9" xfId="0" applyNumberFormat="1" applyBorder="1"/>
    <xf numFmtId="14" fontId="0" fillId="2" borderId="21" xfId="0" applyNumberFormat="1" applyFill="1" applyBorder="1"/>
    <xf numFmtId="0" fontId="0" fillId="2" borderId="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4" fontId="0" fillId="2" borderId="20" xfId="0" applyNumberFormat="1" applyFill="1" applyBorder="1" applyAlignment="1">
      <alignment horizontal="center" vertical="center"/>
    </xf>
    <xf numFmtId="0" fontId="0" fillId="14" borderId="0" xfId="0" applyFill="1" applyBorder="1"/>
    <xf numFmtId="0" fontId="3" fillId="0" borderId="1" xfId="0" applyFont="1" applyFill="1" applyBorder="1"/>
    <xf numFmtId="0" fontId="0" fillId="3" borderId="0" xfId="0" applyFill="1" applyBorder="1"/>
    <xf numFmtId="14" fontId="8" fillId="0" borderId="0" xfId="0" applyNumberFormat="1" applyFont="1" applyFill="1"/>
    <xf numFmtId="0" fontId="17" fillId="0" borderId="0" xfId="0" applyFont="1" applyFill="1" applyBorder="1" applyAlignment="1">
      <alignment horizontal="center"/>
    </xf>
    <xf numFmtId="1" fontId="0" fillId="0" borderId="0" xfId="0" applyNumberFormat="1" applyFill="1"/>
    <xf numFmtId="0" fontId="0" fillId="0" borderId="31" xfId="0" applyFill="1" applyBorder="1"/>
    <xf numFmtId="0" fontId="0" fillId="0" borderId="37" xfId="0" applyBorder="1"/>
    <xf numFmtId="0" fontId="0" fillId="0" borderId="3" xfId="0" applyFill="1" applyBorder="1"/>
    <xf numFmtId="0" fontId="0" fillId="0" borderId="35" xfId="0" applyBorder="1"/>
    <xf numFmtId="0" fontId="17" fillId="0" borderId="3" xfId="0" applyFont="1" applyFill="1" applyBorder="1" applyAlignment="1">
      <alignment horizontal="center"/>
    </xf>
    <xf numFmtId="0" fontId="0" fillId="0" borderId="41" xfId="0" applyBorder="1"/>
    <xf numFmtId="0" fontId="0" fillId="0" borderId="13" xfId="0" applyBorder="1"/>
    <xf numFmtId="0" fontId="0" fillId="0" borderId="32" xfId="0" applyBorder="1"/>
    <xf numFmtId="0" fontId="0" fillId="0" borderId="63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2" fontId="0" fillId="12" borderId="56" xfId="0" applyNumberFormat="1" applyFill="1" applyBorder="1"/>
    <xf numFmtId="0" fontId="0" fillId="0" borderId="1" xfId="0" applyBorder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2" fontId="17" fillId="0" borderId="0" xfId="0" applyNumberFormat="1" applyFont="1" applyFill="1" applyBorder="1" applyAlignment="1">
      <alignment horizontal="center"/>
    </xf>
    <xf numFmtId="0" fontId="17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74" xfId="0" applyNumberFormat="1" applyFont="1" applyFill="1" applyBorder="1"/>
    <xf numFmtId="0" fontId="4" fillId="2" borderId="21" xfId="0" applyFont="1" applyFill="1" applyBorder="1"/>
    <xf numFmtId="0" fontId="13" fillId="0" borderId="21" xfId="0" applyFont="1" applyBorder="1"/>
    <xf numFmtId="0" fontId="0" fillId="0" borderId="21" xfId="0" applyFill="1" applyBorder="1" applyAlignment="1" applyProtection="1">
      <protection hidden="1"/>
    </xf>
    <xf numFmtId="2" fontId="0" fillId="0" borderId="21" xfId="0" applyNumberFormat="1" applyFill="1" applyBorder="1"/>
    <xf numFmtId="0" fontId="4" fillId="0" borderId="20" xfId="0" applyFont="1" applyFill="1" applyBorder="1" applyAlignment="1">
      <alignment horizontal="center"/>
    </xf>
    <xf numFmtId="166" fontId="0" fillId="0" borderId="0" xfId="0" applyNumberFormat="1" applyFont="1" applyFill="1" applyBorder="1"/>
    <xf numFmtId="0" fontId="0" fillId="0" borderId="35" xfId="0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2" xfId="0" applyFill="1" applyBorder="1"/>
    <xf numFmtId="0" fontId="3" fillId="0" borderId="0" xfId="0" applyFont="1" applyFill="1" applyBorder="1" applyAlignment="1">
      <alignment horizontal="center" vertical="center"/>
    </xf>
    <xf numFmtId="14" fontId="0" fillId="0" borderId="1" xfId="0" applyNumberFormat="1" applyFill="1" applyBorder="1"/>
    <xf numFmtId="0" fontId="0" fillId="0" borderId="0" xfId="0" applyNumberFormat="1" applyFill="1" applyBorder="1" applyAlignment="1"/>
    <xf numFmtId="4" fontId="0" fillId="0" borderId="0" xfId="0" applyNumberFormat="1" applyFill="1"/>
    <xf numFmtId="4" fontId="0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" fontId="0" fillId="0" borderId="1" xfId="0" applyNumberFormat="1" applyBorder="1" applyAlignment="1">
      <alignment horizontal="center"/>
    </xf>
    <xf numFmtId="0" fontId="20" fillId="0" borderId="1" xfId="0" applyFont="1" applyBorder="1" applyAlignment="1" applyProtection="1">
      <protection hidden="1"/>
    </xf>
    <xf numFmtId="0" fontId="4" fillId="0" borderId="2" xfId="0" applyFont="1" applyBorder="1" applyAlignment="1" applyProtection="1">
      <alignment wrapText="1"/>
      <protection hidden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4" fillId="0" borderId="31" xfId="0" applyFont="1" applyBorder="1" applyProtection="1">
      <protection hidden="1"/>
    </xf>
    <xf numFmtId="0" fontId="4" fillId="0" borderId="8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165" fontId="3" fillId="15" borderId="0" xfId="0" applyNumberFormat="1" applyFont="1" applyFill="1" applyBorder="1" applyAlignment="1">
      <alignment horizontal="center" vertical="center" wrapText="1"/>
    </xf>
    <xf numFmtId="165" fontId="3" fillId="16" borderId="0" xfId="0" applyNumberFormat="1" applyFont="1" applyFill="1" applyBorder="1" applyAlignment="1">
      <alignment horizontal="center" vertical="center" wrapText="1"/>
    </xf>
    <xf numFmtId="0" fontId="0" fillId="16" borderId="21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0" fillId="16" borderId="23" xfId="0" applyFill="1" applyBorder="1"/>
    <xf numFmtId="0" fontId="0" fillId="16" borderId="23" xfId="0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4" fillId="12" borderId="1" xfId="0" applyFont="1" applyFill="1" applyBorder="1"/>
    <xf numFmtId="0" fontId="4" fillId="0" borderId="1" xfId="0" applyFont="1" applyBorder="1" applyAlignment="1" applyProtection="1">
      <alignment wrapText="1"/>
      <protection hidden="1"/>
    </xf>
    <xf numFmtId="4" fontId="3" fillId="16" borderId="0" xfId="0" applyNumberFormat="1" applyFont="1" applyFill="1" applyBorder="1" applyAlignment="1">
      <alignment horizontal="center" vertical="center"/>
    </xf>
    <xf numFmtId="0" fontId="4" fillId="0" borderId="29" xfId="0" applyFont="1" applyFill="1" applyBorder="1"/>
    <xf numFmtId="2" fontId="4" fillId="0" borderId="29" xfId="0" applyNumberFormat="1" applyFont="1" applyBorder="1"/>
    <xf numFmtId="0" fontId="4" fillId="0" borderId="29" xfId="0" applyFont="1" applyFill="1" applyBorder="1" applyAlignment="1" applyProtection="1">
      <protection hidden="1"/>
    </xf>
    <xf numFmtId="0" fontId="4" fillId="0" borderId="29" xfId="0" applyFont="1" applyBorder="1"/>
    <xf numFmtId="2" fontId="4" fillId="2" borderId="20" xfId="0" applyNumberFormat="1" applyFont="1" applyFill="1" applyBorder="1"/>
    <xf numFmtId="2" fontId="4" fillId="0" borderId="29" xfId="0" applyNumberFormat="1" applyFont="1" applyFill="1" applyBorder="1"/>
    <xf numFmtId="2" fontId="4" fillId="0" borderId="20" xfId="0" applyNumberFormat="1" applyFont="1" applyFill="1" applyBorder="1"/>
    <xf numFmtId="0" fontId="0" fillId="0" borderId="29" xfId="0" applyFill="1" applyBorder="1"/>
    <xf numFmtId="0" fontId="4" fillId="0" borderId="23" xfId="0" applyFont="1" applyFill="1" applyBorder="1" applyProtection="1">
      <protection hidden="1"/>
    </xf>
    <xf numFmtId="14" fontId="0" fillId="6" borderId="23" xfId="0" applyNumberFormat="1" applyFont="1" applyFill="1" applyBorder="1"/>
    <xf numFmtId="1" fontId="0" fillId="6" borderId="23" xfId="0" applyNumberFormat="1" applyFont="1" applyFill="1" applyBorder="1"/>
    <xf numFmtId="2" fontId="0" fillId="0" borderId="23" xfId="0" applyNumberFormat="1" applyBorder="1"/>
    <xf numFmtId="1" fontId="0" fillId="0" borderId="23" xfId="0" applyNumberFormat="1" applyBorder="1"/>
    <xf numFmtId="14" fontId="0" fillId="0" borderId="23" xfId="0" applyNumberFormat="1" applyFont="1" applyFill="1" applyBorder="1"/>
    <xf numFmtId="1" fontId="0" fillId="0" borderId="23" xfId="0" applyNumberFormat="1" applyFont="1" applyFill="1" applyBorder="1"/>
    <xf numFmtId="2" fontId="0" fillId="0" borderId="24" xfId="0" applyNumberFormat="1" applyBorder="1"/>
    <xf numFmtId="2" fontId="0" fillId="0" borderId="22" xfId="0" applyNumberFormat="1" applyBorder="1"/>
    <xf numFmtId="0" fontId="4" fillId="3" borderId="21" xfId="0" applyFont="1" applyFill="1" applyBorder="1"/>
    <xf numFmtId="0" fontId="4" fillId="2" borderId="30" xfId="0" applyFont="1" applyFill="1" applyBorder="1" applyAlignment="1"/>
    <xf numFmtId="0" fontId="4" fillId="7" borderId="21" xfId="0" applyFont="1" applyFill="1" applyBorder="1"/>
    <xf numFmtId="0" fontId="8" fillId="0" borderId="90" xfId="0" applyNumberFormat="1" applyFont="1" applyFill="1" applyBorder="1"/>
    <xf numFmtId="2" fontId="8" fillId="0" borderId="90" xfId="0" applyNumberFormat="1" applyFont="1" applyFill="1" applyBorder="1"/>
    <xf numFmtId="14" fontId="0" fillId="15" borderId="9" xfId="0" applyNumberFormat="1" applyFill="1" applyBorder="1"/>
    <xf numFmtId="2" fontId="0" fillId="15" borderId="0" xfId="0" applyNumberFormat="1" applyFill="1" applyAlignment="1">
      <alignment horizontal="center"/>
    </xf>
    <xf numFmtId="14" fontId="0" fillId="15" borderId="37" xfId="0" applyNumberFormat="1" applyFill="1" applyBorder="1"/>
    <xf numFmtId="4" fontId="3" fillId="15" borderId="0" xfId="0" applyNumberFormat="1" applyFont="1" applyFill="1" applyBorder="1" applyAlignment="1">
      <alignment horizontal="center" vertical="center"/>
    </xf>
    <xf numFmtId="14" fontId="0" fillId="15" borderId="1" xfId="0" applyNumberFormat="1" applyFill="1" applyBorder="1"/>
    <xf numFmtId="4" fontId="3" fillId="15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4" fontId="3" fillId="0" borderId="47" xfId="0" applyNumberFormat="1" applyFont="1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165" fontId="3" fillId="0" borderId="48" xfId="0" applyNumberFormat="1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9" xfId="0" applyBorder="1"/>
    <xf numFmtId="0" fontId="0" fillId="0" borderId="11" xfId="0" applyBorder="1"/>
    <xf numFmtId="0" fontId="0" fillId="0" borderId="1" xfId="0" applyFill="1" applyBorder="1"/>
    <xf numFmtId="165" fontId="3" fillId="2" borderId="26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/>
    <xf numFmtId="4" fontId="3" fillId="2" borderId="0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47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/>
    <xf numFmtId="0" fontId="0" fillId="0" borderId="1" xfId="0" applyNumberFormat="1" applyFill="1" applyBorder="1"/>
    <xf numFmtId="16" fontId="0" fillId="0" borderId="1" xfId="0" applyNumberFormat="1" applyFill="1" applyBorder="1" applyAlignment="1">
      <alignment vertical="center"/>
    </xf>
    <xf numFmtId="16" fontId="0" fillId="0" borderId="1" xfId="0" applyNumberFormat="1" applyFill="1" applyBorder="1" applyAlignment="1"/>
    <xf numFmtId="166" fontId="0" fillId="0" borderId="0" xfId="0" applyNumberFormat="1" applyFill="1" applyBorder="1"/>
    <xf numFmtId="0" fontId="0" fillId="0" borderId="45" xfId="0" applyBorder="1"/>
    <xf numFmtId="166" fontId="6" fillId="0" borderId="0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16" xfId="0" applyFont="1" applyFill="1" applyBorder="1" applyAlignment="1"/>
    <xf numFmtId="0" fontId="0" fillId="2" borderId="16" xfId="0" applyNumberFormat="1" applyFill="1" applyBorder="1"/>
    <xf numFmtId="4" fontId="0" fillId="0" borderId="1" xfId="0" applyNumberFormat="1" applyFont="1" applyFill="1" applyBorder="1" applyAlignment="1">
      <alignment horizontal="center" vertical="center" wrapText="1"/>
    </xf>
    <xf numFmtId="0" fontId="0" fillId="17" borderId="3" xfId="0" applyFill="1" applyBorder="1"/>
    <xf numFmtId="0" fontId="0" fillId="17" borderId="0" xfId="0" applyNumberFormat="1" applyFill="1" applyBorder="1"/>
    <xf numFmtId="4" fontId="0" fillId="0" borderId="1" xfId="0" applyNumberForma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166" fontId="0" fillId="0" borderId="1" xfId="0" applyNumberFormat="1" applyFill="1" applyBorder="1"/>
    <xf numFmtId="0" fontId="0" fillId="0" borderId="1" xfId="0" applyNumberForma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right"/>
    </xf>
    <xf numFmtId="166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/>
    <xf numFmtId="0" fontId="0" fillId="0" borderId="9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62" xfId="0" applyFill="1" applyBorder="1" applyAlignment="1">
      <alignment horizontal="right"/>
    </xf>
    <xf numFmtId="2" fontId="0" fillId="15" borderId="1" xfId="0" applyNumberFormat="1" applyFill="1" applyBorder="1"/>
    <xf numFmtId="2" fontId="0" fillId="2" borderId="0" xfId="0" applyNumberFormat="1" applyFill="1"/>
    <xf numFmtId="2" fontId="4" fillId="0" borderId="11" xfId="0" applyNumberFormat="1" applyFont="1" applyFill="1" applyBorder="1"/>
    <xf numFmtId="0" fontId="4" fillId="0" borderId="9" xfId="0" applyFont="1" applyBorder="1" applyProtection="1">
      <protection hidden="1"/>
    </xf>
    <xf numFmtId="0" fontId="4" fillId="0" borderId="9" xfId="0" applyFont="1" applyFill="1" applyBorder="1"/>
    <xf numFmtId="0" fontId="4" fillId="0" borderId="2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63" xfId="0" applyBorder="1"/>
    <xf numFmtId="4" fontId="0" fillId="0" borderId="47" xfId="0" applyNumberFormat="1" applyBorder="1"/>
    <xf numFmtId="16" fontId="0" fillId="0" borderId="54" xfId="0" applyNumberFormat="1" applyFill="1" applyBorder="1"/>
    <xf numFmtId="0" fontId="0" fillId="2" borderId="1" xfId="0" applyNumberFormat="1" applyFill="1" applyBorder="1"/>
    <xf numFmtId="0" fontId="10" fillId="0" borderId="1" xfId="0" applyFont="1" applyFill="1" applyBorder="1"/>
    <xf numFmtId="0" fontId="0" fillId="18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0" borderId="1" xfId="0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/>
    <xf numFmtId="0" fontId="0" fillId="0" borderId="11" xfId="0" applyFill="1" applyBorder="1"/>
    <xf numFmtId="0" fontId="0" fillId="0" borderId="63" xfId="0" applyFill="1" applyBorder="1" applyAlignment="1">
      <alignment horizontal="left"/>
    </xf>
    <xf numFmtId="0" fontId="3" fillId="0" borderId="15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19" fillId="0" borderId="0" xfId="0" applyFont="1" applyFill="1" applyBorder="1" applyProtection="1">
      <protection hidden="1"/>
    </xf>
    <xf numFmtId="2" fontId="4" fillId="6" borderId="0" xfId="0" applyNumberFormat="1" applyFont="1" applyFill="1" applyBorder="1" applyProtection="1">
      <protection hidden="1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47" xfId="0" applyNumberForma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0" fontId="0" fillId="2" borderId="62" xfId="0" applyFill="1" applyBorder="1" applyAlignment="1">
      <alignment horizontal="right"/>
    </xf>
    <xf numFmtId="0" fontId="0" fillId="0" borderId="1" xfId="0" applyFill="1" applyBorder="1"/>
    <xf numFmtId="0" fontId="8" fillId="0" borderId="1" xfId="0" applyFont="1" applyBorder="1" applyAlignment="1" applyProtection="1">
      <alignment wrapText="1"/>
      <protection hidden="1"/>
    </xf>
    <xf numFmtId="0" fontId="24" fillId="0" borderId="1" xfId="0" applyFont="1" applyBorder="1" applyAlignment="1" applyProtection="1">
      <protection hidden="1"/>
    </xf>
    <xf numFmtId="0" fontId="25" fillId="2" borderId="0" xfId="0" applyFont="1" applyFill="1" applyBorder="1"/>
    <xf numFmtId="0" fontId="25" fillId="0" borderId="1" xfId="0" applyFont="1" applyFill="1" applyBorder="1"/>
    <xf numFmtId="165" fontId="0" fillId="0" borderId="0" xfId="0" applyNumberFormat="1" applyFill="1"/>
    <xf numFmtId="0" fontId="3" fillId="0" borderId="0" xfId="0" applyNumberFormat="1" applyFont="1" applyFill="1"/>
    <xf numFmtId="165" fontId="3" fillId="19" borderId="2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/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1" xfId="0" applyFill="1" applyBorder="1"/>
    <xf numFmtId="0" fontId="0" fillId="0" borderId="0" xfId="0" applyNumberFormat="1" applyFill="1" applyBorder="1" applyAlignment="1">
      <alignment horizontal="center" vertical="center"/>
    </xf>
    <xf numFmtId="4" fontId="0" fillId="19" borderId="0" xfId="0" applyNumberFormat="1" applyFill="1" applyBorder="1"/>
    <xf numFmtId="0" fontId="0" fillId="19" borderId="0" xfId="0" applyFill="1" applyBorder="1"/>
    <xf numFmtId="165" fontId="3" fillId="2" borderId="0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/>
    <xf numFmtId="2" fontId="3" fillId="0" borderId="1" xfId="0" applyNumberFormat="1" applyFont="1" applyBorder="1"/>
    <xf numFmtId="2" fontId="3" fillId="0" borderId="1" xfId="0" applyNumberFormat="1" applyFont="1" applyFill="1" applyBorder="1"/>
    <xf numFmtId="2" fontId="3" fillId="0" borderId="1" xfId="0" applyNumberFormat="1" applyFont="1" applyFill="1" applyBorder="1" applyAlignment="1"/>
    <xf numFmtId="2" fontId="10" fillId="0" borderId="0" xfId="0" applyNumberFormat="1" applyFont="1" applyFill="1"/>
    <xf numFmtId="0" fontId="0" fillId="16" borderId="0" xfId="0" applyFill="1"/>
    <xf numFmtId="0" fontId="26" fillId="0" borderId="1" xfId="0" applyFont="1" applyFill="1" applyBorder="1"/>
    <xf numFmtId="0" fontId="3" fillId="0" borderId="83" xfId="0" applyFont="1" applyFill="1" applyBorder="1" applyAlignment="1">
      <alignment horizontal="center" vertical="center"/>
    </xf>
    <xf numFmtId="165" fontId="3" fillId="0" borderId="94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2" fontId="3" fillId="0" borderId="96" xfId="0" applyNumberFormat="1" applyFont="1" applyFill="1" applyBorder="1" applyAlignment="1">
      <alignment horizontal="center" vertical="center"/>
    </xf>
    <xf numFmtId="4" fontId="3" fillId="0" borderId="96" xfId="0" applyNumberFormat="1" applyFont="1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165" fontId="3" fillId="19" borderId="94" xfId="0" applyNumberFormat="1" applyFont="1" applyFill="1" applyBorder="1" applyAlignment="1">
      <alignment horizontal="center" vertical="center" wrapText="1"/>
    </xf>
    <xf numFmtId="2" fontId="25" fillId="0" borderId="1" xfId="0" applyNumberFormat="1" applyFont="1" applyFill="1" applyBorder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/>
    <xf numFmtId="0" fontId="0" fillId="2" borderId="63" xfId="0" applyFill="1" applyBorder="1" applyAlignment="1">
      <alignment horizontal="right"/>
    </xf>
    <xf numFmtId="16" fontId="0" fillId="2" borderId="0" xfId="0" applyNumberFormat="1" applyFill="1" applyBorder="1"/>
    <xf numFmtId="16" fontId="0" fillId="0" borderId="0" xfId="0" applyNumberFormat="1" applyFill="1" applyBorder="1" applyAlignment="1">
      <alignment vertical="center"/>
    </xf>
    <xf numFmtId="4" fontId="0" fillId="12" borderId="49" xfId="0" applyNumberFormat="1" applyFill="1" applyBorder="1"/>
    <xf numFmtId="0" fontId="0" fillId="20" borderId="97" xfId="0" applyFill="1" applyBorder="1"/>
    <xf numFmtId="0" fontId="0" fillId="20" borderId="98" xfId="0" applyFill="1" applyBorder="1"/>
    <xf numFmtId="4" fontId="0" fillId="0" borderId="98" xfId="0" applyNumberFormat="1" applyBorder="1"/>
    <xf numFmtId="0" fontId="0" fillId="0" borderId="98" xfId="0" applyBorder="1"/>
    <xf numFmtId="0" fontId="0" fillId="0" borderId="98" xfId="0" applyFill="1" applyBorder="1"/>
    <xf numFmtId="2" fontId="0" fillId="0" borderId="98" xfId="0" applyNumberFormat="1" applyBorder="1"/>
    <xf numFmtId="4" fontId="0" fillId="20" borderId="99" xfId="0" applyNumberFormat="1" applyFill="1" applyBorder="1"/>
    <xf numFmtId="0" fontId="0" fillId="0" borderId="0" xfId="0" applyFont="1"/>
    <xf numFmtId="0" fontId="0" fillId="0" borderId="0" xfId="0" applyFill="1" applyBorder="1" applyAlignment="1"/>
    <xf numFmtId="2" fontId="8" fillId="0" borderId="1" xfId="0" applyNumberFormat="1" applyFont="1" applyBorder="1" applyAlignment="1"/>
    <xf numFmtId="2" fontId="27" fillId="0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4" fontId="0" fillId="0" borderId="98" xfId="0" applyNumberFormat="1" applyFill="1" applyBorder="1"/>
    <xf numFmtId="0" fontId="0" fillId="15" borderId="18" xfId="0" applyFill="1" applyBorder="1"/>
    <xf numFmtId="0" fontId="0" fillId="15" borderId="19" xfId="0" applyFill="1" applyBorder="1"/>
    <xf numFmtId="0" fontId="0" fillId="15" borderId="27" xfId="0" applyFill="1" applyBorder="1"/>
    <xf numFmtId="0" fontId="0" fillId="15" borderId="1" xfId="0" applyFill="1" applyBorder="1" applyAlignment="1">
      <alignment horizontal="left"/>
    </xf>
    <xf numFmtId="0" fontId="0" fillId="15" borderId="1" xfId="0" applyFill="1" applyBorder="1" applyAlignment="1"/>
    <xf numFmtId="0" fontId="0" fillId="15" borderId="26" xfId="0" applyFill="1" applyBorder="1"/>
    <xf numFmtId="0" fontId="0" fillId="15" borderId="1" xfId="0" applyFill="1" applyBorder="1"/>
    <xf numFmtId="0" fontId="0" fillId="15" borderId="0" xfId="0" applyFill="1" applyBorder="1"/>
    <xf numFmtId="0" fontId="0" fillId="15" borderId="21" xfId="0" applyFill="1" applyBorder="1"/>
    <xf numFmtId="14" fontId="0" fillId="15" borderId="27" xfId="0" applyNumberFormat="1" applyFont="1" applyFill="1" applyBorder="1" applyAlignment="1">
      <alignment vertical="center"/>
    </xf>
    <xf numFmtId="0" fontId="0" fillId="15" borderId="1" xfId="0" applyFont="1" applyFill="1" applyBorder="1"/>
    <xf numFmtId="0" fontId="3" fillId="15" borderId="1" xfId="0" applyFont="1" applyFill="1" applyBorder="1" applyAlignment="1">
      <alignment horizontal="center"/>
    </xf>
    <xf numFmtId="4" fontId="3" fillId="15" borderId="1" xfId="0" applyNumberFormat="1" applyFont="1" applyFill="1" applyBorder="1" applyAlignment="1">
      <alignment horizontal="center" vertical="center" wrapText="1"/>
    </xf>
    <xf numFmtId="0" fontId="4" fillId="15" borderId="26" xfId="0" applyFont="1" applyFill="1" applyBorder="1"/>
    <xf numFmtId="0" fontId="0" fillId="15" borderId="1" xfId="0" applyFill="1" applyBorder="1" applyAlignment="1">
      <alignment horizontal="center"/>
    </xf>
    <xf numFmtId="14" fontId="0" fillId="15" borderId="26" xfId="0" applyNumberFormat="1" applyFill="1" applyBorder="1"/>
    <xf numFmtId="0" fontId="0" fillId="15" borderId="1" xfId="0" applyFill="1" applyBorder="1" applyAlignment="1">
      <alignment horizontal="center" wrapText="1"/>
    </xf>
    <xf numFmtId="0" fontId="0" fillId="15" borderId="15" xfId="0" applyFill="1" applyBorder="1"/>
    <xf numFmtId="4" fontId="0" fillId="15" borderId="0" xfId="0" applyNumberFormat="1" applyFill="1" applyBorder="1"/>
    <xf numFmtId="0" fontId="0" fillId="15" borderId="16" xfId="0" applyFill="1" applyBorder="1"/>
    <xf numFmtId="14" fontId="0" fillId="15" borderId="27" xfId="0" applyNumberFormat="1" applyFont="1" applyFill="1" applyBorder="1"/>
    <xf numFmtId="14" fontId="0" fillId="15" borderId="27" xfId="0" applyNumberFormat="1" applyFont="1" applyFill="1" applyBorder="1" applyAlignment="1"/>
    <xf numFmtId="14" fontId="0" fillId="15" borderId="75" xfId="0" applyNumberFormat="1" applyFont="1" applyFill="1" applyBorder="1"/>
    <xf numFmtId="0" fontId="0" fillId="15" borderId="47" xfId="0" applyFont="1" applyFill="1" applyBorder="1"/>
    <xf numFmtId="2" fontId="0" fillId="15" borderId="47" xfId="0" applyNumberFormat="1" applyFont="1" applyFill="1" applyBorder="1"/>
    <xf numFmtId="0" fontId="4" fillId="15" borderId="48" xfId="0" applyFont="1" applyFill="1" applyBorder="1"/>
    <xf numFmtId="14" fontId="0" fillId="15" borderId="74" xfId="0" applyNumberFormat="1" applyFont="1" applyFill="1" applyBorder="1"/>
    <xf numFmtId="0" fontId="0" fillId="15" borderId="51" xfId="0" applyFont="1" applyFill="1" applyBorder="1"/>
    <xf numFmtId="2" fontId="0" fillId="15" borderId="51" xfId="0" applyNumberFormat="1" applyFont="1" applyFill="1" applyBorder="1"/>
    <xf numFmtId="4" fontId="3" fillId="15" borderId="51" xfId="0" applyNumberFormat="1" applyFont="1" applyFill="1" applyBorder="1" applyAlignment="1">
      <alignment horizontal="center" vertical="center" wrapText="1"/>
    </xf>
    <xf numFmtId="0" fontId="0" fillId="15" borderId="61" xfId="0" applyFont="1" applyFill="1" applyBorder="1"/>
    <xf numFmtId="14" fontId="0" fillId="15" borderId="68" xfId="0" applyNumberFormat="1" applyFont="1" applyFill="1" applyBorder="1"/>
    <xf numFmtId="0" fontId="0" fillId="15" borderId="8" xfId="0" applyFont="1" applyFill="1" applyBorder="1"/>
    <xf numFmtId="4" fontId="0" fillId="15" borderId="8" xfId="0" applyNumberFormat="1" applyFill="1" applyBorder="1"/>
    <xf numFmtId="164" fontId="2" fillId="21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15" borderId="20" xfId="0" applyFont="1" applyFill="1" applyBorder="1"/>
    <xf numFmtId="0" fontId="0" fillId="15" borderId="0" xfId="0" applyFont="1" applyFill="1" applyBorder="1"/>
    <xf numFmtId="0" fontId="0" fillId="15" borderId="0" xfId="0" applyFont="1" applyFill="1" applyBorder="1" applyAlignment="1">
      <alignment horizontal="right"/>
    </xf>
    <xf numFmtId="2" fontId="0" fillId="15" borderId="0" xfId="0" applyNumberFormat="1" applyFont="1" applyFill="1" applyBorder="1"/>
    <xf numFmtId="0" fontId="3" fillId="15" borderId="54" xfId="0" applyFont="1" applyFill="1" applyBorder="1" applyAlignment="1">
      <alignment horizontal="center" vertical="center"/>
    </xf>
    <xf numFmtId="165" fontId="3" fillId="1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5" borderId="1" xfId="0" applyFont="1" applyFill="1" applyBorder="1" applyAlignment="1">
      <alignment horizontal="center" vertical="center"/>
    </xf>
    <xf numFmtId="165" fontId="3" fillId="15" borderId="1" xfId="0" applyNumberFormat="1" applyFont="1" applyFill="1" applyBorder="1" applyAlignment="1">
      <alignment horizontal="center" vertical="center" wrapText="1"/>
    </xf>
    <xf numFmtId="165" fontId="3" fillId="15" borderId="26" xfId="0" applyNumberFormat="1" applyFont="1" applyFill="1" applyBorder="1" applyAlignment="1">
      <alignment horizontal="center" vertical="center" wrapText="1"/>
    </xf>
    <xf numFmtId="0" fontId="0" fillId="15" borderId="20" xfId="0" applyNumberFormat="1" applyFill="1" applyBorder="1"/>
    <xf numFmtId="4" fontId="0" fillId="15" borderId="0" xfId="0" applyNumberFormat="1" applyFill="1" applyBorder="1" applyAlignment="1"/>
    <xf numFmtId="2" fontId="3" fillId="15" borderId="1" xfId="0" applyNumberFormat="1" applyFont="1" applyFill="1" applyBorder="1" applyAlignment="1">
      <alignment horizontal="center" vertical="center"/>
    </xf>
    <xf numFmtId="4" fontId="0" fillId="15" borderId="0" xfId="0" applyNumberFormat="1" applyFont="1" applyFill="1" applyBorder="1"/>
    <xf numFmtId="0" fontId="3" fillId="15" borderId="64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4" fontId="3" fillId="15" borderId="7" xfId="0" applyNumberFormat="1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3" fillId="15" borderId="0" xfId="0" applyFont="1" applyFill="1" applyBorder="1" applyAlignment="1">
      <alignment wrapText="1"/>
    </xf>
    <xf numFmtId="0" fontId="0" fillId="15" borderId="63" xfId="0" applyFill="1" applyBorder="1" applyAlignment="1">
      <alignment horizontal="right"/>
    </xf>
    <xf numFmtId="0" fontId="0" fillId="15" borderId="2" xfId="0" applyFill="1" applyBorder="1"/>
    <xf numFmtId="16" fontId="0" fillId="15" borderId="0" xfId="0" applyNumberFormat="1" applyFill="1" applyBorder="1"/>
    <xf numFmtId="0" fontId="3" fillId="15" borderId="0" xfId="0" applyFont="1" applyFill="1" applyBorder="1" applyAlignment="1">
      <alignment horizontal="center"/>
    </xf>
    <xf numFmtId="0" fontId="0" fillId="15" borderId="20" xfId="0" applyFill="1" applyBorder="1"/>
    <xf numFmtId="0" fontId="0" fillId="15" borderId="11" xfId="0" applyFill="1" applyBorder="1"/>
    <xf numFmtId="0" fontId="0" fillId="15" borderId="3" xfId="0" applyFill="1" applyBorder="1"/>
    <xf numFmtId="0" fontId="0" fillId="15" borderId="11" xfId="0" applyFill="1" applyBorder="1" applyAlignment="1">
      <alignment horizontal="left"/>
    </xf>
    <xf numFmtId="0" fontId="0" fillId="15" borderId="9" xfId="0" applyFill="1" applyBorder="1" applyAlignment="1">
      <alignment horizontal="left"/>
    </xf>
    <xf numFmtId="0" fontId="0" fillId="15" borderId="77" xfId="0" applyFill="1" applyBorder="1"/>
    <xf numFmtId="0" fontId="0" fillId="15" borderId="49" xfId="0" applyFont="1" applyFill="1" applyBorder="1"/>
    <xf numFmtId="0" fontId="0" fillId="15" borderId="49" xfId="0" applyFill="1" applyBorder="1"/>
    <xf numFmtId="4" fontId="0" fillId="15" borderId="49" xfId="0" applyNumberFormat="1" applyFill="1" applyBorder="1" applyAlignment="1"/>
    <xf numFmtId="0" fontId="0" fillId="15" borderId="57" xfId="0" applyFill="1" applyBorder="1"/>
    <xf numFmtId="4" fontId="0" fillId="15" borderId="56" xfId="0" applyNumberFormat="1" applyFill="1" applyBorder="1"/>
    <xf numFmtId="4" fontId="12" fillId="15" borderId="0" xfId="0" applyNumberFormat="1" applyFont="1" applyFill="1" applyBorder="1" applyAlignment="1">
      <alignment horizontal="right"/>
    </xf>
    <xf numFmtId="0" fontId="3" fillId="15" borderId="1" xfId="0" applyFont="1" applyFill="1" applyBorder="1" applyAlignment="1"/>
    <xf numFmtId="0" fontId="3" fillId="15" borderId="16" xfId="0" applyFont="1" applyFill="1" applyBorder="1" applyAlignment="1"/>
    <xf numFmtId="14" fontId="0" fillId="15" borderId="16" xfId="0" applyNumberFormat="1" applyFill="1" applyBorder="1"/>
    <xf numFmtId="0" fontId="0" fillId="15" borderId="0" xfId="0" applyFill="1" applyBorder="1" applyAlignment="1">
      <alignment horizontal="center" wrapText="1"/>
    </xf>
    <xf numFmtId="4" fontId="3" fillId="15" borderId="0" xfId="0" applyNumberFormat="1" applyFont="1" applyFill="1" applyBorder="1" applyAlignment="1">
      <alignment horizontal="center" vertical="center" wrapText="1"/>
    </xf>
    <xf numFmtId="14" fontId="0" fillId="15" borderId="0" xfId="0" applyNumberFormat="1" applyFill="1" applyBorder="1"/>
    <xf numFmtId="0" fontId="0" fillId="15" borderId="0" xfId="0" applyFill="1" applyBorder="1" applyAlignment="1">
      <alignment horizontal="center"/>
    </xf>
    <xf numFmtId="0" fontId="0" fillId="15" borderId="7" xfId="0" applyFill="1" applyBorder="1"/>
    <xf numFmtId="165" fontId="3" fillId="15" borderId="65" xfId="0" applyNumberFormat="1" applyFont="1" applyFill="1" applyBorder="1" applyAlignment="1">
      <alignment horizontal="center" vertical="center" wrapText="1"/>
    </xf>
    <xf numFmtId="0" fontId="0" fillId="15" borderId="54" xfId="0" applyFill="1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15" borderId="22" xfId="0" applyFill="1" applyBorder="1"/>
    <xf numFmtId="0" fontId="0" fillId="15" borderId="23" xfId="0" applyFont="1" applyFill="1" applyBorder="1"/>
    <xf numFmtId="0" fontId="0" fillId="15" borderId="23" xfId="0" applyFill="1" applyBorder="1"/>
    <xf numFmtId="4" fontId="0" fillId="15" borderId="23" xfId="0" applyNumberFormat="1" applyFill="1" applyBorder="1" applyAlignment="1"/>
    <xf numFmtId="0" fontId="0" fillId="15" borderId="101" xfId="0" applyFill="1" applyBorder="1"/>
    <xf numFmtId="0" fontId="0" fillId="15" borderId="102" xfId="0" applyFill="1" applyBorder="1"/>
    <xf numFmtId="0" fontId="0" fillId="15" borderId="24" xfId="0" applyFill="1" applyBorder="1"/>
    <xf numFmtId="0" fontId="4" fillId="0" borderId="86" xfId="0" applyFont="1" applyBorder="1"/>
    <xf numFmtId="0" fontId="4" fillId="0" borderId="87" xfId="0" applyFont="1" applyBorder="1"/>
    <xf numFmtId="0" fontId="3" fillId="0" borderId="18" xfId="0" applyFont="1" applyBorder="1"/>
    <xf numFmtId="2" fontId="3" fillId="0" borderId="0" xfId="0" applyNumberFormat="1" applyFont="1" applyBorder="1"/>
    <xf numFmtId="0" fontId="3" fillId="0" borderId="0" xfId="0" applyFont="1" applyBorder="1"/>
    <xf numFmtId="0" fontId="3" fillId="0" borderId="21" xfId="0" applyFont="1" applyBorder="1"/>
    <xf numFmtId="0" fontId="3" fillId="0" borderId="21" xfId="0" applyFont="1" applyFill="1" applyBorder="1"/>
    <xf numFmtId="0" fontId="4" fillId="0" borderId="27" xfId="0" applyFont="1" applyFill="1" applyBorder="1" applyAlignment="1">
      <alignment horizontal="center"/>
    </xf>
    <xf numFmtId="2" fontId="3" fillId="0" borderId="21" xfId="0" applyNumberFormat="1" applyFont="1" applyFill="1" applyBorder="1"/>
    <xf numFmtId="2" fontId="3" fillId="0" borderId="21" xfId="0" applyNumberFormat="1" applyFont="1" applyFill="1" applyBorder="1" applyAlignment="1"/>
    <xf numFmtId="2" fontId="0" fillId="0" borderId="21" xfId="0" applyNumberFormat="1" applyFill="1" applyBorder="1" applyAlignment="1"/>
    <xf numFmtId="2" fontId="4" fillId="0" borderId="9" xfId="0" applyNumberFormat="1" applyFont="1" applyFill="1" applyBorder="1"/>
    <xf numFmtId="2" fontId="0" fillId="2" borderId="0" xfId="0" applyNumberFormat="1" applyFill="1" applyBorder="1"/>
    <xf numFmtId="0" fontId="27" fillId="0" borderId="1" xfId="0" applyFont="1" applyFill="1" applyBorder="1"/>
    <xf numFmtId="0" fontId="25" fillId="0" borderId="11" xfId="0" applyFont="1" applyFill="1" applyBorder="1"/>
    <xf numFmtId="2" fontId="25" fillId="0" borderId="11" xfId="0" applyNumberFormat="1" applyFont="1" applyFill="1" applyBorder="1"/>
    <xf numFmtId="0" fontId="7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1" xfId="0" applyFill="1" applyBorder="1"/>
    <xf numFmtId="0" fontId="29" fillId="0" borderId="0" xfId="0" applyFont="1"/>
    <xf numFmtId="0" fontId="0" fillId="0" borderId="1" xfId="0" applyBorder="1"/>
    <xf numFmtId="0" fontId="0" fillId="0" borderId="1" xfId="0" applyFill="1" applyBorder="1"/>
    <xf numFmtId="0" fontId="7" fillId="10" borderId="1" xfId="0" applyFont="1" applyFill="1" applyBorder="1"/>
    <xf numFmtId="0" fontId="27" fillId="0" borderId="11" xfId="0" applyFont="1" applyFill="1" applyBorder="1"/>
    <xf numFmtId="0" fontId="25" fillId="0" borderId="1" xfId="0" applyFont="1" applyBorder="1"/>
    <xf numFmtId="0" fontId="25" fillId="12" borderId="1" xfId="0" applyFont="1" applyFill="1" applyBorder="1"/>
    <xf numFmtId="2" fontId="0" fillId="0" borderId="0" xfId="0" applyNumberFormat="1" applyFill="1" applyBorder="1" applyAlignment="1">
      <alignment horizontal="center"/>
    </xf>
    <xf numFmtId="0" fontId="4" fillId="0" borderId="35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/>
    <xf numFmtId="2" fontId="3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/>
    <xf numFmtId="0" fontId="30" fillId="0" borderId="0" xfId="0" applyFont="1" applyFill="1"/>
    <xf numFmtId="0" fontId="0" fillId="0" borderId="0" xfId="0" applyFill="1" applyBorder="1" applyAlignment="1"/>
    <xf numFmtId="0" fontId="0" fillId="0" borderId="1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5" fontId="0" fillId="0" borderId="0" xfId="0" applyNumberFormat="1"/>
    <xf numFmtId="0" fontId="23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 applyBorder="1" applyAlignment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10" borderId="0" xfId="0" applyFill="1"/>
    <xf numFmtId="14" fontId="4" fillId="0" borderId="7" xfId="0" applyNumberFormat="1" applyFont="1" applyBorder="1"/>
    <xf numFmtId="0" fontId="25" fillId="0" borderId="31" xfId="0" applyFont="1" applyFill="1" applyBorder="1"/>
    <xf numFmtId="2" fontId="4" fillId="0" borderId="8" xfId="0" applyNumberFormat="1" applyFont="1" applyFill="1" applyBorder="1"/>
    <xf numFmtId="0" fontId="25" fillId="0" borderId="8" xfId="0" applyFont="1" applyFill="1" applyBorder="1"/>
    <xf numFmtId="2" fontId="4" fillId="0" borderId="2" xfId="0" applyNumberFormat="1" applyFont="1" applyBorder="1" applyProtection="1">
      <protection hidden="1"/>
    </xf>
    <xf numFmtId="0" fontId="0" fillId="0" borderId="1" xfId="0" applyFill="1" applyBorder="1" applyAlignment="1"/>
    <xf numFmtId="0" fontId="0" fillId="10" borderId="1" xfId="0" applyFill="1" applyBorder="1" applyAlignment="1"/>
    <xf numFmtId="16" fontId="0" fillId="10" borderId="1" xfId="0" applyNumberFormat="1" applyFill="1" applyBorder="1"/>
    <xf numFmtId="16" fontId="0" fillId="0" borderId="0" xfId="0" applyNumberFormat="1" applyFill="1"/>
    <xf numFmtId="4" fontId="0" fillId="0" borderId="1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14" fontId="0" fillId="2" borderId="54" xfId="0" applyNumberFormat="1" applyFont="1" applyFill="1" applyBorder="1" applyAlignment="1">
      <alignment vertical="center"/>
    </xf>
    <xf numFmtId="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11" xfId="0" applyFont="1" applyFill="1" applyBorder="1" applyProtection="1">
      <protection hidden="1"/>
    </xf>
    <xf numFmtId="166" fontId="0" fillId="0" borderId="47" xfId="0" applyNumberFormat="1" applyFill="1" applyBorder="1" applyAlignment="1">
      <alignment horizontal="center" vertical="center"/>
    </xf>
    <xf numFmtId="0" fontId="0" fillId="0" borderId="4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45" xfId="0" applyFill="1" applyBorder="1" applyAlignment="1">
      <alignment horizontal="left"/>
    </xf>
    <xf numFmtId="0" fontId="0" fillId="0" borderId="73" xfId="0" applyFill="1" applyBorder="1" applyAlignment="1">
      <alignment horizontal="right"/>
    </xf>
    <xf numFmtId="0" fontId="0" fillId="0" borderId="27" xfId="0" applyFill="1" applyBorder="1"/>
    <xf numFmtId="0" fontId="0" fillId="13" borderId="23" xfId="0" applyFill="1" applyBorder="1"/>
    <xf numFmtId="2" fontId="0" fillId="12" borderId="24" xfId="0" applyNumberFormat="1" applyFill="1" applyBorder="1"/>
    <xf numFmtId="166" fontId="0" fillId="0" borderId="1" xfId="0" applyNumberFormat="1" applyFill="1" applyBorder="1" applyAlignment="1">
      <alignment horizontal="center" vertical="center"/>
    </xf>
    <xf numFmtId="0" fontId="3" fillId="0" borderId="107" xfId="0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4" fontId="3" fillId="0" borderId="14" xfId="0" applyNumberFormat="1" applyFont="1" applyFill="1" applyBorder="1" applyAlignment="1">
      <alignment horizontal="center" vertical="center"/>
    </xf>
    <xf numFmtId="166" fontId="0" fillId="0" borderId="14" xfId="0" applyNumberFormat="1" applyBorder="1" applyAlignment="1">
      <alignment horizontal="center"/>
    </xf>
    <xf numFmtId="2" fontId="0" fillId="0" borderId="0" xfId="0" applyNumberFormat="1" applyFill="1" applyBorder="1" applyAlignment="1">
      <alignment vertical="center"/>
    </xf>
    <xf numFmtId="4" fontId="0" fillId="6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wrapText="1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/>
    <xf numFmtId="0" fontId="4" fillId="0" borderId="31" xfId="0" applyFont="1" applyFill="1" applyBorder="1"/>
    <xf numFmtId="0" fontId="25" fillId="6" borderId="11" xfId="0" applyFont="1" applyFill="1" applyBorder="1"/>
    <xf numFmtId="14" fontId="8" fillId="0" borderId="0" xfId="0" applyNumberFormat="1" applyFont="1" applyBorder="1" applyAlignment="1">
      <alignment wrapText="1"/>
    </xf>
    <xf numFmtId="14" fontId="8" fillId="0" borderId="1" xfId="0" applyNumberFormat="1" applyFont="1" applyBorder="1" applyAlignment="1">
      <alignment wrapText="1"/>
    </xf>
    <xf numFmtId="2" fontId="0" fillId="0" borderId="0" xfId="0" applyNumberFormat="1" applyFill="1" applyBorder="1" applyAlignment="1">
      <alignment horizontal="left"/>
    </xf>
    <xf numFmtId="0" fontId="0" fillId="0" borderId="0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/>
    <xf numFmtId="2" fontId="3" fillId="0" borderId="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45" xfId="0" applyFill="1" applyBorder="1" applyAlignment="1">
      <alignment horizontal="left"/>
    </xf>
    <xf numFmtId="0" fontId="0" fillId="0" borderId="54" xfId="0" applyFill="1" applyBorder="1"/>
    <xf numFmtId="0" fontId="4" fillId="0" borderId="0" xfId="0" applyFont="1" applyBorder="1" applyAlignment="1">
      <alignment horizontal="center"/>
    </xf>
    <xf numFmtId="2" fontId="27" fillId="0" borderId="0" xfId="0" applyNumberFormat="1" applyFont="1" applyFill="1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/>
    <xf numFmtId="0" fontId="0" fillId="0" borderId="45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167" fontId="2" fillId="0" borderId="0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/>
    </xf>
    <xf numFmtId="14" fontId="0" fillId="6" borderId="54" xfId="0" applyNumberFormat="1" applyFont="1" applyFill="1" applyBorder="1" applyAlignment="1">
      <alignment vertical="center"/>
    </xf>
    <xf numFmtId="16" fontId="0" fillId="6" borderId="54" xfId="0" applyNumberFormat="1" applyFill="1" applyBorder="1"/>
    <xf numFmtId="4" fontId="3" fillId="6" borderId="1" xfId="0" applyNumberFormat="1" applyFont="1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0" xfId="0" applyNumberFormat="1" applyFill="1" applyBorder="1"/>
    <xf numFmtId="16" fontId="0" fillId="6" borderId="0" xfId="0" applyNumberFormat="1" applyFill="1" applyBorder="1"/>
    <xf numFmtId="0" fontId="0" fillId="6" borderId="0" xfId="0" applyFill="1"/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/>
    <xf numFmtId="0" fontId="0" fillId="0" borderId="45" xfId="0" applyFill="1" applyBorder="1" applyAlignment="1">
      <alignment horizontal="left"/>
    </xf>
    <xf numFmtId="0" fontId="3" fillId="0" borderId="108" xfId="0" applyFont="1" applyFill="1" applyBorder="1" applyAlignment="1">
      <alignment horizontal="center" vertical="center"/>
    </xf>
    <xf numFmtId="166" fontId="0" fillId="0" borderId="96" xfId="0" applyNumberFormat="1" applyBorder="1" applyAlignment="1">
      <alignment horizontal="center"/>
    </xf>
    <xf numFmtId="16" fontId="3" fillId="0" borderId="0" xfId="0" applyNumberFormat="1" applyFont="1"/>
    <xf numFmtId="0" fontId="0" fillId="0" borderId="0" xfId="0" applyAlignment="1">
      <alignment horizontal="center"/>
    </xf>
    <xf numFmtId="0" fontId="0" fillId="0" borderId="32" xfId="0" applyFill="1" applyBorder="1" applyAlignment="1">
      <alignment horizontal="right"/>
    </xf>
    <xf numFmtId="166" fontId="0" fillId="0" borderId="7" xfId="0" applyNumberFormat="1" applyFill="1" applyBorder="1" applyAlignment="1">
      <alignment horizontal="center" vertical="center"/>
    </xf>
    <xf numFmtId="0" fontId="0" fillId="0" borderId="1" xfId="0" applyBorder="1"/>
    <xf numFmtId="4" fontId="0" fillId="0" borderId="0" xfId="0" applyNumberFormat="1" applyFill="1" applyBorder="1" applyAlignment="1">
      <alignment vertical="center"/>
    </xf>
    <xf numFmtId="0" fontId="0" fillId="0" borderId="1" xfId="0" applyBorder="1"/>
    <xf numFmtId="0" fontId="0" fillId="0" borderId="9" xfId="0" applyBorder="1"/>
    <xf numFmtId="2" fontId="3" fillId="0" borderId="9" xfId="0" applyNumberFormat="1" applyFont="1" applyBorder="1"/>
    <xf numFmtId="2" fontId="3" fillId="0" borderId="9" xfId="0" applyNumberFormat="1" applyFont="1" applyFill="1" applyBorder="1"/>
    <xf numFmtId="0" fontId="4" fillId="10" borderId="1" xfId="0" applyFont="1" applyFill="1" applyBorder="1"/>
    <xf numFmtId="2" fontId="0" fillId="2" borderId="5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9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45" xfId="0" applyFill="1" applyBorder="1" applyAlignment="1">
      <alignment horizontal="left"/>
    </xf>
    <xf numFmtId="2" fontId="0" fillId="0" borderId="18" xfId="0" applyNumberFormat="1" applyFill="1" applyBorder="1" applyAlignment="1"/>
    <xf numFmtId="2" fontId="0" fillId="0" borderId="4" xfId="0" applyNumberFormat="1" applyFill="1" applyBorder="1" applyAlignment="1"/>
    <xf numFmtId="0" fontId="0" fillId="0" borderId="36" xfId="0" applyFill="1" applyBorder="1"/>
    <xf numFmtId="0" fontId="34" fillId="0" borderId="1" xfId="0" applyFont="1" applyBorder="1"/>
    <xf numFmtId="0" fontId="27" fillId="0" borderId="1" xfId="0" applyFont="1" applyBorder="1"/>
    <xf numFmtId="2" fontId="27" fillId="0" borderId="1" xfId="0" applyNumberFormat="1" applyFont="1" applyBorder="1"/>
    <xf numFmtId="2" fontId="10" fillId="0" borderId="1" xfId="0" applyNumberFormat="1" applyFont="1" applyFill="1" applyBorder="1"/>
    <xf numFmtId="0" fontId="27" fillId="10" borderId="1" xfId="0" applyFont="1" applyFill="1" applyBorder="1"/>
    <xf numFmtId="0" fontId="27" fillId="12" borderId="1" xfId="0" applyFont="1" applyFill="1" applyBorder="1"/>
    <xf numFmtId="0" fontId="10" fillId="12" borderId="1" xfId="0" applyFont="1" applyFill="1" applyBorder="1"/>
    <xf numFmtId="0" fontId="27" fillId="10" borderId="1" xfId="0" applyFont="1" applyFill="1" applyBorder="1" applyAlignment="1" applyProtection="1">
      <protection hidden="1"/>
    </xf>
    <xf numFmtId="0" fontId="10" fillId="10" borderId="1" xfId="0" applyFont="1" applyFill="1" applyBorder="1"/>
    <xf numFmtId="165" fontId="3" fillId="23" borderId="2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27" fillId="2" borderId="1" xfId="0" applyNumberFormat="1" applyFont="1" applyFill="1" applyBorder="1"/>
    <xf numFmtId="14" fontId="8" fillId="0" borderId="0" xfId="0" applyNumberFormat="1" applyFont="1" applyBorder="1" applyAlignment="1">
      <alignment horizontal="center" wrapText="1"/>
    </xf>
    <xf numFmtId="14" fontId="8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2" xfId="0" applyFill="1" applyBorder="1"/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/>
    <xf numFmtId="0" fontId="0" fillId="0" borderId="9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Fill="1" applyBorder="1"/>
    <xf numFmtId="0" fontId="0" fillId="0" borderId="45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vertical="center"/>
    </xf>
    <xf numFmtId="0" fontId="3" fillId="0" borderId="17" xfId="0" applyFont="1" applyBorder="1"/>
    <xf numFmtId="166" fontId="0" fillId="0" borderId="47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3" fillId="2" borderId="0" xfId="0" applyFont="1" applyFill="1"/>
    <xf numFmtId="2" fontId="0" fillId="0" borderId="9" xfId="0" applyNumberFormat="1" applyBorder="1"/>
    <xf numFmtId="0" fontId="0" fillId="0" borderId="110" xfId="0" applyBorder="1"/>
    <xf numFmtId="0" fontId="0" fillId="0" borderId="111" xfId="0" applyBorder="1"/>
    <xf numFmtId="0" fontId="0" fillId="0" borderId="109" xfId="0" applyBorder="1"/>
    <xf numFmtId="1" fontId="0" fillId="0" borderId="9" xfId="0" applyNumberFormat="1" applyBorder="1"/>
    <xf numFmtId="1" fontId="0" fillId="0" borderId="1" xfId="0" applyNumberFormat="1" applyBorder="1"/>
    <xf numFmtId="165" fontId="3" fillId="2" borderId="65" xfId="0" applyNumberFormat="1" applyFont="1" applyFill="1" applyBorder="1" applyAlignment="1">
      <alignment horizontal="center" vertical="center" wrapText="1"/>
    </xf>
    <xf numFmtId="4" fontId="0" fillId="0" borderId="0" xfId="0" applyNumberFormat="1" applyFill="1" applyBorder="1" applyAlignment="1">
      <alignment horizontal="left"/>
    </xf>
    <xf numFmtId="0" fontId="4" fillId="0" borderId="31" xfId="0" applyFont="1" applyBorder="1" applyProtection="1">
      <protection hidden="1"/>
    </xf>
    <xf numFmtId="0" fontId="4" fillId="0" borderId="8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4" fillId="0" borderId="41" xfId="0" applyFont="1" applyBorder="1" applyProtection="1">
      <protection hidden="1"/>
    </xf>
    <xf numFmtId="0" fontId="4" fillId="0" borderId="13" xfId="0" applyFont="1" applyBorder="1" applyProtection="1">
      <protection hidden="1"/>
    </xf>
    <xf numFmtId="0" fontId="4" fillId="0" borderId="32" xfId="0" applyFont="1" applyBorder="1" applyProtection="1">
      <protection hidden="1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16" fontId="4" fillId="0" borderId="11" xfId="0" applyNumberFormat="1" applyFont="1" applyBorder="1" applyAlignment="1" applyProtection="1">
      <alignment horizontal="left"/>
      <protection hidden="1"/>
    </xf>
    <xf numFmtId="16" fontId="4" fillId="0" borderId="45" xfId="0" applyNumberFormat="1" applyFont="1" applyBorder="1" applyAlignment="1" applyProtection="1">
      <alignment horizontal="left"/>
      <protection hidden="1"/>
    </xf>
    <xf numFmtId="16" fontId="4" fillId="0" borderId="9" xfId="0" applyNumberFormat="1" applyFont="1" applyBorder="1" applyAlignment="1" applyProtection="1">
      <alignment horizontal="left"/>
      <protection hidden="1"/>
    </xf>
    <xf numFmtId="14" fontId="0" fillId="0" borderId="18" xfId="0" applyNumberFormat="1" applyBorder="1" applyAlignment="1">
      <alignment horizontal="center"/>
    </xf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2" fontId="4" fillId="0" borderId="22" xfId="0" applyNumberFormat="1" applyFont="1" applyBorder="1" applyAlignment="1">
      <alignment horizontal="center" wrapText="1"/>
    </xf>
    <xf numFmtId="2" fontId="4" fillId="0" borderId="23" xfId="0" applyNumberFormat="1" applyFont="1" applyBorder="1" applyAlignment="1">
      <alignment horizontal="center" wrapText="1"/>
    </xf>
    <xf numFmtId="2" fontId="0" fillId="2" borderId="30" xfId="0" applyNumberFormat="1" applyFill="1" applyBorder="1" applyAlignment="1">
      <alignment horizontal="center" wrapText="1"/>
    </xf>
    <xf numFmtId="2" fontId="0" fillId="0" borderId="30" xfId="0" applyNumberFormat="1" applyFill="1" applyBorder="1" applyAlignment="1">
      <alignment horizontal="center" wrapText="1"/>
    </xf>
    <xf numFmtId="2" fontId="4" fillId="2" borderId="7" xfId="0" applyNumberFormat="1" applyFont="1" applyFill="1" applyBorder="1" applyAlignment="1">
      <alignment horizontal="center" wrapText="1"/>
    </xf>
    <xf numFmtId="2" fontId="4" fillId="2" borderId="14" xfId="0" applyNumberFormat="1" applyFont="1" applyFill="1" applyBorder="1" applyAlignment="1">
      <alignment horizontal="center" wrapText="1"/>
    </xf>
    <xf numFmtId="0" fontId="33" fillId="0" borderId="18" xfId="0" applyFont="1" applyBorder="1" applyAlignment="1">
      <alignment horizontal="center"/>
    </xf>
    <xf numFmtId="0" fontId="33" fillId="0" borderId="19" xfId="0" applyFont="1" applyBorder="1" applyAlignment="1">
      <alignment horizontal="center"/>
    </xf>
    <xf numFmtId="2" fontId="0" fillId="0" borderId="21" xfId="0" applyNumberFormat="1" applyFill="1" applyBorder="1" applyAlignment="1">
      <alignment horizontal="center" wrapText="1"/>
    </xf>
    <xf numFmtId="2" fontId="0" fillId="2" borderId="21" xfId="0" applyNumberFormat="1" applyFill="1" applyBorder="1" applyAlignment="1">
      <alignment horizontal="center" wrapText="1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12" borderId="49" xfId="0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0" xfId="0" applyFill="1" applyBorder="1" applyAlignment="1"/>
    <xf numFmtId="0" fontId="16" fillId="0" borderId="0" xfId="0" applyFont="1" applyFill="1" applyBorder="1" applyAlignment="1">
      <alignment horizontal="center"/>
    </xf>
    <xf numFmtId="0" fontId="16" fillId="0" borderId="49" xfId="0" applyFont="1" applyFill="1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9" xfId="0" applyBorder="1" applyAlignment="1">
      <alignment horizontal="center"/>
    </xf>
    <xf numFmtId="0" fontId="1" fillId="4" borderId="50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164" fontId="2" fillId="4" borderId="5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5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4" borderId="52" xfId="0" applyNumberFormat="1" applyFont="1" applyFill="1" applyBorder="1" applyAlignment="1">
      <alignment horizontal="center" vertical="center" wrapText="1"/>
    </xf>
    <xf numFmtId="164" fontId="2" fillId="4" borderId="26" xfId="0" applyNumberFormat="1" applyFont="1" applyFill="1" applyBorder="1" applyAlignment="1">
      <alignment horizontal="center" vertical="center" wrapText="1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3" xfId="0" applyBorder="1"/>
    <xf numFmtId="0" fontId="0" fillId="0" borderId="9" xfId="0" applyBorder="1"/>
    <xf numFmtId="0" fontId="15" fillId="0" borderId="1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11" xfId="0" applyBorder="1"/>
    <xf numFmtId="0" fontId="1" fillId="4" borderId="9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2" fillId="4" borderId="29" xfId="0" applyNumberFormat="1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4" borderId="2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9" xfId="0" applyBorder="1" applyAlignment="1">
      <alignment horizontal="center"/>
    </xf>
    <xf numFmtId="14" fontId="0" fillId="0" borderId="28" xfId="0" applyNumberFormat="1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5" borderId="86" xfId="0" applyFill="1" applyBorder="1" applyAlignment="1">
      <alignment horizontal="center"/>
    </xf>
    <xf numFmtId="0" fontId="0" fillId="15" borderId="87" xfId="0" applyFill="1" applyBorder="1" applyAlignment="1">
      <alignment horizontal="center"/>
    </xf>
    <xf numFmtId="0" fontId="0" fillId="15" borderId="88" xfId="0" applyFill="1" applyBorder="1" applyAlignment="1">
      <alignment horizontal="center"/>
    </xf>
    <xf numFmtId="0" fontId="0" fillId="15" borderId="89" xfId="0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15" borderId="71" xfId="0" applyFill="1" applyBorder="1" applyAlignment="1">
      <alignment horizontal="center"/>
    </xf>
    <xf numFmtId="0" fontId="0" fillId="15" borderId="78" xfId="0" applyFill="1" applyBorder="1" applyAlignment="1">
      <alignment horizontal="center"/>
    </xf>
    <xf numFmtId="0" fontId="0" fillId="15" borderId="79" xfId="0" applyFill="1" applyBorder="1" applyAlignment="1">
      <alignment horizontal="center"/>
    </xf>
    <xf numFmtId="0" fontId="0" fillId="15" borderId="83" xfId="0" applyFill="1" applyBorder="1"/>
    <xf numFmtId="0" fontId="0" fillId="15" borderId="9" xfId="0" applyFill="1" applyBorder="1"/>
    <xf numFmtId="0" fontId="1" fillId="21" borderId="50" xfId="0" applyFont="1" applyFill="1" applyBorder="1" applyAlignment="1">
      <alignment horizontal="center" vertical="center" wrapText="1"/>
    </xf>
    <xf numFmtId="0" fontId="1" fillId="21" borderId="54" xfId="0" applyFont="1" applyFill="1" applyBorder="1" applyAlignment="1">
      <alignment horizontal="center" vertical="center" wrapText="1"/>
    </xf>
    <xf numFmtId="164" fontId="2" fillId="21" borderId="51" xfId="0" applyNumberFormat="1" applyFont="1" applyFill="1" applyBorder="1" applyAlignment="1" applyProtection="1">
      <alignment horizontal="center" vertical="center" wrapText="1"/>
      <protection locked="0"/>
    </xf>
    <xf numFmtId="164" fontId="2" fillId="21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21" borderId="51" xfId="0" applyNumberFormat="1" applyFont="1" applyFill="1" applyBorder="1" applyAlignment="1">
      <alignment horizontal="center" vertical="center" wrapText="1"/>
    </xf>
    <xf numFmtId="164" fontId="2" fillId="21" borderId="1" xfId="0" applyNumberFormat="1" applyFont="1" applyFill="1" applyBorder="1" applyAlignment="1">
      <alignment horizontal="center" vertical="center" wrapText="1"/>
    </xf>
    <xf numFmtId="164" fontId="2" fillId="21" borderId="52" xfId="0" applyNumberFormat="1" applyFont="1" applyFill="1" applyBorder="1" applyAlignment="1">
      <alignment horizontal="center" vertical="center" wrapText="1"/>
    </xf>
    <xf numFmtId="164" fontId="2" fillId="21" borderId="26" xfId="0" applyNumberFormat="1" applyFont="1" applyFill="1" applyBorder="1" applyAlignment="1">
      <alignment horizontal="center" vertical="center" wrapText="1"/>
    </xf>
    <xf numFmtId="0" fontId="0" fillId="15" borderId="58" xfId="0" applyFill="1" applyBorder="1" applyAlignment="1">
      <alignment horizontal="center" vertical="center"/>
    </xf>
    <xf numFmtId="0" fontId="0" fillId="15" borderId="62" xfId="0" applyFill="1" applyBorder="1" applyAlignment="1">
      <alignment horizontal="center" vertical="center"/>
    </xf>
    <xf numFmtId="0" fontId="11" fillId="15" borderId="66" xfId="0" applyFont="1" applyFill="1" applyBorder="1" applyAlignment="1">
      <alignment horizontal="center" vertical="center"/>
    </xf>
    <xf numFmtId="0" fontId="11" fillId="15" borderId="53" xfId="0" applyFont="1" applyFill="1" applyBorder="1" applyAlignment="1">
      <alignment horizontal="center" vertical="center"/>
    </xf>
    <xf numFmtId="0" fontId="11" fillId="15" borderId="67" xfId="0" applyFont="1" applyFill="1" applyBorder="1" applyAlignment="1">
      <alignment horizontal="center" vertical="center"/>
    </xf>
    <xf numFmtId="0" fontId="11" fillId="15" borderId="41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center"/>
    </xf>
    <xf numFmtId="0" fontId="0" fillId="15" borderId="53" xfId="0" applyFill="1" applyBorder="1" applyAlignment="1">
      <alignment horizontal="center" vertical="center"/>
    </xf>
    <xf numFmtId="0" fontId="0" fillId="15" borderId="59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2" xfId="0" applyFill="1" applyBorder="1"/>
    <xf numFmtId="0" fontId="0" fillId="15" borderId="1" xfId="0" applyFill="1" applyBorder="1"/>
    <xf numFmtId="0" fontId="0" fillId="15" borderId="1" xfId="0" applyFill="1" applyBorder="1" applyAlignment="1">
      <alignment horizontal="left"/>
    </xf>
    <xf numFmtId="0" fontId="0" fillId="15" borderId="11" xfId="0" applyFill="1" applyBorder="1" applyAlignment="1">
      <alignment horizontal="left"/>
    </xf>
    <xf numFmtId="0" fontId="0" fillId="15" borderId="9" xfId="0" applyFill="1" applyBorder="1" applyAlignment="1">
      <alignment horizontal="left"/>
    </xf>
    <xf numFmtId="0" fontId="0" fillId="15" borderId="23" xfId="0" applyFill="1" applyBorder="1" applyAlignment="1">
      <alignment horizontal="center"/>
    </xf>
    <xf numFmtId="0" fontId="28" fillId="15" borderId="0" xfId="0" applyFont="1" applyFill="1" applyBorder="1" applyAlignment="1">
      <alignment horizontal="center"/>
    </xf>
    <xf numFmtId="0" fontId="0" fillId="15" borderId="49" xfId="0" applyFill="1" applyBorder="1" applyAlignment="1">
      <alignment horizontal="center"/>
    </xf>
    <xf numFmtId="0" fontId="0" fillId="15" borderId="0" xfId="0" applyFill="1" applyBorder="1" applyAlignment="1"/>
    <xf numFmtId="0" fontId="16" fillId="15" borderId="0" xfId="0" applyFont="1" applyFill="1" applyBorder="1" applyAlignment="1">
      <alignment horizontal="center"/>
    </xf>
    <xf numFmtId="0" fontId="16" fillId="15" borderId="49" xfId="0" applyFont="1" applyFill="1" applyBorder="1" applyAlignment="1">
      <alignment horizontal="center"/>
    </xf>
    <xf numFmtId="0" fontId="0" fillId="15" borderId="74" xfId="0" applyFill="1" applyBorder="1" applyAlignment="1">
      <alignment horizontal="center"/>
    </xf>
    <xf numFmtId="0" fontId="0" fillId="15" borderId="51" xfId="0" applyFill="1" applyBorder="1" applyAlignment="1">
      <alignment horizontal="center"/>
    </xf>
    <xf numFmtId="0" fontId="0" fillId="15" borderId="52" xfId="0" applyFill="1" applyBorder="1" applyAlignment="1">
      <alignment horizontal="center"/>
    </xf>
    <xf numFmtId="0" fontId="0" fillId="15" borderId="58" xfId="0" applyFill="1" applyBorder="1" applyAlignment="1">
      <alignment horizontal="center"/>
    </xf>
    <xf numFmtId="0" fontId="0" fillId="15" borderId="53" xfId="0" applyFill="1" applyBorder="1" applyAlignment="1">
      <alignment horizontal="center"/>
    </xf>
    <xf numFmtId="0" fontId="0" fillId="15" borderId="59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50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Fill="1" applyBorder="1"/>
    <xf numFmtId="0" fontId="0" fillId="0" borderId="9" xfId="0" applyFill="1" applyBorder="1"/>
    <xf numFmtId="14" fontId="0" fillId="0" borderId="84" xfId="0" applyNumberFormat="1" applyFont="1" applyFill="1" applyBorder="1" applyAlignment="1">
      <alignment horizontal="center"/>
    </xf>
    <xf numFmtId="14" fontId="0" fillId="0" borderId="85" xfId="0" applyNumberFormat="1" applyFont="1" applyFill="1" applyBorder="1" applyAlignment="1">
      <alignment horizontal="center"/>
    </xf>
    <xf numFmtId="0" fontId="32" fillId="0" borderId="18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13" borderId="84" xfId="0" applyFill="1" applyBorder="1" applyAlignment="1">
      <alignment horizontal="center"/>
    </xf>
    <xf numFmtId="0" fontId="0" fillId="13" borderId="49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0" fontId="0" fillId="0" borderId="81" xfId="0" applyFill="1" applyBorder="1" applyAlignment="1">
      <alignment horizontal="center"/>
    </xf>
    <xf numFmtId="0" fontId="0" fillId="0" borderId="8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93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94" xfId="0" applyFill="1" applyBorder="1"/>
    <xf numFmtId="0" fontId="0" fillId="0" borderId="94" xfId="0" applyBorder="1"/>
    <xf numFmtId="14" fontId="0" fillId="0" borderId="11" xfId="0" applyNumberFormat="1" applyFill="1" applyBorder="1"/>
    <xf numFmtId="14" fontId="0" fillId="0" borderId="94" xfId="0" applyNumberFormat="1" applyFill="1" applyBorder="1"/>
    <xf numFmtId="0" fontId="0" fillId="0" borderId="84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2" xfId="0" applyBorder="1"/>
    <xf numFmtId="0" fontId="0" fillId="0" borderId="95" xfId="0" applyBorder="1"/>
    <xf numFmtId="0" fontId="0" fillId="13" borderId="57" xfId="0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100" xfId="0" applyBorder="1" applyAlignment="1">
      <alignment horizontal="center"/>
    </xf>
    <xf numFmtId="0" fontId="4" fillId="6" borderId="35" xfId="0" applyFont="1" applyFill="1" applyBorder="1" applyAlignment="1">
      <alignment horizontal="center" wrapText="1"/>
    </xf>
    <xf numFmtId="0" fontId="0" fillId="13" borderId="106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1" fillId="0" borderId="10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0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5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2" fontId="27" fillId="22" borderId="1" xfId="0" applyNumberFormat="1" applyFont="1" applyFill="1" applyBorder="1"/>
    <xf numFmtId="0" fontId="0" fillId="10" borderId="1" xfId="0" applyFill="1" applyBorder="1" applyAlignment="1">
      <alignment horizontal="center"/>
    </xf>
    <xf numFmtId="0" fontId="0" fillId="22" borderId="1" xfId="0" applyFill="1" applyBorder="1" applyAlignment="1">
      <alignment horizontal="center" vertical="center"/>
    </xf>
    <xf numFmtId="0" fontId="0" fillId="22" borderId="1" xfId="0" applyFill="1" applyBorder="1" applyAlignment="1"/>
    <xf numFmtId="2" fontId="4" fillId="22" borderId="1" xfId="0" applyNumberFormat="1" applyFont="1" applyFill="1" applyBorder="1"/>
    <xf numFmtId="2" fontId="0" fillId="22" borderId="8" xfId="0" applyNumberFormat="1" applyFill="1" applyBorder="1" applyAlignment="1">
      <alignment horizontal="center"/>
    </xf>
    <xf numFmtId="0" fontId="0" fillId="22" borderId="8" xfId="0" applyFill="1" applyBorder="1" applyAlignment="1">
      <alignment horizontal="center"/>
    </xf>
    <xf numFmtId="4" fontId="0" fillId="0" borderId="11" xfId="0" applyNumberForma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11" xfId="0" applyNumberFormat="1" applyFill="1" applyBorder="1"/>
    <xf numFmtId="14" fontId="0" fillId="6" borderId="94" xfId="0" applyNumberFormat="1" applyFill="1" applyBorder="1"/>
    <xf numFmtId="0" fontId="31" fillId="0" borderId="0" xfId="0" applyFont="1" applyBorder="1" applyAlignment="1">
      <alignment horizontal="center" wrapText="1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98"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088923884514437"/>
          <c:y val="3.969707651651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26159230096238"/>
          <c:y val="0.17171296296296298"/>
          <c:w val="0.85118362694150917"/>
          <c:h val="0.72714018174424455"/>
        </c:manualLayout>
      </c:layout>
      <c:lineChart>
        <c:grouping val="stacked"/>
        <c:varyColors val="0"/>
        <c:ser>
          <c:idx val="0"/>
          <c:order val="0"/>
          <c:tx>
            <c:v>выручка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ОБЩЕЕ!$C$51:$C$57</c:f>
              <c:strCache>
                <c:ptCount val="7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</c:strCache>
            </c:strRef>
          </c:cat>
          <c:val>
            <c:numRef>
              <c:f>ОБЩЕЕ!$D$51:$D$56</c:f>
              <c:numCache>
                <c:formatCode>0.00</c:formatCode>
                <c:ptCount val="6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A-4A1A-8071-A2DC7E1A91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9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8827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</a:t>
            </a:r>
          </a:p>
        </c:rich>
      </c:tx>
      <c:layout>
        <c:manualLayout>
          <c:xMode val="edge"/>
          <c:yMode val="edge"/>
          <c:x val="0.43301972727989663"/>
          <c:y val="3.969707651651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ОБЩЕЕ!$D$51:$D$57</c:f>
              <c:strCache>
                <c:ptCount val="7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ОБЩЕЕ!$C$51:$C$58</c:f>
              <c:strCache>
                <c:ptCount val="8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</c:strCache>
            </c:strRef>
          </c:cat>
          <c:val>
            <c:numRef>
              <c:f>ОБЩЕЕ!$D$51:$D$58</c:f>
              <c:numCache>
                <c:formatCode>0.00</c:formatCode>
                <c:ptCount val="8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8-469A-BAF0-B14509E053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8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3"/>
              <c:layout>
                <c:manualLayout>
                  <c:x val="-4.2513473434810656E-2"/>
                  <c:y val="2.182736649901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E4E-4E62-BF3C-A033CC5CCD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ОБЩЕЕ!$H$51:$H$56</c:f>
              <c:numCache>
                <c:formatCode>General</c:formatCode>
                <c:ptCount val="6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E-4E62-BF3C-A033CC5CCD87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2"/>
              <c:layout>
                <c:manualLayout>
                  <c:x val="-6.8458191437516691E-2"/>
                  <c:y val="1.74618931992113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4E-4E62-BF3C-A033CC5CCD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ОБЩЕЕ!$I$51:$I$56</c:f>
              <c:numCache>
                <c:formatCode>General</c:formatCode>
                <c:ptCount val="6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4E-4E62-BF3C-A033CC5CCD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3"/>
              <c:layout>
                <c:manualLayout>
                  <c:x val="-4.2513473434810656E-2"/>
                  <c:y val="2.182736649901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A56-4CEE-B7CB-C36DF5F818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ОБЩЕЕ!$H$51:$H$56</c:f>
              <c:numCache>
                <c:formatCode>General</c:formatCode>
                <c:ptCount val="6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56-4CEE-B7CB-C36DF5F818F8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2"/>
              <c:layout>
                <c:manualLayout>
                  <c:x val="-6.8458191437516691E-2"/>
                  <c:y val="1.74618931992113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56-4CEE-B7CB-C36DF5F818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ОБЩЕЕ!$I$51:$I$56</c:f>
              <c:numCache>
                <c:formatCode>General</c:formatCode>
                <c:ptCount val="6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56-4CEE-B7CB-C36DF5F818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ОБЩЕЕ!$D$51:$D$57</c:f>
              <c:strCache>
                <c:ptCount val="7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ОБЩЕЕ!$C$51:$C$58</c:f>
              <c:strCache>
                <c:ptCount val="8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</c:strCache>
            </c:strRef>
          </c:cat>
          <c:val>
            <c:numRef>
              <c:f>ОБЩЕЕ!$D$51:$D$58</c:f>
              <c:numCache>
                <c:formatCode>0.00</c:formatCode>
                <c:ptCount val="8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D-462A-8B8D-B521997D2A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4777814142507384"/>
          <c:y val="2.140537929849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688332604588896E-2"/>
          <c:y val="8.4536977339395511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cat>
          <c:val>
            <c:numRef>
              <c:f>ОБЩЕЕ!$L$52:$L$54</c:f>
              <c:numCache>
                <c:formatCode>#,##0.00</c:formatCode>
                <c:ptCount val="3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F-4B4D-8B24-1585EA33E9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ОБЩЕЕ!$N$50</c:f>
              <c:strCache>
                <c:ptCount val="1"/>
                <c:pt idx="0">
                  <c:v>декабрь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ОБЩЕЕ!$N$51:$N$53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ОБЩЕЕ!$O$51:$O$53</c:f>
              <c:numCache>
                <c:formatCode>#,##0.00</c:formatCode>
                <c:ptCount val="3"/>
                <c:pt idx="0" formatCode="#\ ##0.00_р_.">
                  <c:v>3192.5899999999997</c:v>
                </c:pt>
                <c:pt idx="1">
                  <c:v>2936.18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7-484D-8E92-0F9A7863A6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3"/>
              <c:layout>
                <c:manualLayout>
                  <c:x val="-4.2513473434810656E-2"/>
                  <c:y val="2.182736649901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D54-4244-8F3E-5D8C1A36C7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ОБЩЕЕ!$H$51:$H$57</c:f>
              <c:numCache>
                <c:formatCode>General</c:formatCode>
                <c:ptCount val="7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  <c:pt idx="6">
                  <c:v>918.57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4-4244-8F3E-5D8C1A36C7D4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2"/>
              <c:layout>
                <c:manualLayout>
                  <c:x val="-6.8458191437516691E-2"/>
                  <c:y val="1.74618931992113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54-4244-8F3E-5D8C1A36C7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ОБЩЕЕ!$F$51:$F$57</c:f>
              <c:strCache>
                <c:ptCount val="7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</c:strCache>
            </c:strRef>
          </c:cat>
          <c:val>
            <c:numRef>
              <c:f>ОБЩЕЕ!$I$51:$I$57</c:f>
              <c:numCache>
                <c:formatCode>General</c:formatCode>
                <c:ptCount val="7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  <c:pt idx="6">
                  <c:v>2039.02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54-4244-8F3E-5D8C1A36C7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ОБЩЕЕ!$D$51:$D$59</c:f>
              <c:strCache>
                <c:ptCount val="9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  <c:pt idx="7">
                  <c:v>31654,69</c:v>
                </c:pt>
                <c:pt idx="8">
                  <c:v>28891,40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ОБЩЕЕ!$C$51:$C$59</c:f>
              <c:strCache>
                <c:ptCount val="9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  <c:pt idx="8">
                  <c:v>январь</c:v>
                </c:pt>
              </c:strCache>
            </c:strRef>
          </c:cat>
          <c:val>
            <c:numRef>
              <c:f>ОБЩЕЕ!$D$51:$D$59</c:f>
              <c:numCache>
                <c:formatCode>0.00</c:formatCode>
                <c:ptCount val="9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  <c:pt idx="8">
                  <c:v>28891.4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6-4B6C-AE46-2D86AFB563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4777814142507384"/>
          <c:y val="2.140537929849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ОБЩЕЕ!$K$52:$K$54</c:f>
              <c:strCache>
                <c:ptCount val="3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</c:strCache>
            </c:strRef>
          </c:cat>
          <c:val>
            <c:numRef>
              <c:f>ОБЩЕЕ!$L$52:$L$54</c:f>
              <c:numCache>
                <c:formatCode>#,##0.00</c:formatCode>
                <c:ptCount val="3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F-4D51-9E3D-C25CB23648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ОБЩЕЕ!$N$50</c:f>
              <c:strCache>
                <c:ptCount val="1"/>
                <c:pt idx="0">
                  <c:v>декабрь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ОБЩЕЕ!$N$51:$N$53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ОБЩЕЕ!$O$51:$O$53</c:f>
              <c:numCache>
                <c:formatCode>#,##0.00</c:formatCode>
                <c:ptCount val="3"/>
                <c:pt idx="0" formatCode="#\ ##0.00_р_.">
                  <c:v>3192.5899999999997</c:v>
                </c:pt>
                <c:pt idx="1">
                  <c:v>2936.18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D-4159-90AA-500BB45AF4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ОБЩЕЕ!$H$51:$H$59</c:f>
              <c:numCache>
                <c:formatCode>General</c:formatCode>
                <c:ptCount val="9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  <c:pt idx="6">
                  <c:v>918.57</c:v>
                </c:pt>
                <c:pt idx="7">
                  <c:v>899.78</c:v>
                </c:pt>
                <c:pt idx="8">
                  <c:v>815.26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7-4FCB-B54C-E2B97A2A0A3B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ОБЩЕЕ!$I$51:$I$59</c:f>
              <c:numCache>
                <c:formatCode>General</c:formatCode>
                <c:ptCount val="9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  <c:pt idx="6">
                  <c:v>2039.02</c:v>
                </c:pt>
                <c:pt idx="7">
                  <c:v>1633.61</c:v>
                </c:pt>
                <c:pt idx="8">
                  <c:v>1564.38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7-4FCB-B54C-E2B97A2A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581162817524318E-3"/>
          <c:y val="0.50528756495124205"/>
          <c:w val="0.20276480945820355"/>
          <c:h val="0.17514698555057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ОБЩЕЕ!$D$51:$D$60</c:f>
              <c:strCache>
                <c:ptCount val="10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  <c:pt idx="7">
                  <c:v>31654,69</c:v>
                </c:pt>
                <c:pt idx="8">
                  <c:v>28891,40</c:v>
                </c:pt>
                <c:pt idx="9">
                  <c:v>28339,37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ОБЩЕЕ!$C$51:$C$60</c:f>
              <c:strCache>
                <c:ptCount val="10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  <c:pt idx="8">
                  <c:v>январь</c:v>
                </c:pt>
                <c:pt idx="9">
                  <c:v>февраль</c:v>
                </c:pt>
              </c:strCache>
            </c:strRef>
          </c:cat>
          <c:val>
            <c:numRef>
              <c:f>ОБЩЕЕ!$D$51:$D$60</c:f>
              <c:numCache>
                <c:formatCode>0.00</c:formatCode>
                <c:ptCount val="10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  <c:pt idx="8">
                  <c:v>28891.4</c:v>
                </c:pt>
                <c:pt idx="9" formatCode="General">
                  <c:v>28339.37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1-4B34-BB30-BA507CE79B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5952339775928751"/>
          <c:y val="7.41705783840762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ОБЩЕЕ!$K$52:$K$55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ОБЩЕЕ!$K$52:$K$55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cat>
          <c:val>
            <c:numRef>
              <c:f>ОБЩЕЕ!$L$52:$L$55</c:f>
              <c:numCache>
                <c:formatCode>#,##0.00</c:formatCode>
                <c:ptCount val="4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  <c:pt idx="3">
                  <c:v>8639.7199999999993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1-4885-B5E6-30861AEF23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ОБЩЕЕ!$J$50</c:f>
              <c:strCache>
                <c:ptCount val="1"/>
                <c:pt idx="0">
                  <c:v>ТЦ "вест"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7.7552536893153279E-2"/>
                  <c:y val="5.0251256281406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56E-413D-B64A-2B98A6C72936}"/>
                </c:ext>
              </c:extLst>
            </c:dLbl>
            <c:dLbl>
              <c:idx val="1"/>
              <c:layout>
                <c:manualLayout>
                  <c:x val="6.2153447706453915E-3"/>
                  <c:y val="4.18760469011725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6E-413D-B64A-2B98A6C729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ОБЩЕЕ!$F$56:$F$59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cat>
          <c:val>
            <c:numRef>
              <c:f>ОБЩЕЕ!$J$56:$J$59</c:f>
              <c:numCache>
                <c:formatCode>#,##0.00</c:formatCode>
                <c:ptCount val="4"/>
                <c:pt idx="0" formatCode="#\ ##0.00_р_.">
                  <c:v>199.36</c:v>
                </c:pt>
                <c:pt idx="1">
                  <c:v>703.01</c:v>
                </c:pt>
                <c:pt idx="2" formatCode="General">
                  <c:v>529.24</c:v>
                </c:pt>
                <c:pt idx="3" formatCode="General">
                  <c:v>500.24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6E-413D-B64A-2B98A6C729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ОБЩЕЕ!$H$51:$H$59</c:f>
              <c:numCache>
                <c:formatCode>General</c:formatCode>
                <c:ptCount val="9"/>
                <c:pt idx="0">
                  <c:v>660.88</c:v>
                </c:pt>
                <c:pt idx="1">
                  <c:v>965.66</c:v>
                </c:pt>
                <c:pt idx="2">
                  <c:v>632.44000000000005</c:v>
                </c:pt>
                <c:pt idx="3">
                  <c:v>868.92</c:v>
                </c:pt>
                <c:pt idx="4">
                  <c:v>1147.08</c:v>
                </c:pt>
                <c:pt idx="5">
                  <c:v>1035.6500000000001</c:v>
                </c:pt>
                <c:pt idx="6">
                  <c:v>918.57</c:v>
                </c:pt>
                <c:pt idx="7">
                  <c:v>899.78</c:v>
                </c:pt>
                <c:pt idx="8">
                  <c:v>815.26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6-4E8D-9DFF-DDEE7E30D1B2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ОБЩЕЕ!$F$51:$F$59</c:f>
              <c:strCache>
                <c:ptCount val="9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</c:strCache>
            </c:strRef>
          </c:cat>
          <c:val>
            <c:numRef>
              <c:f>ОБЩЕЕ!$I$51:$I$59</c:f>
              <c:numCache>
                <c:formatCode>General</c:formatCode>
                <c:ptCount val="9"/>
                <c:pt idx="0">
                  <c:v>1841.27</c:v>
                </c:pt>
                <c:pt idx="1">
                  <c:v>2164.75</c:v>
                </c:pt>
                <c:pt idx="2">
                  <c:v>547.82000000000005</c:v>
                </c:pt>
                <c:pt idx="3">
                  <c:v>1157.48</c:v>
                </c:pt>
                <c:pt idx="4">
                  <c:v>1780.71</c:v>
                </c:pt>
                <c:pt idx="5">
                  <c:v>1458.67</c:v>
                </c:pt>
                <c:pt idx="6">
                  <c:v>2039.02</c:v>
                </c:pt>
                <c:pt idx="7">
                  <c:v>1633.61</c:v>
                </c:pt>
                <c:pt idx="8">
                  <c:v>1564.38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6-4E8D-9DFF-DDEE7E30D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1581162817524318E-3"/>
          <c:y val="0.50528756495124205"/>
          <c:w val="0.20276480945820355"/>
          <c:h val="0.17514698555057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ОБЩЕЕ!$D$51:$D$61</c:f>
              <c:strCache>
                <c:ptCount val="11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  <c:pt idx="7">
                  <c:v>31654,69</c:v>
                </c:pt>
                <c:pt idx="8">
                  <c:v>28891,40</c:v>
                </c:pt>
                <c:pt idx="9">
                  <c:v>28339,37</c:v>
                </c:pt>
                <c:pt idx="10">
                  <c:v>28933,90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ОБЩЕЕ!$C$51:$C$61</c:f>
              <c:strCache>
                <c:ptCount val="11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  <c:pt idx="8">
                  <c:v>январь</c:v>
                </c:pt>
                <c:pt idx="9">
                  <c:v>февраль</c:v>
                </c:pt>
                <c:pt idx="10">
                  <c:v>март</c:v>
                </c:pt>
              </c:strCache>
            </c:strRef>
          </c:cat>
          <c:val>
            <c:numRef>
              <c:f>ОБЩЕЕ!$D$51:$D$61</c:f>
              <c:numCache>
                <c:formatCode>0.00</c:formatCode>
                <c:ptCount val="11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  <c:pt idx="8">
                  <c:v>28891.4</c:v>
                </c:pt>
                <c:pt idx="9" formatCode="General">
                  <c:v>28339.37</c:v>
                </c:pt>
                <c:pt idx="10">
                  <c:v>28933.9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25-4DCB-9CFF-C05B0C1ED0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5952339775928751"/>
          <c:y val="7.41705783840762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ОБЩЕЕ!$K$52:$K$56</c:f>
              <c:strCache>
                <c:ptCount val="5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ОБЩЕЕ!$K$52:$K$56</c:f>
              <c:strCache>
                <c:ptCount val="5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</c:strCache>
            </c:strRef>
          </c:cat>
          <c:val>
            <c:numRef>
              <c:f>ОБЩЕЕ!$L$52:$L$56</c:f>
              <c:numCache>
                <c:formatCode>#,##0.00</c:formatCode>
                <c:ptCount val="5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  <c:pt idx="3">
                  <c:v>8639.7199999999993</c:v>
                </c:pt>
                <c:pt idx="4">
                  <c:v>12605.26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9-4E64-A1BD-B604E30DCA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5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ОБЩЕЕ!$J$50</c:f>
              <c:strCache>
                <c:ptCount val="1"/>
                <c:pt idx="0">
                  <c:v>ТЦ "вест"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7.7552536893153279E-2"/>
                  <c:y val="5.0251256281406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FC-44FB-84E5-16C7816801F3}"/>
                </c:ext>
              </c:extLst>
            </c:dLbl>
            <c:dLbl>
              <c:idx val="1"/>
              <c:layout>
                <c:manualLayout>
                  <c:x val="6.2153447706453915E-3"/>
                  <c:y val="4.18760469011725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FC-44FB-84E5-16C7816801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ОБЩЕЕ!$F$56:$F$59</c:f>
              <c:strCache>
                <c:ptCount val="4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</c:strCache>
            </c:strRef>
          </c:cat>
          <c:val>
            <c:numRef>
              <c:f>ОБЩЕЕ!$J$56:$J$59</c:f>
              <c:numCache>
                <c:formatCode>#,##0.00</c:formatCode>
                <c:ptCount val="4"/>
                <c:pt idx="0" formatCode="#\ ##0.00_р_.">
                  <c:v>199.36</c:v>
                </c:pt>
                <c:pt idx="1">
                  <c:v>703.01</c:v>
                </c:pt>
                <c:pt idx="2" formatCode="General">
                  <c:v>529.24</c:v>
                </c:pt>
                <c:pt idx="3" formatCode="General">
                  <c:v>500.24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FC-44FB-84E5-16C7816801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ОБЩЕЕ!$F$53:$F$60</c:f>
              <c:strCache>
                <c:ptCount val="8"/>
                <c:pt idx="0">
                  <c:v>август</c:v>
                </c:pt>
                <c:pt idx="1">
                  <c:v>сент</c:v>
                </c:pt>
                <c:pt idx="2">
                  <c:v>октябрь</c:v>
                </c:pt>
                <c:pt idx="3">
                  <c:v>ноябрь</c:v>
                </c:pt>
                <c:pt idx="4">
                  <c:v>декабрь</c:v>
                </c:pt>
                <c:pt idx="5">
                  <c:v>январь</c:v>
                </c:pt>
                <c:pt idx="6">
                  <c:v>февраль</c:v>
                </c:pt>
                <c:pt idx="7">
                  <c:v>март</c:v>
                </c:pt>
              </c:strCache>
            </c:strRef>
          </c:cat>
          <c:val>
            <c:numRef>
              <c:f>ОБЩЕЕ!$H$53:$H$60</c:f>
              <c:numCache>
                <c:formatCode>General</c:formatCode>
                <c:ptCount val="8"/>
                <c:pt idx="0">
                  <c:v>632.44000000000005</c:v>
                </c:pt>
                <c:pt idx="1">
                  <c:v>868.92</c:v>
                </c:pt>
                <c:pt idx="2">
                  <c:v>1147.08</c:v>
                </c:pt>
                <c:pt idx="3">
                  <c:v>1035.6500000000001</c:v>
                </c:pt>
                <c:pt idx="4">
                  <c:v>918.57</c:v>
                </c:pt>
                <c:pt idx="5">
                  <c:v>899.78</c:v>
                </c:pt>
                <c:pt idx="6">
                  <c:v>815.26</c:v>
                </c:pt>
                <c:pt idx="7">
                  <c:v>1117.0999999999999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4-4DDD-9542-93A4C9772870}"/>
            </c:ext>
          </c:extLst>
        </c:ser>
        <c:ser>
          <c:idx val="1"/>
          <c:order val="1"/>
          <c:tx>
            <c:strRef>
              <c:f>ОБЩЕЕ!$I$50</c:f>
              <c:strCache>
                <c:ptCount val="1"/>
                <c:pt idx="0">
                  <c:v>ТЦ "галерея"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ОБЩЕЕ!$F$53:$F$60</c:f>
              <c:strCache>
                <c:ptCount val="8"/>
                <c:pt idx="0">
                  <c:v>август</c:v>
                </c:pt>
                <c:pt idx="1">
                  <c:v>сент</c:v>
                </c:pt>
                <c:pt idx="2">
                  <c:v>октябрь</c:v>
                </c:pt>
                <c:pt idx="3">
                  <c:v>ноябрь</c:v>
                </c:pt>
                <c:pt idx="4">
                  <c:v>декабрь</c:v>
                </c:pt>
                <c:pt idx="5">
                  <c:v>январь</c:v>
                </c:pt>
                <c:pt idx="6">
                  <c:v>февраль</c:v>
                </c:pt>
                <c:pt idx="7">
                  <c:v>март</c:v>
                </c:pt>
              </c:strCache>
            </c:strRef>
          </c:cat>
          <c:val>
            <c:numRef>
              <c:f>ОБЩЕЕ!$I$53:$I$60</c:f>
              <c:numCache>
                <c:formatCode>General</c:formatCode>
                <c:ptCount val="8"/>
                <c:pt idx="0">
                  <c:v>547.82000000000005</c:v>
                </c:pt>
                <c:pt idx="1">
                  <c:v>1157.48</c:v>
                </c:pt>
                <c:pt idx="2">
                  <c:v>1780.71</c:v>
                </c:pt>
                <c:pt idx="3">
                  <c:v>1458.67</c:v>
                </c:pt>
                <c:pt idx="4">
                  <c:v>2039.02</c:v>
                </c:pt>
                <c:pt idx="5">
                  <c:v>1633.61</c:v>
                </c:pt>
                <c:pt idx="6">
                  <c:v>1564.38</c:v>
                </c:pt>
                <c:pt idx="7">
                  <c:v>1788.81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4-4DDD-9542-93A4C9772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ОБЩЕЕ!$D$51:$D$62</c:f>
              <c:strCache>
                <c:ptCount val="12"/>
                <c:pt idx="0">
                  <c:v>33392,17</c:v>
                </c:pt>
                <c:pt idx="1">
                  <c:v>32809,90</c:v>
                </c:pt>
                <c:pt idx="2">
                  <c:v>35259,58</c:v>
                </c:pt>
                <c:pt idx="3">
                  <c:v>34690,22</c:v>
                </c:pt>
                <c:pt idx="4">
                  <c:v>30955,48</c:v>
                </c:pt>
                <c:pt idx="5">
                  <c:v>31239,44</c:v>
                </c:pt>
                <c:pt idx="6">
                  <c:v>28986,99</c:v>
                </c:pt>
                <c:pt idx="7">
                  <c:v>31654,69</c:v>
                </c:pt>
                <c:pt idx="8">
                  <c:v>28891,40</c:v>
                </c:pt>
                <c:pt idx="9">
                  <c:v>28339,37</c:v>
                </c:pt>
                <c:pt idx="10">
                  <c:v>28933,90</c:v>
                </c:pt>
                <c:pt idx="11">
                  <c:v>23375,09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ОБЩЕЕ!$C$51:$C$62</c:f>
              <c:strCache>
                <c:ptCount val="12"/>
                <c:pt idx="0">
                  <c:v>май</c:v>
                </c:pt>
                <c:pt idx="1">
                  <c:v>июнь</c:v>
                </c:pt>
                <c:pt idx="2">
                  <c:v>июль</c:v>
                </c:pt>
                <c:pt idx="3">
                  <c:v>август</c:v>
                </c:pt>
                <c:pt idx="4">
                  <c:v>сентябрь</c:v>
                </c:pt>
                <c:pt idx="5">
                  <c:v>октябрь</c:v>
                </c:pt>
                <c:pt idx="6">
                  <c:v>ноябрь</c:v>
                </c:pt>
                <c:pt idx="7">
                  <c:v>декабрь</c:v>
                </c:pt>
                <c:pt idx="8">
                  <c:v>январь</c:v>
                </c:pt>
                <c:pt idx="9">
                  <c:v>февраль</c:v>
                </c:pt>
                <c:pt idx="10">
                  <c:v>март</c:v>
                </c:pt>
                <c:pt idx="11">
                  <c:v>апрель</c:v>
                </c:pt>
              </c:strCache>
            </c:strRef>
          </c:cat>
          <c:val>
            <c:numRef>
              <c:f>ОБЩЕЕ!$D$51:$D$62</c:f>
              <c:numCache>
                <c:formatCode>0.00</c:formatCode>
                <c:ptCount val="12"/>
                <c:pt idx="0">
                  <c:v>33392.170000000006</c:v>
                </c:pt>
                <c:pt idx="1">
                  <c:v>32809.9</c:v>
                </c:pt>
                <c:pt idx="2">
                  <c:v>35259.58</c:v>
                </c:pt>
                <c:pt idx="3" formatCode="General">
                  <c:v>34690.219999999994</c:v>
                </c:pt>
                <c:pt idx="4" formatCode="General">
                  <c:v>30955.48</c:v>
                </c:pt>
                <c:pt idx="5" formatCode="General">
                  <c:v>31239.439999999995</c:v>
                </c:pt>
                <c:pt idx="6">
                  <c:v>28986.99</c:v>
                </c:pt>
                <c:pt idx="7" formatCode="General">
                  <c:v>31654.69</c:v>
                </c:pt>
                <c:pt idx="8">
                  <c:v>28891.4</c:v>
                </c:pt>
                <c:pt idx="9" formatCode="General">
                  <c:v>28339.37</c:v>
                </c:pt>
                <c:pt idx="10">
                  <c:v>28933.9</c:v>
                </c:pt>
                <c:pt idx="11">
                  <c:v>23375.089999999997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C-4AC5-9075-FBE4951914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5952339775928751"/>
          <c:y val="7.41705783840762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ОБЩЕЕ!$K$52:$K$57</c:f>
              <c:strCache>
                <c:ptCount val="6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  <c:pt idx="5">
                  <c:v>апрель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ОБЩЕЕ!$K$52:$K$57</c:f>
              <c:strCache>
                <c:ptCount val="6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  <c:pt idx="5">
                  <c:v>апрель</c:v>
                </c:pt>
              </c:strCache>
            </c:strRef>
          </c:cat>
          <c:val>
            <c:numRef>
              <c:f>ОБЩЕЕ!$L$52:$L$57</c:f>
              <c:numCache>
                <c:formatCode>#,##0.00</c:formatCode>
                <c:ptCount val="6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  <c:pt idx="3">
                  <c:v>8639.7199999999993</c:v>
                </c:pt>
                <c:pt idx="4">
                  <c:v>12605.26</c:v>
                </c:pt>
                <c:pt idx="5" formatCode="0.00">
                  <c:v>11425.189999999999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C-43FC-8C86-DEEA4F4A9EB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5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1"/>
          <c:order val="0"/>
          <c:tx>
            <c:strRef>
              <c:f>ОБЩЕЕ!$J$50</c:f>
              <c:strCache>
                <c:ptCount val="1"/>
                <c:pt idx="0">
                  <c:v>ТЦ "вест"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7.7552536893153279E-2"/>
                  <c:y val="5.02512562814069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D6-4DB4-A8CA-71E917E5BCE8}"/>
                </c:ext>
              </c:extLst>
            </c:dLbl>
            <c:dLbl>
              <c:idx val="1"/>
              <c:layout>
                <c:manualLayout>
                  <c:x val="6.2153447706453915E-3"/>
                  <c:y val="4.18760469011725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D6-4DB4-A8CA-71E917E5BC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ОБЩЕЕ!$F$56:$F$60</c:f>
              <c:strCache>
                <c:ptCount val="5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</c:strCache>
            </c:strRef>
          </c:cat>
          <c:val>
            <c:numRef>
              <c:f>ОБЩЕЕ!$J$56:$J$60</c:f>
              <c:numCache>
                <c:formatCode>#,##0.00</c:formatCode>
                <c:ptCount val="5"/>
                <c:pt idx="0" formatCode="#\ ##0.00_р_.">
                  <c:v>199.36</c:v>
                </c:pt>
                <c:pt idx="1">
                  <c:v>703.01</c:v>
                </c:pt>
                <c:pt idx="2" formatCode="General">
                  <c:v>529.24</c:v>
                </c:pt>
                <c:pt idx="3" formatCode="General">
                  <c:v>500.24</c:v>
                </c:pt>
                <c:pt idx="4" formatCode="General">
                  <c:v>1191.06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6-4DB4-A8CA-71E917E5BC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"/>
          <c:y val="0.40582988080041388"/>
          <c:w val="0.20485579548058036"/>
          <c:h val="0.25515048380301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7487398199415"/>
          <c:y val="7.2601163503927119E-2"/>
          <c:w val="0.85870539559946835"/>
          <c:h val="0.6506097752075897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ОБЩЕЕ!$F$54:$F$61</c:f>
              <c:strCache>
                <c:ptCount val="8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</c:strCache>
            </c:strRef>
          </c:cat>
          <c:val>
            <c:numRef>
              <c:f>ОБЩЕЕ!$H$54:$H$61</c:f>
              <c:numCache>
                <c:formatCode>General</c:formatCode>
                <c:ptCount val="8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1-4E75-B9C8-5C7EA14C8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ОБЩЕЕ!$F$54:$F$61</c15:sqref>
                        </c15:formulaRef>
                      </c:ext>
                    </c:extLst>
                    <c:strCache>
                      <c:ptCount val="8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491-4E75-B9C8-5C7EA14C8CFE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ОБЩЕЕ!$D$52:$D$63</c:f>
              <c:strCache>
                <c:ptCount val="12"/>
                <c:pt idx="0">
                  <c:v>32809,90</c:v>
                </c:pt>
                <c:pt idx="1">
                  <c:v>35259,58</c:v>
                </c:pt>
                <c:pt idx="2">
                  <c:v>34690,22</c:v>
                </c:pt>
                <c:pt idx="3">
                  <c:v>30955,48</c:v>
                </c:pt>
                <c:pt idx="4">
                  <c:v>31239,44</c:v>
                </c:pt>
                <c:pt idx="5">
                  <c:v>28986,99</c:v>
                </c:pt>
                <c:pt idx="6">
                  <c:v>31654,69</c:v>
                </c:pt>
                <c:pt idx="7">
                  <c:v>28891,40</c:v>
                </c:pt>
                <c:pt idx="8">
                  <c:v>28339,37</c:v>
                </c:pt>
                <c:pt idx="9">
                  <c:v>28933,90</c:v>
                </c:pt>
                <c:pt idx="10">
                  <c:v>23375,09</c:v>
                </c:pt>
                <c:pt idx="11">
                  <c:v>22761,37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ОБЩЕЕ!$C$52:$C$63</c:f>
              <c:strCache>
                <c:ptCount val="12"/>
                <c:pt idx="0">
                  <c:v>июнь</c:v>
                </c:pt>
                <c:pt idx="1">
                  <c:v>июль</c:v>
                </c:pt>
                <c:pt idx="2">
                  <c:v>август</c:v>
                </c:pt>
                <c:pt idx="3">
                  <c:v>сентябрь</c:v>
                </c:pt>
                <c:pt idx="4">
                  <c:v>октябрь</c:v>
                </c:pt>
                <c:pt idx="5">
                  <c:v>ноябрь</c:v>
                </c:pt>
                <c:pt idx="6">
                  <c:v>декабрь</c:v>
                </c:pt>
                <c:pt idx="7">
                  <c:v>январь</c:v>
                </c:pt>
                <c:pt idx="8">
                  <c:v>февраль</c:v>
                </c:pt>
                <c:pt idx="9">
                  <c:v>март</c:v>
                </c:pt>
                <c:pt idx="10">
                  <c:v>апрель</c:v>
                </c:pt>
                <c:pt idx="11">
                  <c:v>май</c:v>
                </c:pt>
              </c:strCache>
            </c:strRef>
          </c:cat>
          <c:val>
            <c:numRef>
              <c:f>ОБЩЕЕ!$D$52:$D$63</c:f>
              <c:numCache>
                <c:formatCode>0.00</c:formatCode>
                <c:ptCount val="12"/>
                <c:pt idx="0">
                  <c:v>32809.9</c:v>
                </c:pt>
                <c:pt idx="1">
                  <c:v>35259.58</c:v>
                </c:pt>
                <c:pt idx="2" formatCode="General">
                  <c:v>34690.219999999994</c:v>
                </c:pt>
                <c:pt idx="3" formatCode="General">
                  <c:v>30955.48</c:v>
                </c:pt>
                <c:pt idx="4" formatCode="General">
                  <c:v>31239.439999999995</c:v>
                </c:pt>
                <c:pt idx="5">
                  <c:v>28986.99</c:v>
                </c:pt>
                <c:pt idx="6" formatCode="General">
                  <c:v>31654.69</c:v>
                </c:pt>
                <c:pt idx="7">
                  <c:v>28891.4</c:v>
                </c:pt>
                <c:pt idx="8" formatCode="General">
                  <c:v>28339.37</c:v>
                </c:pt>
                <c:pt idx="9">
                  <c:v>28933.9</c:v>
                </c:pt>
                <c:pt idx="10">
                  <c:v>23375.089999999997</c:v>
                </c:pt>
                <c:pt idx="11">
                  <c:v>22761.37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B-4934-BA22-A4D0086F2D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5952339775928751"/>
          <c:y val="7.41705783840762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ОБЩЕЕ!$K$52:$K$58</c:f>
              <c:strCache>
                <c:ptCount val="7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  <c:pt idx="5">
                  <c:v>апрель</c:v>
                </c:pt>
                <c:pt idx="6">
                  <c:v>май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ОБЩЕЕ!$K$52:$K$58</c:f>
              <c:strCache>
                <c:ptCount val="7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  <c:pt idx="5">
                  <c:v>апрель</c:v>
                </c:pt>
                <c:pt idx="6">
                  <c:v>май</c:v>
                </c:pt>
              </c:strCache>
            </c:strRef>
          </c:cat>
          <c:val>
            <c:numRef>
              <c:f>ОБЩЕЕ!$L$52:$L$58</c:f>
              <c:numCache>
                <c:formatCode>#,##0.00</c:formatCode>
                <c:ptCount val="7"/>
                <c:pt idx="0" formatCode="#\ ##0.00_р_.">
                  <c:v>2420.3999999999996</c:v>
                </c:pt>
                <c:pt idx="1">
                  <c:v>7629.6900000000023</c:v>
                </c:pt>
                <c:pt idx="2">
                  <c:v>8423.6400000000012</c:v>
                </c:pt>
                <c:pt idx="3">
                  <c:v>8639.7199999999993</c:v>
                </c:pt>
                <c:pt idx="4">
                  <c:v>12605.26</c:v>
                </c:pt>
                <c:pt idx="5" formatCode="0.00">
                  <c:v>11425.189999999999</c:v>
                </c:pt>
                <c:pt idx="6" formatCode="0.00">
                  <c:v>13612.520000000002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9-481B-9827-4FEDAECA2E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5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_р_.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2-492B-A7D1-C5798CFEB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172-492B-A7D1-C5798CFEBA43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2292518645203091"/>
          <c:y val="3.664846937771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ОБЩЕЕ!$D$53:$D$64</c:f>
              <c:strCache>
                <c:ptCount val="12"/>
                <c:pt idx="0">
                  <c:v>35259,58</c:v>
                </c:pt>
                <c:pt idx="1">
                  <c:v>34690,22</c:v>
                </c:pt>
                <c:pt idx="2">
                  <c:v>30955,48</c:v>
                </c:pt>
                <c:pt idx="3">
                  <c:v>31239,44</c:v>
                </c:pt>
                <c:pt idx="4">
                  <c:v>28986,99</c:v>
                </c:pt>
                <c:pt idx="5">
                  <c:v>31654,69</c:v>
                </c:pt>
                <c:pt idx="6">
                  <c:v>28891,40</c:v>
                </c:pt>
                <c:pt idx="7">
                  <c:v>28339,37</c:v>
                </c:pt>
                <c:pt idx="8">
                  <c:v>28933,90</c:v>
                </c:pt>
                <c:pt idx="9">
                  <c:v>23375,09</c:v>
                </c:pt>
                <c:pt idx="10">
                  <c:v>22761,37</c:v>
                </c:pt>
                <c:pt idx="11">
                  <c:v>23251,61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ОБЩЕЕ!$C$53:$C$64</c:f>
              <c:strCache>
                <c:ptCount val="12"/>
                <c:pt idx="0">
                  <c:v>июль</c:v>
                </c:pt>
                <c:pt idx="1">
                  <c:v>август</c:v>
                </c:pt>
                <c:pt idx="2">
                  <c:v>сентябрь</c:v>
                </c:pt>
                <c:pt idx="3">
                  <c:v>октябрь</c:v>
                </c:pt>
                <c:pt idx="4">
                  <c:v>ноябрь</c:v>
                </c:pt>
                <c:pt idx="5">
                  <c:v>декабрь</c:v>
                </c:pt>
                <c:pt idx="6">
                  <c:v>январь</c:v>
                </c:pt>
                <c:pt idx="7">
                  <c:v>февраль</c:v>
                </c:pt>
                <c:pt idx="8">
                  <c:v>март</c:v>
                </c:pt>
                <c:pt idx="9">
                  <c:v>апрель</c:v>
                </c:pt>
                <c:pt idx="10">
                  <c:v>май</c:v>
                </c:pt>
                <c:pt idx="11">
                  <c:v>июнь</c:v>
                </c:pt>
              </c:strCache>
            </c:strRef>
          </c:cat>
          <c:val>
            <c:numRef>
              <c:f>ОБЩЕЕ!$D$53:$D$64</c:f>
              <c:numCache>
                <c:formatCode>General</c:formatCode>
                <c:ptCount val="12"/>
                <c:pt idx="0" formatCode="0.00">
                  <c:v>35259.58</c:v>
                </c:pt>
                <c:pt idx="1">
                  <c:v>34690.219999999994</c:v>
                </c:pt>
                <c:pt idx="2">
                  <c:v>30955.48</c:v>
                </c:pt>
                <c:pt idx="3">
                  <c:v>31239.439999999995</c:v>
                </c:pt>
                <c:pt idx="4" formatCode="0.00">
                  <c:v>28986.99</c:v>
                </c:pt>
                <c:pt idx="5">
                  <c:v>31654.69</c:v>
                </c:pt>
                <c:pt idx="6" formatCode="0.00">
                  <c:v>28891.4</c:v>
                </c:pt>
                <c:pt idx="7">
                  <c:v>28339.37</c:v>
                </c:pt>
                <c:pt idx="8" formatCode="0.00">
                  <c:v>28933.9</c:v>
                </c:pt>
                <c:pt idx="9" formatCode="0.00">
                  <c:v>23375.089999999997</c:v>
                </c:pt>
                <c:pt idx="10" formatCode="0.00">
                  <c:v>22761.37</c:v>
                </c:pt>
                <c:pt idx="11" formatCode="0.00">
                  <c:v>23251.61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A-4293-88B7-2E4898ADB8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5952339775928751"/>
          <c:y val="7.41705783840762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ОБЩЕЕ!$K$53:$K$59</c:f>
              <c:strCache>
                <c:ptCount val="7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ОБЩЕЕ!$K$53:$K$59</c:f>
              <c:strCache>
                <c:ptCount val="7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</c:strCache>
            </c:strRef>
          </c:cat>
          <c:val>
            <c:numRef>
              <c:f>ОБЩЕЕ!$L$53:$L$59</c:f>
              <c:numCache>
                <c:formatCode>#,##0.00</c:formatCode>
                <c:ptCount val="7"/>
                <c:pt idx="0">
                  <c:v>7629.6900000000023</c:v>
                </c:pt>
                <c:pt idx="1">
                  <c:v>8423.6400000000012</c:v>
                </c:pt>
                <c:pt idx="2">
                  <c:v>8639.7199999999993</c:v>
                </c:pt>
                <c:pt idx="3">
                  <c:v>12605.26</c:v>
                </c:pt>
                <c:pt idx="4" formatCode="0.00">
                  <c:v>11425.189999999999</c:v>
                </c:pt>
                <c:pt idx="5" formatCode="0.00">
                  <c:v>13612.520000000002</c:v>
                </c:pt>
                <c:pt idx="6" formatCode="0.00">
                  <c:v>14474.099999999999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0-4192-97D2-8512BCC4953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5000"/>
          <c:min val="1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2-4EBD-8A08-F44280068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392-4EBD-8A08-F4428006835E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ОБЩЕЕ!$D$55:$D$65</c:f>
              <c:strCache>
                <c:ptCount val="11"/>
                <c:pt idx="0">
                  <c:v>30955,48</c:v>
                </c:pt>
                <c:pt idx="1">
                  <c:v>31239,44</c:v>
                </c:pt>
                <c:pt idx="2">
                  <c:v>28986,99</c:v>
                </c:pt>
                <c:pt idx="3">
                  <c:v>31654,69</c:v>
                </c:pt>
                <c:pt idx="4">
                  <c:v>28891,40</c:v>
                </c:pt>
                <c:pt idx="5">
                  <c:v>28339,37</c:v>
                </c:pt>
                <c:pt idx="6">
                  <c:v>28933,90</c:v>
                </c:pt>
                <c:pt idx="7">
                  <c:v>23375,09</c:v>
                </c:pt>
                <c:pt idx="8">
                  <c:v>22761,37</c:v>
                </c:pt>
                <c:pt idx="9">
                  <c:v>23251,61</c:v>
                </c:pt>
                <c:pt idx="10">
                  <c:v>30633,54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ОБЩЕЕ!$C$55:$C$65</c:f>
              <c:strCache>
                <c:ptCount val="11"/>
                <c:pt idx="0">
                  <c:v>сентябрь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  <c:pt idx="9">
                  <c:v>июнь</c:v>
                </c:pt>
                <c:pt idx="10">
                  <c:v>июль</c:v>
                </c:pt>
              </c:strCache>
            </c:strRef>
          </c:cat>
          <c:val>
            <c:numRef>
              <c:f>ОБЩЕЕ!$D$55:$D$65</c:f>
              <c:numCache>
                <c:formatCode>General</c:formatCode>
                <c:ptCount val="11"/>
                <c:pt idx="0">
                  <c:v>30955.48</c:v>
                </c:pt>
                <c:pt idx="1">
                  <c:v>31239.439999999995</c:v>
                </c:pt>
                <c:pt idx="2" formatCode="0.00">
                  <c:v>28986.99</c:v>
                </c:pt>
                <c:pt idx="3">
                  <c:v>31654.69</c:v>
                </c:pt>
                <c:pt idx="4" formatCode="0.00">
                  <c:v>28891.4</c:v>
                </c:pt>
                <c:pt idx="5">
                  <c:v>28339.37</c:v>
                </c:pt>
                <c:pt idx="6" formatCode="0.00">
                  <c:v>28933.9</c:v>
                </c:pt>
                <c:pt idx="7" formatCode="0.00">
                  <c:v>23375.089999999997</c:v>
                </c:pt>
                <c:pt idx="8" formatCode="0.00">
                  <c:v>22761.37</c:v>
                </c:pt>
                <c:pt idx="9" formatCode="0.00">
                  <c:v>23251.61</c:v>
                </c:pt>
                <c:pt idx="10" formatCode="0.00">
                  <c:v>30633.54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F-4067-84BD-2BA25DDB21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ОБЩЕЕ!$K$53:$K$60</c:f>
              <c:strCache>
                <c:ptCount val="8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ОБЩЕЕ!$K$53:$K$60</c:f>
              <c:strCache>
                <c:ptCount val="8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</c:strCache>
            </c:strRef>
          </c:cat>
          <c:val>
            <c:numRef>
              <c:f>ОБЩЕЕ!$L$53:$L$60</c:f>
              <c:numCache>
                <c:formatCode>#,##0.00</c:formatCode>
                <c:ptCount val="8"/>
                <c:pt idx="0">
                  <c:v>7629.6900000000023</c:v>
                </c:pt>
                <c:pt idx="1">
                  <c:v>8423.6400000000012</c:v>
                </c:pt>
                <c:pt idx="2">
                  <c:v>8639.7199999999993</c:v>
                </c:pt>
                <c:pt idx="3">
                  <c:v>12605.26</c:v>
                </c:pt>
                <c:pt idx="4" formatCode="0.00">
                  <c:v>11425.189999999999</c:v>
                </c:pt>
                <c:pt idx="5" formatCode="0.00">
                  <c:v>13612.520000000002</c:v>
                </c:pt>
                <c:pt idx="6" formatCode="0.00">
                  <c:v>14474.099999999999</c:v>
                </c:pt>
                <c:pt idx="7" formatCode="0.00">
                  <c:v>17170.439999999999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C-4AE0-8062-5C3F7197C1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8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E-4E09-A3D1-9B1F28AB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8EE-4E09-A3D1-9B1F28AB1276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ОБЩЕЕ!$D$55:$D$65</c:f>
              <c:strCache>
                <c:ptCount val="11"/>
                <c:pt idx="0">
                  <c:v>30955,48</c:v>
                </c:pt>
                <c:pt idx="1">
                  <c:v>31239,44</c:v>
                </c:pt>
                <c:pt idx="2">
                  <c:v>28986,99</c:v>
                </c:pt>
                <c:pt idx="3">
                  <c:v>31654,69</c:v>
                </c:pt>
                <c:pt idx="4">
                  <c:v>28891,40</c:v>
                </c:pt>
                <c:pt idx="5">
                  <c:v>28339,37</c:v>
                </c:pt>
                <c:pt idx="6">
                  <c:v>28933,90</c:v>
                </c:pt>
                <c:pt idx="7">
                  <c:v>23375,09</c:v>
                </c:pt>
                <c:pt idx="8">
                  <c:v>22761,37</c:v>
                </c:pt>
                <c:pt idx="9">
                  <c:v>23251,61</c:v>
                </c:pt>
                <c:pt idx="10">
                  <c:v>30633,54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ОБЩЕЕ!$C$55:$C$65</c:f>
              <c:strCache>
                <c:ptCount val="11"/>
                <c:pt idx="0">
                  <c:v>сентябрь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  <c:pt idx="9">
                  <c:v>июнь</c:v>
                </c:pt>
                <c:pt idx="10">
                  <c:v>июль</c:v>
                </c:pt>
              </c:strCache>
            </c:strRef>
          </c:cat>
          <c:val>
            <c:numRef>
              <c:f>ОБЩЕЕ!$D$55:$D$65</c:f>
              <c:numCache>
                <c:formatCode>General</c:formatCode>
                <c:ptCount val="11"/>
                <c:pt idx="0">
                  <c:v>30955.48</c:v>
                </c:pt>
                <c:pt idx="1">
                  <c:v>31239.439999999995</c:v>
                </c:pt>
                <c:pt idx="2" formatCode="0.00">
                  <c:v>28986.99</c:v>
                </c:pt>
                <c:pt idx="3">
                  <c:v>31654.69</c:v>
                </c:pt>
                <c:pt idx="4" formatCode="0.00">
                  <c:v>28891.4</c:v>
                </c:pt>
                <c:pt idx="5">
                  <c:v>28339.37</c:v>
                </c:pt>
                <c:pt idx="6" formatCode="0.00">
                  <c:v>28933.9</c:v>
                </c:pt>
                <c:pt idx="7" formatCode="0.00">
                  <c:v>23375.089999999997</c:v>
                </c:pt>
                <c:pt idx="8" formatCode="0.00">
                  <c:v>22761.37</c:v>
                </c:pt>
                <c:pt idx="9" formatCode="0.00">
                  <c:v>23251.61</c:v>
                </c:pt>
                <c:pt idx="10" formatCode="0.00">
                  <c:v>30633.54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1-4480-BA92-7D2EB36E56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ОБЩЕЕ!$K$53:$K$61</c:f>
              <c:strCache>
                <c:ptCount val="9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ОБЩЕЕ!$K$53:$K$61</c:f>
              <c:strCache>
                <c:ptCount val="9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</c:strCache>
            </c:strRef>
          </c:cat>
          <c:val>
            <c:numRef>
              <c:f>ОБЩЕЕ!$L$53:$L$61</c:f>
              <c:numCache>
                <c:formatCode>#,##0.00</c:formatCode>
                <c:ptCount val="9"/>
                <c:pt idx="0">
                  <c:v>7629.6900000000023</c:v>
                </c:pt>
                <c:pt idx="1">
                  <c:v>8423.6400000000012</c:v>
                </c:pt>
                <c:pt idx="2">
                  <c:v>8639.7199999999993</c:v>
                </c:pt>
                <c:pt idx="3">
                  <c:v>12605.26</c:v>
                </c:pt>
                <c:pt idx="4" formatCode="0.00">
                  <c:v>11425.189999999999</c:v>
                </c:pt>
                <c:pt idx="5" formatCode="0.00">
                  <c:v>13612.520000000002</c:v>
                </c:pt>
                <c:pt idx="6" formatCode="0.00">
                  <c:v>14474.099999999999</c:v>
                </c:pt>
                <c:pt idx="7" formatCode="0.00">
                  <c:v>17170.439999999999</c:v>
                </c:pt>
                <c:pt idx="8" formatCode="General">
                  <c:v>17084.789999999997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B-4A0C-83F0-12D5CB61DF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8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42-4DF3-BDF9-E1A026EEE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F42-4DF3-BDF9-E1A026EEE67E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ОБЩЕЕ!$D$56:$D$67</c:f>
              <c:strCache>
                <c:ptCount val="12"/>
                <c:pt idx="0">
                  <c:v>31239,44</c:v>
                </c:pt>
                <c:pt idx="1">
                  <c:v>28986,99</c:v>
                </c:pt>
                <c:pt idx="2">
                  <c:v>31654,69</c:v>
                </c:pt>
                <c:pt idx="3">
                  <c:v>28891,40</c:v>
                </c:pt>
                <c:pt idx="4">
                  <c:v>28339,37</c:v>
                </c:pt>
                <c:pt idx="5">
                  <c:v>28933,90</c:v>
                </c:pt>
                <c:pt idx="6">
                  <c:v>23375,09</c:v>
                </c:pt>
                <c:pt idx="7">
                  <c:v>22761,37</c:v>
                </c:pt>
                <c:pt idx="8">
                  <c:v>23251,61</c:v>
                </c:pt>
                <c:pt idx="9">
                  <c:v>30633,54</c:v>
                </c:pt>
                <c:pt idx="10">
                  <c:v>28716,31</c:v>
                </c:pt>
                <c:pt idx="11">
                  <c:v>26800,16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ОБЩЕЕ!$C$56:$C$67</c:f>
              <c:strCache>
                <c:ptCount val="12"/>
                <c:pt idx="0">
                  <c:v>октябрь</c:v>
                </c:pt>
                <c:pt idx="1">
                  <c:v>ноябрь</c:v>
                </c:pt>
                <c:pt idx="2">
                  <c:v>декабрь</c:v>
                </c:pt>
                <c:pt idx="3">
                  <c:v>январь</c:v>
                </c:pt>
                <c:pt idx="4">
                  <c:v>февраль</c:v>
                </c:pt>
                <c:pt idx="5">
                  <c:v>март</c:v>
                </c:pt>
                <c:pt idx="6">
                  <c:v>апрель</c:v>
                </c:pt>
                <c:pt idx="7">
                  <c:v>май</c:v>
                </c:pt>
                <c:pt idx="8">
                  <c:v>июнь</c:v>
                </c:pt>
                <c:pt idx="9">
                  <c:v>июль</c:v>
                </c:pt>
                <c:pt idx="10">
                  <c:v>август</c:v>
                </c:pt>
                <c:pt idx="11">
                  <c:v>сентябрь</c:v>
                </c:pt>
              </c:strCache>
            </c:strRef>
          </c:cat>
          <c:val>
            <c:numRef>
              <c:f>ОБЩЕЕ!$D$56:$D$67</c:f>
              <c:numCache>
                <c:formatCode>0.00</c:formatCode>
                <c:ptCount val="12"/>
                <c:pt idx="0" formatCode="General">
                  <c:v>31239.439999999995</c:v>
                </c:pt>
                <c:pt idx="1">
                  <c:v>28986.99</c:v>
                </c:pt>
                <c:pt idx="2" formatCode="General">
                  <c:v>31654.69</c:v>
                </c:pt>
                <c:pt idx="3">
                  <c:v>28891.4</c:v>
                </c:pt>
                <c:pt idx="4" formatCode="General">
                  <c:v>28339.37</c:v>
                </c:pt>
                <c:pt idx="5">
                  <c:v>28933.9</c:v>
                </c:pt>
                <c:pt idx="6">
                  <c:v>23375.089999999997</c:v>
                </c:pt>
                <c:pt idx="7">
                  <c:v>22761.37</c:v>
                </c:pt>
                <c:pt idx="8">
                  <c:v>23251.61</c:v>
                </c:pt>
                <c:pt idx="9">
                  <c:v>30633.54</c:v>
                </c:pt>
                <c:pt idx="10" formatCode="General">
                  <c:v>28716.309999999994</c:v>
                </c:pt>
                <c:pt idx="11" formatCode="General">
                  <c:v>26800.16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2-4A90-862D-A107515FD5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ОБЩЕЕ!$K$53:$K$62</c:f>
              <c:strCache>
                <c:ptCount val="10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ОБЩЕЕ!$K$53:$K$62</c:f>
              <c:strCache>
                <c:ptCount val="10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</c:strCache>
            </c:strRef>
          </c:cat>
          <c:val>
            <c:numRef>
              <c:f>ОБЩЕЕ!$L$53:$L$62</c:f>
              <c:numCache>
                <c:formatCode>#,##0.00</c:formatCode>
                <c:ptCount val="10"/>
                <c:pt idx="0">
                  <c:v>7629.6900000000023</c:v>
                </c:pt>
                <c:pt idx="1">
                  <c:v>8423.6400000000012</c:v>
                </c:pt>
                <c:pt idx="2">
                  <c:v>8639.7199999999993</c:v>
                </c:pt>
                <c:pt idx="3">
                  <c:v>12605.26</c:v>
                </c:pt>
                <c:pt idx="4" formatCode="0.00">
                  <c:v>11425.189999999999</c:v>
                </c:pt>
                <c:pt idx="5" formatCode="0.00">
                  <c:v>13612.520000000002</c:v>
                </c:pt>
                <c:pt idx="6" formatCode="0.00">
                  <c:v>14474.099999999999</c:v>
                </c:pt>
                <c:pt idx="7" formatCode="0.00">
                  <c:v>17170.439999999999</c:v>
                </c:pt>
                <c:pt idx="8" formatCode="General">
                  <c:v>17084.789999999997</c:v>
                </c:pt>
                <c:pt idx="9" formatCode="General">
                  <c:v>16010.099999999999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3F-49A5-ADD2-CBC2A5224D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18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8-4549-BC3D-57E8EC93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BD8-4549-BC3D-57E8EC935A16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ОБЩЕЕ!$D$57:$D$68</c:f>
              <c:strCache>
                <c:ptCount val="12"/>
                <c:pt idx="0">
                  <c:v>28986,99</c:v>
                </c:pt>
                <c:pt idx="1">
                  <c:v>31654,69</c:v>
                </c:pt>
                <c:pt idx="2">
                  <c:v>28891,40</c:v>
                </c:pt>
                <c:pt idx="3">
                  <c:v>28339,37</c:v>
                </c:pt>
                <c:pt idx="4">
                  <c:v>28933,90</c:v>
                </c:pt>
                <c:pt idx="5">
                  <c:v>23375,09</c:v>
                </c:pt>
                <c:pt idx="6">
                  <c:v>22761,37</c:v>
                </c:pt>
                <c:pt idx="7">
                  <c:v>23251,61</c:v>
                </c:pt>
                <c:pt idx="8">
                  <c:v>30633,54</c:v>
                </c:pt>
                <c:pt idx="9">
                  <c:v>28716,31</c:v>
                </c:pt>
                <c:pt idx="10">
                  <c:v>26800,16</c:v>
                </c:pt>
                <c:pt idx="11">
                  <c:v>25796,49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ОБЩЕЕ!$C$57:$C$68</c:f>
              <c:strCache>
                <c:ptCount val="12"/>
                <c:pt idx="0">
                  <c:v>ноябрь</c:v>
                </c:pt>
                <c:pt idx="1">
                  <c:v>декабрь</c:v>
                </c:pt>
                <c:pt idx="2">
                  <c:v>январь</c:v>
                </c:pt>
                <c:pt idx="3">
                  <c:v>февраль</c:v>
                </c:pt>
                <c:pt idx="4">
                  <c:v>март</c:v>
                </c:pt>
                <c:pt idx="5">
                  <c:v>апрель</c:v>
                </c:pt>
                <c:pt idx="6">
                  <c:v>май</c:v>
                </c:pt>
                <c:pt idx="7">
                  <c:v>июнь</c:v>
                </c:pt>
                <c:pt idx="8">
                  <c:v>июль</c:v>
                </c:pt>
                <c:pt idx="9">
                  <c:v>август</c:v>
                </c:pt>
                <c:pt idx="10">
                  <c:v>сентябрь</c:v>
                </c:pt>
                <c:pt idx="11">
                  <c:v>октябрь</c:v>
                </c:pt>
              </c:strCache>
            </c:strRef>
          </c:cat>
          <c:val>
            <c:numRef>
              <c:f>ОБЩЕЕ!$D$57:$D$68</c:f>
              <c:numCache>
                <c:formatCode>General</c:formatCode>
                <c:ptCount val="12"/>
                <c:pt idx="0" formatCode="0.00">
                  <c:v>28986.99</c:v>
                </c:pt>
                <c:pt idx="1">
                  <c:v>31654.69</c:v>
                </c:pt>
                <c:pt idx="2" formatCode="0.00">
                  <c:v>28891.4</c:v>
                </c:pt>
                <c:pt idx="3">
                  <c:v>28339.37</c:v>
                </c:pt>
                <c:pt idx="4" formatCode="0.00">
                  <c:v>28933.9</c:v>
                </c:pt>
                <c:pt idx="5" formatCode="0.00">
                  <c:v>23375.089999999997</c:v>
                </c:pt>
                <c:pt idx="6" formatCode="0.00">
                  <c:v>22761.37</c:v>
                </c:pt>
                <c:pt idx="7" formatCode="0.00">
                  <c:v>23251.61</c:v>
                </c:pt>
                <c:pt idx="8" formatCode="0.00">
                  <c:v>30633.54</c:v>
                </c:pt>
                <c:pt idx="9">
                  <c:v>28716.309999999994</c:v>
                </c:pt>
                <c:pt idx="10">
                  <c:v>26800.16</c:v>
                </c:pt>
                <c:pt idx="11" formatCode="0.00">
                  <c:v>25796.490000000005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F-4553-8CDB-5AB370EE4C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ОБЩЕЕ!$K$54:$K$63</c:f>
              <c:strCache>
                <c:ptCount val="10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ОБЩЕЕ!$K$54:$K$63</c:f>
              <c:strCache>
                <c:ptCount val="10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</c:strCache>
            </c:strRef>
          </c:cat>
          <c:val>
            <c:numRef>
              <c:f>ОБЩЕЕ!$L$54:$L$63</c:f>
              <c:numCache>
                <c:formatCode>#,##0.00</c:formatCode>
                <c:ptCount val="10"/>
                <c:pt idx="0">
                  <c:v>8423.6400000000012</c:v>
                </c:pt>
                <c:pt idx="1">
                  <c:v>8639.7199999999993</c:v>
                </c:pt>
                <c:pt idx="2">
                  <c:v>12605.26</c:v>
                </c:pt>
                <c:pt idx="3" formatCode="0.00">
                  <c:v>11425.189999999999</c:v>
                </c:pt>
                <c:pt idx="4" formatCode="0.00">
                  <c:v>13612.520000000002</c:v>
                </c:pt>
                <c:pt idx="5" formatCode="0.00">
                  <c:v>14474.099999999999</c:v>
                </c:pt>
                <c:pt idx="6" formatCode="0.00">
                  <c:v>17170.439999999999</c:v>
                </c:pt>
                <c:pt idx="7" formatCode="General">
                  <c:v>17084.789999999997</c:v>
                </c:pt>
                <c:pt idx="8" formatCode="General">
                  <c:v>16010.099999999999</c:v>
                </c:pt>
                <c:pt idx="9" formatCode="0.00">
                  <c:v>18487.2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C-4CA9-AFC0-6F485A4A18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22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C-477C-AEEF-30A23F33B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35C-477C-AEEF-30A23F33BA4C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ОБЩЕЕ!$D$58:$D$69</c:f>
              <c:strCache>
                <c:ptCount val="12"/>
                <c:pt idx="0">
                  <c:v>31654,69</c:v>
                </c:pt>
                <c:pt idx="1">
                  <c:v>28891,40</c:v>
                </c:pt>
                <c:pt idx="2">
                  <c:v>28339,37</c:v>
                </c:pt>
                <c:pt idx="3">
                  <c:v>28933,90</c:v>
                </c:pt>
                <c:pt idx="4">
                  <c:v>23375,09</c:v>
                </c:pt>
                <c:pt idx="5">
                  <c:v>22761,37</c:v>
                </c:pt>
                <c:pt idx="6">
                  <c:v>23251,61</c:v>
                </c:pt>
                <c:pt idx="7">
                  <c:v>30633,54</c:v>
                </c:pt>
                <c:pt idx="8">
                  <c:v>28716,31</c:v>
                </c:pt>
                <c:pt idx="9">
                  <c:v>26800,16</c:v>
                </c:pt>
                <c:pt idx="10">
                  <c:v>25796,49</c:v>
                </c:pt>
                <c:pt idx="11">
                  <c:v>26221,17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ОБЩЕЕ!$C$58:$C$69</c:f>
              <c:strCache>
                <c:ptCount val="12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</c:strCache>
            </c:strRef>
          </c:cat>
          <c:val>
            <c:numRef>
              <c:f>ОБЩЕЕ!$D$58:$D$69</c:f>
              <c:numCache>
                <c:formatCode>0.00</c:formatCode>
                <c:ptCount val="12"/>
                <c:pt idx="0" formatCode="General">
                  <c:v>31654.69</c:v>
                </c:pt>
                <c:pt idx="1">
                  <c:v>28891.4</c:v>
                </c:pt>
                <c:pt idx="2" formatCode="General">
                  <c:v>28339.37</c:v>
                </c:pt>
                <c:pt idx="3">
                  <c:v>28933.9</c:v>
                </c:pt>
                <c:pt idx="4">
                  <c:v>23375.089999999997</c:v>
                </c:pt>
                <c:pt idx="5">
                  <c:v>22761.37</c:v>
                </c:pt>
                <c:pt idx="6">
                  <c:v>23251.61</c:v>
                </c:pt>
                <c:pt idx="7">
                  <c:v>30633.54</c:v>
                </c:pt>
                <c:pt idx="8" formatCode="General">
                  <c:v>28716.309999999994</c:v>
                </c:pt>
                <c:pt idx="9" formatCode="General">
                  <c:v>26800.16</c:v>
                </c:pt>
                <c:pt idx="10">
                  <c:v>25796.490000000005</c:v>
                </c:pt>
                <c:pt idx="11" formatCode="General">
                  <c:v>26221.170000000002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E-4932-BA74-392F23F245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ОБЩЕЕ!$K$53:$K$64</c:f>
              <c:strCache>
                <c:ptCount val="12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ОБЩЕЕ!$K$53:$K$64</c:f>
              <c:strCache>
                <c:ptCount val="12"/>
                <c:pt idx="0">
                  <c:v>декабрь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</c:strCache>
            </c:strRef>
          </c:cat>
          <c:val>
            <c:numRef>
              <c:f>ОБЩЕЕ!$L$53:$L$64</c:f>
              <c:numCache>
                <c:formatCode>#,##0.00</c:formatCode>
                <c:ptCount val="12"/>
                <c:pt idx="0">
                  <c:v>7629.6900000000023</c:v>
                </c:pt>
                <c:pt idx="1">
                  <c:v>8423.6400000000012</c:v>
                </c:pt>
                <c:pt idx="2">
                  <c:v>8639.7199999999993</c:v>
                </c:pt>
                <c:pt idx="3">
                  <c:v>12605.26</c:v>
                </c:pt>
                <c:pt idx="4" formatCode="0.00">
                  <c:v>11425.189999999999</c:v>
                </c:pt>
                <c:pt idx="5" formatCode="0.00">
                  <c:v>13612.520000000002</c:v>
                </c:pt>
                <c:pt idx="6" formatCode="0.00">
                  <c:v>14474.099999999999</c:v>
                </c:pt>
                <c:pt idx="7" formatCode="0.00">
                  <c:v>17170.439999999999</c:v>
                </c:pt>
                <c:pt idx="8" formatCode="General">
                  <c:v>17084.789999999997</c:v>
                </c:pt>
                <c:pt idx="9" formatCode="General">
                  <c:v>16010.099999999999</c:v>
                </c:pt>
                <c:pt idx="10" formatCode="0.00">
                  <c:v>18487.2</c:v>
                </c:pt>
                <c:pt idx="11" formatCode="General">
                  <c:v>18961.969999999998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B-4EF9-9BEE-75D3A23CB6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20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8-4C3D-84EF-4C9E98490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098-4C3D-84EF-4C9E984900B4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ОБЩЕЕ!$D$60:$D$70</c:f>
              <c:strCache>
                <c:ptCount val="11"/>
                <c:pt idx="0">
                  <c:v>28339,37</c:v>
                </c:pt>
                <c:pt idx="1">
                  <c:v>28933,90</c:v>
                </c:pt>
                <c:pt idx="2">
                  <c:v>23375,09</c:v>
                </c:pt>
                <c:pt idx="3">
                  <c:v>22761,37</c:v>
                </c:pt>
                <c:pt idx="4">
                  <c:v>23251,61</c:v>
                </c:pt>
                <c:pt idx="5">
                  <c:v>30633,54</c:v>
                </c:pt>
                <c:pt idx="6">
                  <c:v>28716,31</c:v>
                </c:pt>
                <c:pt idx="7">
                  <c:v>26800,16</c:v>
                </c:pt>
                <c:pt idx="8">
                  <c:v>25796,49</c:v>
                </c:pt>
                <c:pt idx="9">
                  <c:v>26221,17</c:v>
                </c:pt>
                <c:pt idx="10">
                  <c:v>25688,52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ОБЩЕЕ!$C$60:$C$70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ОБЩЕЕ!$D$60:$D$70</c:f>
              <c:numCache>
                <c:formatCode>0.00</c:formatCode>
                <c:ptCount val="11"/>
                <c:pt idx="0" formatCode="General">
                  <c:v>28339.37</c:v>
                </c:pt>
                <c:pt idx="1">
                  <c:v>28933.9</c:v>
                </c:pt>
                <c:pt idx="2">
                  <c:v>23375.089999999997</c:v>
                </c:pt>
                <c:pt idx="3">
                  <c:v>22761.37</c:v>
                </c:pt>
                <c:pt idx="4">
                  <c:v>23251.61</c:v>
                </c:pt>
                <c:pt idx="5">
                  <c:v>30633.54</c:v>
                </c:pt>
                <c:pt idx="6" formatCode="General">
                  <c:v>28716.309999999994</c:v>
                </c:pt>
                <c:pt idx="7" formatCode="General">
                  <c:v>26800.16</c:v>
                </c:pt>
                <c:pt idx="8">
                  <c:v>25796.490000000005</c:v>
                </c:pt>
                <c:pt idx="9" formatCode="General">
                  <c:v>26221.170000000002</c:v>
                </c:pt>
                <c:pt idx="10" formatCode="General">
                  <c:v>25688.519999999993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0-4018-84C8-F76F4D0811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ОБЩЕЕ!$L$55:$L$65</c:f>
              <c:strCache>
                <c:ptCount val="11"/>
                <c:pt idx="0">
                  <c:v>8 639,72</c:v>
                </c:pt>
                <c:pt idx="1">
                  <c:v>12 605,26</c:v>
                </c:pt>
                <c:pt idx="2">
                  <c:v>11425,19</c:v>
                </c:pt>
                <c:pt idx="3">
                  <c:v>13612,52</c:v>
                </c:pt>
                <c:pt idx="4">
                  <c:v>14474,10</c:v>
                </c:pt>
                <c:pt idx="5">
                  <c:v>17170,44</c:v>
                </c:pt>
                <c:pt idx="6">
                  <c:v>17084,79</c:v>
                </c:pt>
                <c:pt idx="7">
                  <c:v>16010,1</c:v>
                </c:pt>
                <c:pt idx="8">
                  <c:v>18487,20</c:v>
                </c:pt>
                <c:pt idx="9">
                  <c:v>18961,97</c:v>
                </c:pt>
                <c:pt idx="10">
                  <c:v>20708,28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ОБЩЕЕ!$K$55:$K$65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ОБЩЕЕ!$L$55:$L$65</c:f>
              <c:numCache>
                <c:formatCode>#,##0.00</c:formatCode>
                <c:ptCount val="11"/>
                <c:pt idx="0">
                  <c:v>8639.7199999999993</c:v>
                </c:pt>
                <c:pt idx="1">
                  <c:v>12605.26</c:v>
                </c:pt>
                <c:pt idx="2" formatCode="0.00">
                  <c:v>11425.189999999999</c:v>
                </c:pt>
                <c:pt idx="3" formatCode="0.00">
                  <c:v>13612.520000000002</c:v>
                </c:pt>
                <c:pt idx="4" formatCode="0.00">
                  <c:v>14474.099999999999</c:v>
                </c:pt>
                <c:pt idx="5" formatCode="0.00">
                  <c:v>17170.439999999999</c:v>
                </c:pt>
                <c:pt idx="6" formatCode="General">
                  <c:v>17084.789999999997</c:v>
                </c:pt>
                <c:pt idx="7" formatCode="General">
                  <c:v>16010.099999999999</c:v>
                </c:pt>
                <c:pt idx="8" formatCode="0.00">
                  <c:v>18487.2</c:v>
                </c:pt>
                <c:pt idx="9" formatCode="General">
                  <c:v>18961.969999999998</c:v>
                </c:pt>
                <c:pt idx="10" formatCode="0.00">
                  <c:v>20708.280000000002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00-443C-8B0A-DF6571C362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23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E-43A8-847F-47AD2BE3D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B8E-43A8-847F-47AD2BE3D557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ОБЩЕЕ!$D$60:$D$70</c:f>
              <c:strCache>
                <c:ptCount val="11"/>
                <c:pt idx="0">
                  <c:v>28339,37</c:v>
                </c:pt>
                <c:pt idx="1">
                  <c:v>28933,90</c:v>
                </c:pt>
                <c:pt idx="2">
                  <c:v>23375,09</c:v>
                </c:pt>
                <c:pt idx="3">
                  <c:v>22761,37</c:v>
                </c:pt>
                <c:pt idx="4">
                  <c:v>23251,61</c:v>
                </c:pt>
                <c:pt idx="5">
                  <c:v>30633,54</c:v>
                </c:pt>
                <c:pt idx="6">
                  <c:v>28716,31</c:v>
                </c:pt>
                <c:pt idx="7">
                  <c:v>26800,16</c:v>
                </c:pt>
                <c:pt idx="8">
                  <c:v>25796,49</c:v>
                </c:pt>
                <c:pt idx="9">
                  <c:v>26221,17</c:v>
                </c:pt>
                <c:pt idx="10">
                  <c:v>25688,52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ОБЩЕЕ!$C$60:$C$70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ОБЩЕЕ!$D$60:$D$70</c:f>
              <c:numCache>
                <c:formatCode>0.00</c:formatCode>
                <c:ptCount val="11"/>
                <c:pt idx="0" formatCode="General">
                  <c:v>28339.37</c:v>
                </c:pt>
                <c:pt idx="1">
                  <c:v>28933.9</c:v>
                </c:pt>
                <c:pt idx="2">
                  <c:v>23375.089999999997</c:v>
                </c:pt>
                <c:pt idx="3">
                  <c:v>22761.37</c:v>
                </c:pt>
                <c:pt idx="4">
                  <c:v>23251.61</c:v>
                </c:pt>
                <c:pt idx="5">
                  <c:v>30633.54</c:v>
                </c:pt>
                <c:pt idx="6" formatCode="General">
                  <c:v>28716.309999999994</c:v>
                </c:pt>
                <c:pt idx="7" formatCode="General">
                  <c:v>26800.16</c:v>
                </c:pt>
                <c:pt idx="8">
                  <c:v>25796.490000000005</c:v>
                </c:pt>
                <c:pt idx="9" formatCode="General">
                  <c:v>26221.170000000002</c:v>
                </c:pt>
                <c:pt idx="10" formatCode="General">
                  <c:v>25688.519999999993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2-4274-ACED-7685A87C5E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ОБЩЕЕ!$L$55:$L$65</c:f>
              <c:strCache>
                <c:ptCount val="11"/>
                <c:pt idx="0">
                  <c:v>8 639,72</c:v>
                </c:pt>
                <c:pt idx="1">
                  <c:v>12 605,26</c:v>
                </c:pt>
                <c:pt idx="2">
                  <c:v>11425,19</c:v>
                </c:pt>
                <c:pt idx="3">
                  <c:v>13612,52</c:v>
                </c:pt>
                <c:pt idx="4">
                  <c:v>14474,10</c:v>
                </c:pt>
                <c:pt idx="5">
                  <c:v>17170,44</c:v>
                </c:pt>
                <c:pt idx="6">
                  <c:v>17084,79</c:v>
                </c:pt>
                <c:pt idx="7">
                  <c:v>16010,1</c:v>
                </c:pt>
                <c:pt idx="8">
                  <c:v>18487,20</c:v>
                </c:pt>
                <c:pt idx="9">
                  <c:v>18961,97</c:v>
                </c:pt>
                <c:pt idx="10">
                  <c:v>20708,28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ОБЩЕЕ!$K$55:$K$65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ОБЩЕЕ!$L$55:$L$65</c:f>
              <c:numCache>
                <c:formatCode>#,##0.00</c:formatCode>
                <c:ptCount val="11"/>
                <c:pt idx="0">
                  <c:v>8639.7199999999993</c:v>
                </c:pt>
                <c:pt idx="1">
                  <c:v>12605.26</c:v>
                </c:pt>
                <c:pt idx="2" formatCode="0.00">
                  <c:v>11425.189999999999</c:v>
                </c:pt>
                <c:pt idx="3" formatCode="0.00">
                  <c:v>13612.520000000002</c:v>
                </c:pt>
                <c:pt idx="4" formatCode="0.00">
                  <c:v>14474.099999999999</c:v>
                </c:pt>
                <c:pt idx="5" formatCode="0.00">
                  <c:v>17170.439999999999</c:v>
                </c:pt>
                <c:pt idx="6" formatCode="General">
                  <c:v>17084.789999999997</c:v>
                </c:pt>
                <c:pt idx="7" formatCode="General">
                  <c:v>16010.099999999999</c:v>
                </c:pt>
                <c:pt idx="8" formatCode="0.00">
                  <c:v>18487.2</c:v>
                </c:pt>
                <c:pt idx="9" formatCode="General">
                  <c:v>18961.969999999998</c:v>
                </c:pt>
                <c:pt idx="10" formatCode="0.00">
                  <c:v>20708.280000000002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4-486A-BDE6-BF49AD6DAB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23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B-4B12-9DA2-3B617A2D8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9B-4B12-9DA2-3B617A2D8002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ОБЩЕЕ!$D$60:$D$70</c:f>
              <c:strCache>
                <c:ptCount val="11"/>
                <c:pt idx="0">
                  <c:v>28339,37</c:v>
                </c:pt>
                <c:pt idx="1">
                  <c:v>28933,90</c:v>
                </c:pt>
                <c:pt idx="2">
                  <c:v>23375,09</c:v>
                </c:pt>
                <c:pt idx="3">
                  <c:v>22761,37</c:v>
                </c:pt>
                <c:pt idx="4">
                  <c:v>23251,61</c:v>
                </c:pt>
                <c:pt idx="5">
                  <c:v>30633,54</c:v>
                </c:pt>
                <c:pt idx="6">
                  <c:v>28716,31</c:v>
                </c:pt>
                <c:pt idx="7">
                  <c:v>26800,16</c:v>
                </c:pt>
                <c:pt idx="8">
                  <c:v>25796,49</c:v>
                </c:pt>
                <c:pt idx="9">
                  <c:v>26221,17</c:v>
                </c:pt>
                <c:pt idx="10">
                  <c:v>25688,52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ОБЩЕЕ!$C$60:$C$70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ОБЩЕЕ!$D$60:$D$70</c:f>
              <c:numCache>
                <c:formatCode>0.00</c:formatCode>
                <c:ptCount val="11"/>
                <c:pt idx="0" formatCode="General">
                  <c:v>28339.37</c:v>
                </c:pt>
                <c:pt idx="1">
                  <c:v>28933.9</c:v>
                </c:pt>
                <c:pt idx="2">
                  <c:v>23375.089999999997</c:v>
                </c:pt>
                <c:pt idx="3">
                  <c:v>22761.37</c:v>
                </c:pt>
                <c:pt idx="4">
                  <c:v>23251.61</c:v>
                </c:pt>
                <c:pt idx="5">
                  <c:v>30633.54</c:v>
                </c:pt>
                <c:pt idx="6" formatCode="General">
                  <c:v>28716.309999999994</c:v>
                </c:pt>
                <c:pt idx="7" formatCode="General">
                  <c:v>26800.16</c:v>
                </c:pt>
                <c:pt idx="8">
                  <c:v>25796.490000000005</c:v>
                </c:pt>
                <c:pt idx="9" formatCode="General">
                  <c:v>26221.170000000002</c:v>
                </c:pt>
                <c:pt idx="10" formatCode="General">
                  <c:v>25688.519999999993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9B-4A82-9A69-8BBE59C2067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ОБЩЕЕ!$L$55:$L$65</c:f>
              <c:strCache>
                <c:ptCount val="11"/>
                <c:pt idx="0">
                  <c:v>8 639,72</c:v>
                </c:pt>
                <c:pt idx="1">
                  <c:v>12 605,26</c:v>
                </c:pt>
                <c:pt idx="2">
                  <c:v>11425,19</c:v>
                </c:pt>
                <c:pt idx="3">
                  <c:v>13612,52</c:v>
                </c:pt>
                <c:pt idx="4">
                  <c:v>14474,10</c:v>
                </c:pt>
                <c:pt idx="5">
                  <c:v>17170,44</c:v>
                </c:pt>
                <c:pt idx="6">
                  <c:v>17084,79</c:v>
                </c:pt>
                <c:pt idx="7">
                  <c:v>16010,1</c:v>
                </c:pt>
                <c:pt idx="8">
                  <c:v>18487,20</c:v>
                </c:pt>
                <c:pt idx="9">
                  <c:v>18961,97</c:v>
                </c:pt>
                <c:pt idx="10">
                  <c:v>20708,28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ОБЩЕЕ!$K$55:$K$65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ОБЩЕЕ!$L$55:$L$65</c:f>
              <c:numCache>
                <c:formatCode>#,##0.00</c:formatCode>
                <c:ptCount val="11"/>
                <c:pt idx="0">
                  <c:v>8639.7199999999993</c:v>
                </c:pt>
                <c:pt idx="1">
                  <c:v>12605.26</c:v>
                </c:pt>
                <c:pt idx="2" formatCode="0.00">
                  <c:v>11425.189999999999</c:v>
                </c:pt>
                <c:pt idx="3" formatCode="0.00">
                  <c:v>13612.520000000002</c:v>
                </c:pt>
                <c:pt idx="4" formatCode="0.00">
                  <c:v>14474.099999999999</c:v>
                </c:pt>
                <c:pt idx="5" formatCode="0.00">
                  <c:v>17170.439999999999</c:v>
                </c:pt>
                <c:pt idx="6" formatCode="General">
                  <c:v>17084.789999999997</c:v>
                </c:pt>
                <c:pt idx="7" formatCode="General">
                  <c:v>16010.099999999999</c:v>
                </c:pt>
                <c:pt idx="8" formatCode="0.00">
                  <c:v>18487.2</c:v>
                </c:pt>
                <c:pt idx="9" formatCode="General">
                  <c:v>18961.969999999998</c:v>
                </c:pt>
                <c:pt idx="10" formatCode="0.00">
                  <c:v>20708.280000000002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87-4DDB-B9AB-9C91029F51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23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Реализация</a:t>
            </a:r>
            <a:r>
              <a:rPr lang="ru-RU" baseline="0"/>
              <a:t> миланкосметикс</a:t>
            </a:r>
            <a:endParaRPr lang="ru-RU"/>
          </a:p>
        </c:rich>
      </c:tx>
      <c:layout>
        <c:manualLayout>
          <c:xMode val="edge"/>
          <c:yMode val="edge"/>
          <c:x val="0.25013860819487416"/>
          <c:y val="2.0887002811300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65478069103887"/>
          <c:y val="7.2601163503927119E-2"/>
          <c:w val="0.85413244038483105"/>
          <c:h val="0.74898112202059119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ОБЩЕЕ!$H$50</c:f>
              <c:strCache>
                <c:ptCount val="1"/>
                <c:pt idx="0">
                  <c:v>жтк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ОБЩЕЕ!$F$54:$F$62</c:f>
              <c:strCache>
                <c:ptCount val="9"/>
                <c:pt idx="0">
                  <c:v>сент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ОБЩЕЕ!$H$54:$H$62</c:f>
              <c:numCache>
                <c:formatCode>General</c:formatCode>
                <c:ptCount val="9"/>
                <c:pt idx="0">
                  <c:v>868.92</c:v>
                </c:pt>
                <c:pt idx="1">
                  <c:v>1147.08</c:v>
                </c:pt>
                <c:pt idx="2">
                  <c:v>1035.6500000000001</c:v>
                </c:pt>
                <c:pt idx="3">
                  <c:v>918.57</c:v>
                </c:pt>
                <c:pt idx="4">
                  <c:v>899.78</c:v>
                </c:pt>
                <c:pt idx="5">
                  <c:v>815.26</c:v>
                </c:pt>
                <c:pt idx="6">
                  <c:v>1117.0999999999999</c:v>
                </c:pt>
                <c:pt idx="7">
                  <c:v>999.89</c:v>
                </c:pt>
                <c:pt idx="8">
                  <c:v>1134.25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C-4316-ABA2-824EAFDB4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297968"/>
        <c:axId val="8503046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ОБЩЕЕ!$I$50</c15:sqref>
                        </c15:formulaRef>
                      </c:ext>
                    </c:extLst>
                    <c:strCache>
                      <c:ptCount val="1"/>
                      <c:pt idx="0">
                        <c:v>ТЦ "галерея"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ОБЩЕЕ!$F$54:$F$62</c15:sqref>
                        </c15:formulaRef>
                      </c:ext>
                    </c:extLst>
                    <c:strCache>
                      <c:ptCount val="9"/>
                      <c:pt idx="0">
                        <c:v>сент</c:v>
                      </c:pt>
                      <c:pt idx="1">
                        <c:v>октябрь</c:v>
                      </c:pt>
                      <c:pt idx="2">
                        <c:v>ноябрь</c:v>
                      </c:pt>
                      <c:pt idx="3">
                        <c:v>декабрь</c:v>
                      </c:pt>
                      <c:pt idx="4">
                        <c:v>январь</c:v>
                      </c:pt>
                      <c:pt idx="5">
                        <c:v>февраль</c:v>
                      </c:pt>
                      <c:pt idx="6">
                        <c:v>март</c:v>
                      </c:pt>
                      <c:pt idx="7">
                        <c:v>АПРЕЛЬ</c:v>
                      </c:pt>
                      <c:pt idx="8">
                        <c:v>май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ОБЩЕЕ!$I$53:$I$60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547.82000000000005</c:v>
                      </c:pt>
                      <c:pt idx="1">
                        <c:v>1157.48</c:v>
                      </c:pt>
                      <c:pt idx="2">
                        <c:v>1780.71</c:v>
                      </c:pt>
                      <c:pt idx="3">
                        <c:v>1458.67</c:v>
                      </c:pt>
                      <c:pt idx="4">
                        <c:v>2039.02</c:v>
                      </c:pt>
                      <c:pt idx="5">
                        <c:v>1633.61</c:v>
                      </c:pt>
                      <c:pt idx="6">
                        <c:v>1564.38</c:v>
                      </c:pt>
                      <c:pt idx="7">
                        <c:v>1788.81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63C-4316-ABA2-824EAFDB489E}"/>
                  </c:ext>
                </c:extLst>
              </c15:ser>
            </c15:filteredLineSeries>
          </c:ext>
        </c:extLst>
      </c:lineChart>
      <c:catAx>
        <c:axId val="850297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04624"/>
        <c:crosses val="autoZero"/>
        <c:auto val="1"/>
        <c:lblAlgn val="ctr"/>
        <c:lblOffset val="100"/>
        <c:noMultiLvlLbl val="0"/>
      </c:catAx>
      <c:valAx>
        <c:axId val="850304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5029796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8.1203839809717226E-4"/>
          <c:y val="0.60310150018016229"/>
          <c:w val="0.2198379391347956"/>
          <c:h val="0.15677264038939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ОБОРОТ</a:t>
            </a:r>
            <a:r>
              <a:rPr lang="ru-RU" baseline="0"/>
              <a:t> </a:t>
            </a:r>
            <a:r>
              <a:rPr lang="en-US" baseline="0"/>
              <a:t>LUCKY LADY</a:t>
            </a:r>
            <a:r>
              <a:rPr lang="ru-RU" baseline="0"/>
              <a:t> ТЦ "ГАЛЕРЕЯ"</a:t>
            </a:r>
            <a:endParaRPr lang="ru-RU"/>
          </a:p>
        </c:rich>
      </c:tx>
      <c:layout>
        <c:manualLayout>
          <c:xMode val="edge"/>
          <c:yMode val="edge"/>
          <c:x val="0.2323015801295738"/>
          <c:y val="2.1188973970783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9111977967648051E-2"/>
          <c:y val="7.5675416193561759E-2"/>
          <c:w val="0.9257644852830057"/>
          <c:h val="0.83854335192987328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ОБЩЕЕ!$D$60:$D$70</c:f>
              <c:strCache>
                <c:ptCount val="11"/>
                <c:pt idx="0">
                  <c:v>28339,37</c:v>
                </c:pt>
                <c:pt idx="1">
                  <c:v>28933,90</c:v>
                </c:pt>
                <c:pt idx="2">
                  <c:v>23375,09</c:v>
                </c:pt>
                <c:pt idx="3">
                  <c:v>22761,37</c:v>
                </c:pt>
                <c:pt idx="4">
                  <c:v>23251,61</c:v>
                </c:pt>
                <c:pt idx="5">
                  <c:v>30633,54</c:v>
                </c:pt>
                <c:pt idx="6">
                  <c:v>28716,31</c:v>
                </c:pt>
                <c:pt idx="7">
                  <c:v>26800,16</c:v>
                </c:pt>
                <c:pt idx="8">
                  <c:v>25796,49</c:v>
                </c:pt>
                <c:pt idx="9">
                  <c:v>26221,17</c:v>
                </c:pt>
                <c:pt idx="10">
                  <c:v>25688,52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ОБЩЕЕ!$C$60:$C$70</c:f>
              <c:strCache>
                <c:ptCount val="11"/>
                <c:pt idx="0">
                  <c:v>февраль</c:v>
                </c:pt>
                <c:pt idx="1">
                  <c:v>март</c:v>
                </c:pt>
                <c:pt idx="2">
                  <c:v>апрель</c:v>
                </c:pt>
                <c:pt idx="3">
                  <c:v>май</c:v>
                </c:pt>
                <c:pt idx="4">
                  <c:v>июнь</c:v>
                </c:pt>
                <c:pt idx="5">
                  <c:v>июль</c:v>
                </c:pt>
                <c:pt idx="6">
                  <c:v>август</c:v>
                </c:pt>
                <c:pt idx="7">
                  <c:v>сентябрь</c:v>
                </c:pt>
                <c:pt idx="8">
                  <c:v>октябрь</c:v>
                </c:pt>
                <c:pt idx="9">
                  <c:v>ноябрь</c:v>
                </c:pt>
                <c:pt idx="10">
                  <c:v>декабрь</c:v>
                </c:pt>
              </c:strCache>
            </c:strRef>
          </c:cat>
          <c:val>
            <c:numRef>
              <c:f>ОБЩЕЕ!$D$60:$D$70</c:f>
              <c:numCache>
                <c:formatCode>0.00</c:formatCode>
                <c:ptCount val="11"/>
                <c:pt idx="0" formatCode="General">
                  <c:v>28339.37</c:v>
                </c:pt>
                <c:pt idx="1">
                  <c:v>28933.9</c:v>
                </c:pt>
                <c:pt idx="2">
                  <c:v>23375.089999999997</c:v>
                </c:pt>
                <c:pt idx="3">
                  <c:v>22761.37</c:v>
                </c:pt>
                <c:pt idx="4">
                  <c:v>23251.61</c:v>
                </c:pt>
                <c:pt idx="5">
                  <c:v>30633.54</c:v>
                </c:pt>
                <c:pt idx="6" formatCode="General">
                  <c:v>28716.309999999994</c:v>
                </c:pt>
                <c:pt idx="7" formatCode="General">
                  <c:v>26800.16</c:v>
                </c:pt>
                <c:pt idx="8">
                  <c:v>25796.490000000005</c:v>
                </c:pt>
                <c:pt idx="9" formatCode="General">
                  <c:v>26221.170000000002</c:v>
                </c:pt>
                <c:pt idx="10" formatCode="General">
                  <c:v>25688.519999999993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48-4949-9499-0F503AB5D7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32000"/>
          <c:min val="200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ОБОРОТ </a:t>
            </a:r>
            <a:r>
              <a:rPr lang="en-US" sz="1800" b="1" i="0" baseline="0">
                <a:effectLst/>
              </a:rPr>
              <a:t>LUCKY LADY</a:t>
            </a:r>
            <a:r>
              <a:rPr lang="ru-RU" sz="1800" b="1" i="0" baseline="0">
                <a:effectLst/>
              </a:rPr>
              <a:t> ТЦ "ВЕСТ"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26137836717887658"/>
          <c:y val="7.41656413139322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677296745449003E-2"/>
          <c:y val="6.6819532592867215E-2"/>
          <c:w val="0.9257644852830057"/>
          <c:h val="0.78777769696969702"/>
        </c:manualLayout>
      </c:layout>
      <c:lineChart>
        <c:grouping val="standard"/>
        <c:varyColors val="0"/>
        <c:ser>
          <c:idx val="0"/>
          <c:order val="0"/>
          <c:tx>
            <c:strRef>
              <c:f>ОБЩЕЕ!$L$57:$L$68</c:f>
              <c:strCache>
                <c:ptCount val="12"/>
                <c:pt idx="0">
                  <c:v>11425,19</c:v>
                </c:pt>
                <c:pt idx="1">
                  <c:v>13612,52</c:v>
                </c:pt>
                <c:pt idx="2">
                  <c:v>14474,10</c:v>
                </c:pt>
                <c:pt idx="3">
                  <c:v>17170,44</c:v>
                </c:pt>
                <c:pt idx="4">
                  <c:v>17084,79</c:v>
                </c:pt>
                <c:pt idx="5">
                  <c:v>16010,1</c:v>
                </c:pt>
                <c:pt idx="6">
                  <c:v>18487,20</c:v>
                </c:pt>
                <c:pt idx="7">
                  <c:v>18961,97</c:v>
                </c:pt>
                <c:pt idx="8">
                  <c:v>20708,28</c:v>
                </c:pt>
                <c:pt idx="9">
                  <c:v>20708,28</c:v>
                </c:pt>
                <c:pt idx="10">
                  <c:v>16124,60</c:v>
                </c:pt>
                <c:pt idx="11">
                  <c:v>6808,70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ОБЩЕЕ!$K$57:$K$68</c:f>
              <c:strCache>
                <c:ptCount val="12"/>
                <c:pt idx="0">
                  <c:v>апрель</c:v>
                </c:pt>
                <c:pt idx="1">
                  <c:v>май</c:v>
                </c:pt>
                <c:pt idx="2">
                  <c:v>июнь</c:v>
                </c:pt>
                <c:pt idx="3">
                  <c:v>июль</c:v>
                </c:pt>
                <c:pt idx="4">
                  <c:v>август</c:v>
                </c:pt>
                <c:pt idx="5">
                  <c:v>сентябрь</c:v>
                </c:pt>
                <c:pt idx="6">
                  <c:v>октябрь</c:v>
                </c:pt>
                <c:pt idx="7">
                  <c:v>ноябрь</c:v>
                </c:pt>
                <c:pt idx="8">
                  <c:v>декабрь</c:v>
                </c:pt>
                <c:pt idx="9">
                  <c:v>декабрь</c:v>
                </c:pt>
                <c:pt idx="10">
                  <c:v>январь</c:v>
                </c:pt>
                <c:pt idx="11">
                  <c:v>февраль</c:v>
                </c:pt>
              </c:strCache>
            </c:strRef>
          </c:cat>
          <c:val>
            <c:numRef>
              <c:f>ОБЩЕЕ!$L$57:$L$68</c:f>
              <c:numCache>
                <c:formatCode>0.00</c:formatCode>
                <c:ptCount val="12"/>
                <c:pt idx="0">
                  <c:v>11425.189999999999</c:v>
                </c:pt>
                <c:pt idx="1">
                  <c:v>13612.520000000002</c:v>
                </c:pt>
                <c:pt idx="2">
                  <c:v>14474.099999999999</c:v>
                </c:pt>
                <c:pt idx="3">
                  <c:v>17170.439999999999</c:v>
                </c:pt>
                <c:pt idx="4" formatCode="General">
                  <c:v>17084.789999999997</c:v>
                </c:pt>
                <c:pt idx="5" formatCode="General">
                  <c:v>16010.099999999999</c:v>
                </c:pt>
                <c:pt idx="6">
                  <c:v>18487.2</c:v>
                </c:pt>
                <c:pt idx="7" formatCode="General">
                  <c:v>18961.969999999998</c:v>
                </c:pt>
                <c:pt idx="8">
                  <c:v>20708.280000000002</c:v>
                </c:pt>
                <c:pt idx="9">
                  <c:v>20708.280000000002</c:v>
                </c:pt>
                <c:pt idx="10">
                  <c:v>16124.6</c:v>
                </c:pt>
                <c:pt idx="11">
                  <c:v>6808.7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E-418B-BB89-FC74E9E3FD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271423"/>
        <c:axId val="1088270175"/>
      </c:lineChart>
      <c:catAx>
        <c:axId val="1088271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0175"/>
        <c:crosses val="autoZero"/>
        <c:auto val="1"/>
        <c:lblAlgn val="ctr"/>
        <c:lblOffset val="100"/>
        <c:noMultiLvlLbl val="0"/>
      </c:catAx>
      <c:valAx>
        <c:axId val="1088270175"/>
        <c:scaling>
          <c:orientation val="minMax"/>
          <c:max val="23000"/>
          <c:min val="7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271423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128</xdr:row>
      <xdr:rowOff>44824</xdr:rowOff>
    </xdr:from>
    <xdr:to>
      <xdr:col>7</xdr:col>
      <xdr:colOff>0</xdr:colOff>
      <xdr:row>144</xdr:row>
      <xdr:rowOff>156882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33619</xdr:colOff>
      <xdr:row>166</xdr:row>
      <xdr:rowOff>26852</xdr:rowOff>
    </xdr:from>
    <xdr:to>
      <xdr:col>6</xdr:col>
      <xdr:colOff>742950</xdr:colOff>
      <xdr:row>187</xdr:row>
      <xdr:rowOff>151352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57149</xdr:colOff>
      <xdr:row>151</xdr:row>
      <xdr:rowOff>171450</xdr:rowOff>
    </xdr:from>
    <xdr:to>
      <xdr:col>12</xdr:col>
      <xdr:colOff>876300</xdr:colOff>
      <xdr:row>165</xdr:row>
      <xdr:rowOff>156881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554316</xdr:colOff>
      <xdr:row>148</xdr:row>
      <xdr:rowOff>72202</xdr:rowOff>
    </xdr:from>
    <xdr:ext cx="552450" cy="217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802716" y="272227"/>
          <a:ext cx="5524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800"/>
            <a:t>магазин </a:t>
          </a:r>
        </a:p>
      </xdr:txBody>
    </xdr:sp>
    <xdr:clientData/>
  </xdr:oneCellAnchor>
  <xdr:oneCellAnchor>
    <xdr:from>
      <xdr:col>8</xdr:col>
      <xdr:colOff>167990</xdr:colOff>
      <xdr:row>147</xdr:row>
      <xdr:rowOff>142232</xdr:rowOff>
    </xdr:from>
    <xdr:ext cx="623318" cy="327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7054565" y="142232"/>
          <a:ext cx="623318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800"/>
            <a:t>наименов</a:t>
          </a:r>
        </a:p>
        <a:p>
          <a:endParaRPr lang="ru-RU" sz="700"/>
        </a:p>
      </xdr:txBody>
    </xdr:sp>
    <xdr:clientData/>
  </xdr:oneCellAnchor>
  <xdr:twoCellAnchor>
    <xdr:from>
      <xdr:col>7</xdr:col>
      <xdr:colOff>30480</xdr:colOff>
      <xdr:row>202</xdr:row>
      <xdr:rowOff>171450</xdr:rowOff>
    </xdr:from>
    <xdr:to>
      <xdr:col>12</xdr:col>
      <xdr:colOff>914401</xdr:colOff>
      <xdr:row>216</xdr:row>
      <xdr:rowOff>156881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6</xdr:col>
      <xdr:colOff>763865</xdr:colOff>
      <xdr:row>199</xdr:row>
      <xdr:rowOff>62677</xdr:rowOff>
    </xdr:from>
    <xdr:ext cx="80775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6383615" y="262702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198</xdr:row>
      <xdr:rowOff>151758</xdr:rowOff>
    </xdr:from>
    <xdr:ext cx="917860" cy="436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206965" y="151758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13606</xdr:colOff>
      <xdr:row>217</xdr:row>
      <xdr:rowOff>38100</xdr:rowOff>
    </xdr:from>
    <xdr:to>
      <xdr:col>6</xdr:col>
      <xdr:colOff>769619</xdr:colOff>
      <xdr:row>238</xdr:row>
      <xdr:rowOff>163285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261</xdr:row>
      <xdr:rowOff>34066</xdr:rowOff>
    </xdr:from>
    <xdr:to>
      <xdr:col>6</xdr:col>
      <xdr:colOff>493059</xdr:colOff>
      <xdr:row>282</xdr:row>
      <xdr:rowOff>190135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22860</xdr:colOff>
      <xdr:row>244</xdr:row>
      <xdr:rowOff>175260</xdr:rowOff>
    </xdr:from>
    <xdr:to>
      <xdr:col>12</xdr:col>
      <xdr:colOff>929640</xdr:colOff>
      <xdr:row>260</xdr:row>
      <xdr:rowOff>160020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8068</xdr:colOff>
      <xdr:row>289</xdr:row>
      <xdr:rowOff>3362</xdr:rowOff>
    </xdr:from>
    <xdr:to>
      <xdr:col>12</xdr:col>
      <xdr:colOff>891989</xdr:colOff>
      <xdr:row>302</xdr:row>
      <xdr:rowOff>179293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6</xdr:col>
      <xdr:colOff>763865</xdr:colOff>
      <xdr:row>285</xdr:row>
      <xdr:rowOff>62677</xdr:rowOff>
    </xdr:from>
    <xdr:ext cx="807759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78865" y="262702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284</xdr:row>
      <xdr:rowOff>151758</xdr:rowOff>
    </xdr:from>
    <xdr:ext cx="917860" cy="436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7187915" y="151758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303</xdr:row>
      <xdr:rowOff>38100</xdr:rowOff>
    </xdr:from>
    <xdr:to>
      <xdr:col>6</xdr:col>
      <xdr:colOff>803237</xdr:colOff>
      <xdr:row>326</xdr:row>
      <xdr:rowOff>163285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</xdr:colOff>
      <xdr:row>349</xdr:row>
      <xdr:rowOff>22860</xdr:rowOff>
    </xdr:from>
    <xdr:to>
      <xdr:col>6</xdr:col>
      <xdr:colOff>806824</xdr:colOff>
      <xdr:row>370</xdr:row>
      <xdr:rowOff>178929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448</xdr:colOff>
      <xdr:row>332</xdr:row>
      <xdr:rowOff>186465</xdr:rowOff>
    </xdr:from>
    <xdr:to>
      <xdr:col>12</xdr:col>
      <xdr:colOff>897703</xdr:colOff>
      <xdr:row>348</xdr:row>
      <xdr:rowOff>171225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33618</xdr:colOff>
      <xdr:row>378</xdr:row>
      <xdr:rowOff>3362</xdr:rowOff>
    </xdr:from>
    <xdr:to>
      <xdr:col>12</xdr:col>
      <xdr:colOff>891989</xdr:colOff>
      <xdr:row>391</xdr:row>
      <xdr:rowOff>179293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6</xdr:col>
      <xdr:colOff>954365</xdr:colOff>
      <xdr:row>374</xdr:row>
      <xdr:rowOff>51471</xdr:rowOff>
    </xdr:from>
    <xdr:ext cx="807759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669365" y="642021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373</xdr:row>
      <xdr:rowOff>151758</xdr:rowOff>
    </xdr:from>
    <xdr:ext cx="917860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7330790" y="542283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392</xdr:row>
      <xdr:rowOff>38100</xdr:rowOff>
    </xdr:from>
    <xdr:to>
      <xdr:col>6</xdr:col>
      <xdr:colOff>930088</xdr:colOff>
      <xdr:row>416</xdr:row>
      <xdr:rowOff>163285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22859</xdr:colOff>
      <xdr:row>439</xdr:row>
      <xdr:rowOff>22860</xdr:rowOff>
    </xdr:from>
    <xdr:to>
      <xdr:col>6</xdr:col>
      <xdr:colOff>1008530</xdr:colOff>
      <xdr:row>460</xdr:row>
      <xdr:rowOff>178929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33618</xdr:colOff>
      <xdr:row>422</xdr:row>
      <xdr:rowOff>186465</xdr:rowOff>
    </xdr:from>
    <xdr:to>
      <xdr:col>12</xdr:col>
      <xdr:colOff>896470</xdr:colOff>
      <xdr:row>438</xdr:row>
      <xdr:rowOff>171225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22412</xdr:colOff>
      <xdr:row>468</xdr:row>
      <xdr:rowOff>3362</xdr:rowOff>
    </xdr:from>
    <xdr:to>
      <xdr:col>12</xdr:col>
      <xdr:colOff>891989</xdr:colOff>
      <xdr:row>481</xdr:row>
      <xdr:rowOff>179293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oneCellAnchor>
    <xdr:from>
      <xdr:col>6</xdr:col>
      <xdr:colOff>954365</xdr:colOff>
      <xdr:row>464</xdr:row>
      <xdr:rowOff>51471</xdr:rowOff>
    </xdr:from>
    <xdr:ext cx="807759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6669365" y="642021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463</xdr:row>
      <xdr:rowOff>151758</xdr:rowOff>
    </xdr:from>
    <xdr:ext cx="917860" cy="43678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7330790" y="542283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482</xdr:row>
      <xdr:rowOff>38100</xdr:rowOff>
    </xdr:from>
    <xdr:to>
      <xdr:col>6</xdr:col>
      <xdr:colOff>963706</xdr:colOff>
      <xdr:row>510</xdr:row>
      <xdr:rowOff>163285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22859</xdr:colOff>
      <xdr:row>533</xdr:row>
      <xdr:rowOff>22860</xdr:rowOff>
    </xdr:from>
    <xdr:to>
      <xdr:col>6</xdr:col>
      <xdr:colOff>1008530</xdr:colOff>
      <xdr:row>555</xdr:row>
      <xdr:rowOff>178929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33618</xdr:colOff>
      <xdr:row>516</xdr:row>
      <xdr:rowOff>186465</xdr:rowOff>
    </xdr:from>
    <xdr:to>
      <xdr:col>12</xdr:col>
      <xdr:colOff>896470</xdr:colOff>
      <xdr:row>532</xdr:row>
      <xdr:rowOff>171225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7</xdr:row>
      <xdr:rowOff>3362</xdr:rowOff>
    </xdr:from>
    <xdr:to>
      <xdr:col>12</xdr:col>
      <xdr:colOff>923365</xdr:colOff>
      <xdr:row>20</xdr:row>
      <xdr:rowOff>179293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954365</xdr:colOff>
      <xdr:row>3</xdr:row>
      <xdr:rowOff>51471</xdr:rowOff>
    </xdr:from>
    <xdr:ext cx="80775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6669365" y="642021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2</xdr:row>
      <xdr:rowOff>151758</xdr:rowOff>
    </xdr:from>
    <xdr:ext cx="917860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7330790" y="542283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21</xdr:row>
      <xdr:rowOff>38100</xdr:rowOff>
    </xdr:from>
    <xdr:to>
      <xdr:col>6</xdr:col>
      <xdr:colOff>938893</xdr:colOff>
      <xdr:row>51</xdr:row>
      <xdr:rowOff>163285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</xdr:colOff>
      <xdr:row>74</xdr:row>
      <xdr:rowOff>22860</xdr:rowOff>
    </xdr:from>
    <xdr:to>
      <xdr:col>6</xdr:col>
      <xdr:colOff>959224</xdr:colOff>
      <xdr:row>97</xdr:row>
      <xdr:rowOff>178929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33618</xdr:colOff>
      <xdr:row>58</xdr:row>
      <xdr:rowOff>7171</xdr:rowOff>
    </xdr:from>
    <xdr:to>
      <xdr:col>12</xdr:col>
      <xdr:colOff>932329</xdr:colOff>
      <xdr:row>73</xdr:row>
      <xdr:rowOff>171225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6</xdr:row>
      <xdr:rowOff>3362</xdr:rowOff>
    </xdr:from>
    <xdr:to>
      <xdr:col>12</xdr:col>
      <xdr:colOff>923365</xdr:colOff>
      <xdr:row>19</xdr:row>
      <xdr:rowOff>179293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954365</xdr:colOff>
      <xdr:row>3</xdr:row>
      <xdr:rowOff>51471</xdr:rowOff>
    </xdr:from>
    <xdr:ext cx="80775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ECAF23-B976-4DD2-BE34-498C3C749926}"/>
            </a:ext>
          </a:extLst>
        </xdr:cNvPr>
        <xdr:cNvSpPr txBox="1"/>
      </xdr:nvSpPr>
      <xdr:spPr>
        <a:xfrm>
          <a:off x="6829385" y="615351"/>
          <a:ext cx="8077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магазин</a:t>
          </a:r>
          <a:r>
            <a:rPr lang="ru-RU" sz="800"/>
            <a:t> </a:t>
          </a:r>
        </a:p>
      </xdr:txBody>
    </xdr:sp>
    <xdr:clientData/>
  </xdr:oneCellAnchor>
  <xdr:oneCellAnchor>
    <xdr:from>
      <xdr:col>7</xdr:col>
      <xdr:colOff>634715</xdr:colOff>
      <xdr:row>2</xdr:row>
      <xdr:rowOff>151758</xdr:rowOff>
    </xdr:from>
    <xdr:ext cx="917860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AC73CE-16A6-4385-BEB4-426EE7D90493}"/>
            </a:ext>
          </a:extLst>
        </xdr:cNvPr>
        <xdr:cNvSpPr txBox="1"/>
      </xdr:nvSpPr>
      <xdr:spPr>
        <a:xfrm>
          <a:off x="7515575" y="525138"/>
          <a:ext cx="9178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наименов</a:t>
          </a:r>
        </a:p>
        <a:p>
          <a:endParaRPr lang="ru-RU" sz="1100"/>
        </a:p>
      </xdr:txBody>
    </xdr:sp>
    <xdr:clientData/>
  </xdr:oneCellAnchor>
  <xdr:twoCellAnchor>
    <xdr:from>
      <xdr:col>0</xdr:col>
      <xdr:colOff>47224</xdr:colOff>
      <xdr:row>20</xdr:row>
      <xdr:rowOff>38100</xdr:rowOff>
    </xdr:from>
    <xdr:to>
      <xdr:col>6</xdr:col>
      <xdr:colOff>938893</xdr:colOff>
      <xdr:row>51</xdr:row>
      <xdr:rowOff>163285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</xdr:colOff>
      <xdr:row>74</xdr:row>
      <xdr:rowOff>22860</xdr:rowOff>
    </xdr:from>
    <xdr:to>
      <xdr:col>6</xdr:col>
      <xdr:colOff>959224</xdr:colOff>
      <xdr:row>98</xdr:row>
      <xdr:rowOff>178929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105</xdr:row>
      <xdr:rowOff>29339</xdr:rowOff>
    </xdr:from>
    <xdr:to>
      <xdr:col>12</xdr:col>
      <xdr:colOff>870856</xdr:colOff>
      <xdr:row>122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938893</xdr:colOff>
      <xdr:row>53</xdr:row>
      <xdr:rowOff>163285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</xdr:colOff>
      <xdr:row>76</xdr:row>
      <xdr:rowOff>22860</xdr:rowOff>
    </xdr:from>
    <xdr:to>
      <xdr:col>6</xdr:col>
      <xdr:colOff>959224</xdr:colOff>
      <xdr:row>101</xdr:row>
      <xdr:rowOff>178929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104</xdr:row>
      <xdr:rowOff>29339</xdr:rowOff>
    </xdr:from>
    <xdr:to>
      <xdr:col>12</xdr:col>
      <xdr:colOff>870856</xdr:colOff>
      <xdr:row>121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51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74</xdr:row>
      <xdr:rowOff>22860</xdr:rowOff>
    </xdr:from>
    <xdr:to>
      <xdr:col>6</xdr:col>
      <xdr:colOff>1154205</xdr:colOff>
      <xdr:row>100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106</xdr:row>
      <xdr:rowOff>29339</xdr:rowOff>
    </xdr:from>
    <xdr:to>
      <xdr:col>12</xdr:col>
      <xdr:colOff>870856</xdr:colOff>
      <xdr:row>123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52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75</xdr:row>
      <xdr:rowOff>22860</xdr:rowOff>
    </xdr:from>
    <xdr:to>
      <xdr:col>6</xdr:col>
      <xdr:colOff>1154205</xdr:colOff>
      <xdr:row>102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108</xdr:row>
      <xdr:rowOff>29339</xdr:rowOff>
    </xdr:from>
    <xdr:to>
      <xdr:col>12</xdr:col>
      <xdr:colOff>870856</xdr:colOff>
      <xdr:row>125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53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76</xdr:row>
      <xdr:rowOff>22860</xdr:rowOff>
    </xdr:from>
    <xdr:to>
      <xdr:col>6</xdr:col>
      <xdr:colOff>1154205</xdr:colOff>
      <xdr:row>104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110</xdr:row>
      <xdr:rowOff>29339</xdr:rowOff>
    </xdr:from>
    <xdr:to>
      <xdr:col>12</xdr:col>
      <xdr:colOff>870856</xdr:colOff>
      <xdr:row>127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54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77</xdr:row>
      <xdr:rowOff>22860</xdr:rowOff>
    </xdr:from>
    <xdr:to>
      <xdr:col>6</xdr:col>
      <xdr:colOff>1154205</xdr:colOff>
      <xdr:row>106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112</xdr:row>
      <xdr:rowOff>29339</xdr:rowOff>
    </xdr:from>
    <xdr:to>
      <xdr:col>12</xdr:col>
      <xdr:colOff>870856</xdr:colOff>
      <xdr:row>129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55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78</xdr:row>
      <xdr:rowOff>22860</xdr:rowOff>
    </xdr:from>
    <xdr:to>
      <xdr:col>6</xdr:col>
      <xdr:colOff>1154205</xdr:colOff>
      <xdr:row>108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115</xdr:row>
      <xdr:rowOff>29339</xdr:rowOff>
    </xdr:from>
    <xdr:to>
      <xdr:col>12</xdr:col>
      <xdr:colOff>870856</xdr:colOff>
      <xdr:row>132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56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79</xdr:row>
      <xdr:rowOff>22860</xdr:rowOff>
    </xdr:from>
    <xdr:to>
      <xdr:col>6</xdr:col>
      <xdr:colOff>1154205</xdr:colOff>
      <xdr:row>111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10987</xdr:colOff>
      <xdr:row>117</xdr:row>
      <xdr:rowOff>29339</xdr:rowOff>
    </xdr:from>
    <xdr:to>
      <xdr:col>12</xdr:col>
      <xdr:colOff>870856</xdr:colOff>
      <xdr:row>134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57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80</xdr:row>
      <xdr:rowOff>22860</xdr:rowOff>
    </xdr:from>
    <xdr:to>
      <xdr:col>6</xdr:col>
      <xdr:colOff>1154205</xdr:colOff>
      <xdr:row>113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1230187</xdr:colOff>
      <xdr:row>117</xdr:row>
      <xdr:rowOff>29339</xdr:rowOff>
    </xdr:from>
    <xdr:to>
      <xdr:col>12</xdr:col>
      <xdr:colOff>842281</xdr:colOff>
      <xdr:row>134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57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80</xdr:row>
      <xdr:rowOff>22860</xdr:rowOff>
    </xdr:from>
    <xdr:to>
      <xdr:col>6</xdr:col>
      <xdr:colOff>1154205</xdr:colOff>
      <xdr:row>113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1230187</xdr:colOff>
      <xdr:row>118</xdr:row>
      <xdr:rowOff>29339</xdr:rowOff>
    </xdr:from>
    <xdr:to>
      <xdr:col>12</xdr:col>
      <xdr:colOff>842281</xdr:colOff>
      <xdr:row>135</xdr:row>
      <xdr:rowOff>4802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14C409-B211-4DAC-8123-72C628B1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47224</xdr:colOff>
      <xdr:row>20</xdr:row>
      <xdr:rowOff>38100</xdr:rowOff>
    </xdr:from>
    <xdr:to>
      <xdr:col>6</xdr:col>
      <xdr:colOff>1115786</xdr:colOff>
      <xdr:row>57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19EE8C4-7C71-4B52-BAEC-D372F40E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22858</xdr:colOff>
      <xdr:row>80</xdr:row>
      <xdr:rowOff>22860</xdr:rowOff>
    </xdr:from>
    <xdr:to>
      <xdr:col>6</xdr:col>
      <xdr:colOff>1154205</xdr:colOff>
      <xdr:row>114</xdr:row>
      <xdr:rowOff>178929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0B75A63-C644-45BE-8292-22B329AA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7"/>
  <sheetViews>
    <sheetView topLeftCell="A47" zoomScale="70" zoomScaleNormal="70" zoomScaleSheetLayoutView="70" workbookViewId="0">
      <selection activeCell="K68" sqref="K68:L68"/>
    </sheetView>
  </sheetViews>
  <sheetFormatPr defaultRowHeight="15" outlineLevelRow="1"/>
  <cols>
    <col min="2" max="2" width="6.28515625" customWidth="1"/>
    <col min="3" max="3" width="12.7109375" customWidth="1"/>
    <col min="5" max="5" width="10.140625" bestFit="1" customWidth="1"/>
    <col min="9" max="9" width="9.7109375" customWidth="1"/>
    <col min="10" max="10" width="12.5703125" customWidth="1"/>
    <col min="12" max="12" width="9.140625" customWidth="1"/>
    <col min="13" max="13" width="10.42578125" customWidth="1"/>
    <col min="24" max="24" width="12.28515625" customWidth="1"/>
    <col min="42" max="42" width="10.140625" bestFit="1" customWidth="1"/>
    <col min="48" max="48" width="12.28515625" customWidth="1"/>
  </cols>
  <sheetData>
    <row r="1" spans="1:95" ht="27" thickBot="1">
      <c r="A1" s="107"/>
      <c r="B1" s="108"/>
      <c r="C1" s="108"/>
      <c r="D1" s="1125" t="s">
        <v>9</v>
      </c>
      <c r="E1" s="1125"/>
      <c r="F1" s="108"/>
      <c r="G1" s="108"/>
      <c r="H1" s="107"/>
      <c r="I1" s="108"/>
      <c r="J1" s="108"/>
      <c r="K1" s="1125" t="s">
        <v>18</v>
      </c>
      <c r="L1" s="1125"/>
      <c r="M1" s="108"/>
      <c r="N1" s="108"/>
      <c r="O1" s="109"/>
      <c r="P1" s="107"/>
      <c r="Q1" s="108"/>
      <c r="R1" s="108"/>
      <c r="S1" s="108"/>
      <c r="T1" s="1125" t="s">
        <v>19</v>
      </c>
      <c r="U1" s="1125"/>
      <c r="V1" s="1125"/>
      <c r="W1" s="108"/>
      <c r="X1" s="108"/>
      <c r="Y1" s="108"/>
      <c r="Z1" s="108"/>
      <c r="AA1" s="109"/>
      <c r="AB1" s="107"/>
      <c r="AC1" s="108"/>
      <c r="AD1" s="108"/>
      <c r="AE1" s="108"/>
      <c r="AF1" s="108"/>
      <c r="AG1" s="1125" t="s">
        <v>20</v>
      </c>
      <c r="AH1" s="1125"/>
      <c r="AI1" s="1126"/>
      <c r="AJ1" s="107"/>
      <c r="AK1" s="108"/>
      <c r="AL1" s="1125" t="s">
        <v>194</v>
      </c>
      <c r="AM1" s="1125"/>
      <c r="AN1" s="1126"/>
      <c r="AO1" s="108" t="s">
        <v>21</v>
      </c>
      <c r="AP1" s="109"/>
      <c r="AQ1" s="107"/>
      <c r="AR1" s="1125" t="s">
        <v>162</v>
      </c>
      <c r="AS1" s="1125"/>
      <c r="AT1" s="1126"/>
      <c r="AU1" s="108"/>
      <c r="AV1" s="109"/>
      <c r="AW1" s="107"/>
      <c r="AX1" s="108"/>
      <c r="AY1" s="1125" t="s">
        <v>264</v>
      </c>
      <c r="AZ1" s="1125"/>
      <c r="BA1" s="1126"/>
      <c r="BB1" s="108"/>
      <c r="BC1" s="108"/>
      <c r="BD1" s="109"/>
      <c r="BE1" s="107"/>
      <c r="BF1" s="108"/>
      <c r="BG1" s="1125" t="s">
        <v>281</v>
      </c>
      <c r="BH1" s="1125"/>
      <c r="BI1" s="1126"/>
      <c r="BJ1" s="108"/>
      <c r="BK1" s="108"/>
      <c r="BL1" s="109"/>
      <c r="BM1" s="35"/>
      <c r="BN1" s="35"/>
      <c r="BO1" s="1125" t="s">
        <v>347</v>
      </c>
      <c r="BP1" s="1125"/>
      <c r="BQ1" s="1126"/>
      <c r="BR1" s="35"/>
      <c r="BS1" s="35"/>
      <c r="BT1" s="35"/>
      <c r="BU1" s="35"/>
      <c r="BV1" s="861"/>
      <c r="BW1" s="107"/>
      <c r="BX1" s="860" t="s">
        <v>10</v>
      </c>
      <c r="BY1" s="860" t="s">
        <v>2</v>
      </c>
      <c r="BZ1" s="860" t="s">
        <v>46</v>
      </c>
      <c r="CA1" s="860" t="s">
        <v>1</v>
      </c>
      <c r="CB1" s="860" t="s">
        <v>12</v>
      </c>
      <c r="CC1" s="860" t="s">
        <v>184</v>
      </c>
      <c r="CD1" s="63" t="s">
        <v>191</v>
      </c>
      <c r="CE1" s="861" t="s">
        <v>240</v>
      </c>
      <c r="CF1" s="1139" t="s">
        <v>209</v>
      </c>
      <c r="CG1" s="1140"/>
      <c r="CH1" s="1107"/>
      <c r="CI1" s="108"/>
      <c r="CJ1" s="108"/>
      <c r="CK1" s="1139" t="s">
        <v>210</v>
      </c>
      <c r="CL1" s="1140"/>
      <c r="CM1" s="108"/>
      <c r="CN1" s="108"/>
      <c r="CO1" s="108"/>
      <c r="CP1" s="108"/>
      <c r="CQ1" s="109"/>
    </row>
    <row r="2" spans="1:95">
      <c r="A2" s="110"/>
      <c r="B2" s="1"/>
      <c r="C2" s="1"/>
      <c r="D2" s="1"/>
      <c r="E2" s="1"/>
      <c r="F2" s="1"/>
      <c r="G2" s="1"/>
      <c r="H2" s="110"/>
      <c r="I2" s="1"/>
      <c r="J2" s="1"/>
      <c r="K2" s="1"/>
      <c r="L2" s="1"/>
      <c r="M2" s="1"/>
      <c r="N2" s="1"/>
      <c r="O2" s="111"/>
      <c r="P2" s="110"/>
      <c r="Q2" s="1"/>
      <c r="R2" s="1"/>
      <c r="S2" s="1"/>
      <c r="T2" s="1"/>
      <c r="U2" s="1"/>
      <c r="V2" s="1"/>
      <c r="W2" s="1"/>
      <c r="X2" s="1"/>
      <c r="Y2" s="1"/>
      <c r="Z2" s="1"/>
      <c r="AA2" s="111"/>
      <c r="AB2" s="110"/>
      <c r="AC2" s="1"/>
      <c r="AD2" s="1"/>
      <c r="AE2" s="1"/>
      <c r="AF2" s="1"/>
      <c r="AG2" s="1"/>
      <c r="AH2" s="1"/>
      <c r="AI2" s="111" t="s">
        <v>21</v>
      </c>
      <c r="AJ2" s="112" t="s">
        <v>10</v>
      </c>
      <c r="AK2" s="14" t="s">
        <v>2</v>
      </c>
      <c r="AL2" s="14" t="s">
        <v>46</v>
      </c>
      <c r="AM2" s="14" t="s">
        <v>1</v>
      </c>
      <c r="AN2" s="14" t="s">
        <v>12</v>
      </c>
      <c r="AO2" s="113"/>
      <c r="AP2" s="387"/>
      <c r="AQ2" s="112" t="s">
        <v>10</v>
      </c>
      <c r="AR2" s="14" t="s">
        <v>2</v>
      </c>
      <c r="AS2" s="14" t="s">
        <v>46</v>
      </c>
      <c r="AT2" s="14" t="s">
        <v>1</v>
      </c>
      <c r="AU2" s="14" t="s">
        <v>12</v>
      </c>
      <c r="AV2" s="133"/>
      <c r="AW2" s="112" t="s">
        <v>10</v>
      </c>
      <c r="AX2" s="14" t="s">
        <v>2</v>
      </c>
      <c r="AY2" s="14" t="s">
        <v>46</v>
      </c>
      <c r="AZ2" s="14" t="s">
        <v>1</v>
      </c>
      <c r="BA2" s="14" t="s">
        <v>12</v>
      </c>
      <c r="BB2" s="14" t="s">
        <v>184</v>
      </c>
      <c r="BC2" s="113" t="s">
        <v>191</v>
      </c>
      <c r="BD2" s="387"/>
      <c r="BE2" s="110"/>
      <c r="BF2" s="14" t="s">
        <v>10</v>
      </c>
      <c r="BG2" s="14" t="s">
        <v>2</v>
      </c>
      <c r="BH2" s="14" t="s">
        <v>46</v>
      </c>
      <c r="BI2" s="14" t="s">
        <v>1</v>
      </c>
      <c r="BJ2" s="14" t="s">
        <v>12</v>
      </c>
      <c r="BK2" s="14" t="s">
        <v>184</v>
      </c>
      <c r="BL2" s="133" t="s">
        <v>191</v>
      </c>
      <c r="BM2" s="859" t="s">
        <v>10</v>
      </c>
      <c r="BN2" s="860" t="s">
        <v>2</v>
      </c>
      <c r="BO2" s="860" t="s">
        <v>46</v>
      </c>
      <c r="BP2" s="860" t="s">
        <v>1</v>
      </c>
      <c r="BQ2" s="860" t="s">
        <v>12</v>
      </c>
      <c r="BR2" s="860" t="s">
        <v>184</v>
      </c>
      <c r="BS2" s="63" t="s">
        <v>191</v>
      </c>
      <c r="BT2" s="861" t="s">
        <v>240</v>
      </c>
      <c r="BU2" s="861"/>
      <c r="BV2" s="863"/>
      <c r="BW2" s="110"/>
      <c r="BX2" s="16">
        <f>IF(BY2="","",WEEKDAY(BY2,2))</f>
        <v>6</v>
      </c>
      <c r="BY2" s="17">
        <v>43862</v>
      </c>
      <c r="BZ2" s="22"/>
      <c r="CA2" s="22">
        <v>1210.95</v>
      </c>
      <c r="CB2" s="226"/>
      <c r="CC2" s="226">
        <v>588.9</v>
      </c>
      <c r="CD2" s="85"/>
      <c r="CE2" s="862">
        <v>221.15</v>
      </c>
      <c r="CF2" s="863"/>
      <c r="CG2" s="864"/>
      <c r="CH2" s="112" t="s">
        <v>10</v>
      </c>
      <c r="CI2" s="14" t="s">
        <v>2</v>
      </c>
      <c r="CJ2" s="14" t="s">
        <v>46</v>
      </c>
      <c r="CK2" s="14" t="s">
        <v>1</v>
      </c>
      <c r="CL2" s="14" t="s">
        <v>12</v>
      </c>
      <c r="CM2" s="14" t="s">
        <v>184</v>
      </c>
      <c r="CN2" s="113" t="s">
        <v>191</v>
      </c>
      <c r="CO2" s="863" t="s">
        <v>240</v>
      </c>
      <c r="CP2" s="863"/>
      <c r="CQ2" s="864"/>
    </row>
    <row r="3" spans="1:95" ht="12.6" customHeight="1">
      <c r="A3" s="110"/>
      <c r="B3" s="90" t="s">
        <v>10</v>
      </c>
      <c r="C3" s="90" t="s">
        <v>2</v>
      </c>
      <c r="D3" s="90" t="s">
        <v>0</v>
      </c>
      <c r="E3" s="90" t="s">
        <v>1</v>
      </c>
      <c r="F3" s="90" t="s">
        <v>11</v>
      </c>
      <c r="G3" s="91" t="s">
        <v>12</v>
      </c>
      <c r="H3" s="110"/>
      <c r="I3" s="14" t="s">
        <v>10</v>
      </c>
      <c r="J3" s="14" t="s">
        <v>2</v>
      </c>
      <c r="K3" s="14" t="s">
        <v>0</v>
      </c>
      <c r="L3" s="14" t="s">
        <v>1</v>
      </c>
      <c r="M3" s="14" t="s">
        <v>11</v>
      </c>
      <c r="N3" s="14" t="s">
        <v>12</v>
      </c>
      <c r="O3" s="133"/>
      <c r="P3" s="112" t="s">
        <v>10</v>
      </c>
      <c r="Q3" s="14" t="s">
        <v>2</v>
      </c>
      <c r="R3" s="14" t="s">
        <v>46</v>
      </c>
      <c r="S3" s="14" t="s">
        <v>1</v>
      </c>
      <c r="T3" s="14" t="s">
        <v>11</v>
      </c>
      <c r="U3" s="14" t="s">
        <v>12</v>
      </c>
      <c r="V3" s="113"/>
      <c r="W3" s="10"/>
      <c r="X3" s="1"/>
      <c r="Y3" s="1"/>
      <c r="Z3" s="1"/>
      <c r="AA3" s="111"/>
      <c r="AB3" s="110"/>
      <c r="AC3" s="14" t="s">
        <v>10</v>
      </c>
      <c r="AD3" s="14" t="s">
        <v>2</v>
      </c>
      <c r="AE3" s="14" t="s">
        <v>46</v>
      </c>
      <c r="AF3" s="14" t="s">
        <v>1</v>
      </c>
      <c r="AG3" s="14" t="s">
        <v>11</v>
      </c>
      <c r="AH3" s="14" t="s">
        <v>12</v>
      </c>
      <c r="AI3" s="133">
        <v>70.5</v>
      </c>
      <c r="AJ3" s="114">
        <f t="shared" ref="AJ3:AJ33" si="0">IF(AK3="","",WEEKDAY(AK3,2))</f>
        <v>7</v>
      </c>
      <c r="AK3" s="17">
        <v>43709</v>
      </c>
      <c r="AL3" s="22">
        <v>1121.2</v>
      </c>
      <c r="AM3" s="22"/>
      <c r="AN3" s="226"/>
      <c r="AO3" s="113"/>
      <c r="AP3" s="387"/>
      <c r="AQ3" s="114">
        <f t="shared" ref="AQ3:AQ33" si="1">IF(AR3="","",WEEKDAY(AR3,2))</f>
        <v>2</v>
      </c>
      <c r="AR3" s="17">
        <v>43739</v>
      </c>
      <c r="AS3" s="22">
        <v>925.87</v>
      </c>
      <c r="AT3" s="22"/>
      <c r="AU3" s="226"/>
      <c r="AV3" s="133"/>
      <c r="AW3" s="114">
        <f t="shared" ref="AW3:AW32" si="2">IF(AX3="","",WEEKDAY(AX3,2))</f>
        <v>5</v>
      </c>
      <c r="AX3" s="17">
        <v>43770</v>
      </c>
      <c r="AY3" s="22"/>
      <c r="AZ3" s="22">
        <v>705.1</v>
      </c>
      <c r="BA3" s="226"/>
      <c r="BB3" s="226"/>
      <c r="BC3" s="85"/>
      <c r="BD3" s="387"/>
      <c r="BE3" s="110"/>
      <c r="BF3" s="16">
        <f>IF(BG3="","",WEEKDAY(BG3,2))</f>
        <v>7</v>
      </c>
      <c r="BG3" s="17">
        <v>43800</v>
      </c>
      <c r="BH3" s="22"/>
      <c r="BI3" s="22">
        <f>187.62+202.85</f>
        <v>390.47</v>
      </c>
      <c r="BJ3" s="226">
        <v>181.84</v>
      </c>
      <c r="BK3" s="226"/>
      <c r="BL3" s="119">
        <f>423.5+453.2</f>
        <v>876.7</v>
      </c>
      <c r="BM3" s="114">
        <f>IF(BN3="","",WEEKDAY(BN3,2))</f>
        <v>3</v>
      </c>
      <c r="BN3" s="17">
        <v>43831</v>
      </c>
      <c r="BO3" s="22"/>
      <c r="BP3" s="22"/>
      <c r="BQ3" s="226"/>
      <c r="BR3" s="226"/>
      <c r="BS3" s="85"/>
      <c r="BT3" s="862"/>
      <c r="BU3" s="863"/>
      <c r="BV3" s="863"/>
      <c r="BW3" s="110"/>
      <c r="BX3" s="16">
        <f t="shared" ref="BX3:BX32" si="3">IF(BY3="","",WEEKDAY(BY3,2))</f>
        <v>7</v>
      </c>
      <c r="BY3" s="17">
        <v>43863</v>
      </c>
      <c r="BZ3" s="22">
        <v>1524.8</v>
      </c>
      <c r="CA3" s="22"/>
      <c r="CB3" s="226"/>
      <c r="CC3" s="22">
        <v>520.79999999999995</v>
      </c>
      <c r="CD3" s="226"/>
      <c r="CE3" s="862">
        <v>137</v>
      </c>
      <c r="CF3" s="863"/>
      <c r="CG3" s="864"/>
      <c r="CH3" s="114">
        <f>IF(CI3="","",WEEKDAY(CI3,2))</f>
        <v>7</v>
      </c>
      <c r="CI3" s="17">
        <v>43891</v>
      </c>
      <c r="CJ3" s="22">
        <v>767.7</v>
      </c>
      <c r="CK3" s="22"/>
      <c r="CL3" s="226"/>
      <c r="CM3" s="226">
        <v>524.5</v>
      </c>
      <c r="CN3" s="85"/>
      <c r="CO3" s="862">
        <v>217</v>
      </c>
      <c r="CP3" s="863"/>
      <c r="CQ3" s="864"/>
    </row>
    <row r="4" spans="1:95" ht="12.6" customHeight="1">
      <c r="A4" s="110"/>
      <c r="B4" s="4">
        <f>IF(C4="","",WEEKDAY(C4,2))</f>
        <v>3</v>
      </c>
      <c r="C4" s="3">
        <v>43586</v>
      </c>
      <c r="D4" s="5">
        <v>1033.5</v>
      </c>
      <c r="E4" s="5"/>
      <c r="F4" s="90"/>
      <c r="G4" s="91"/>
      <c r="H4" s="110"/>
      <c r="I4" s="16">
        <f>IF(J4="","",WEEKDAY(J4,2))</f>
        <v>6</v>
      </c>
      <c r="J4" s="17">
        <v>43617</v>
      </c>
      <c r="K4" s="18"/>
      <c r="L4" s="18">
        <v>752.4</v>
      </c>
      <c r="M4" s="14"/>
      <c r="N4" s="14"/>
      <c r="O4" s="133"/>
      <c r="P4" s="114">
        <f>IF(Q4="","",WEEKDAY(Q4,2))</f>
        <v>1</v>
      </c>
      <c r="Q4" s="17">
        <v>43647</v>
      </c>
      <c r="R4" s="18">
        <v>1255.4000000000001</v>
      </c>
      <c r="S4" s="18"/>
      <c r="T4" s="14"/>
      <c r="U4" s="14"/>
      <c r="V4" s="113"/>
      <c r="W4" s="10"/>
      <c r="X4" s="12"/>
      <c r="Y4" s="12"/>
      <c r="Z4" s="1"/>
      <c r="AA4" s="111"/>
      <c r="AB4" s="110"/>
      <c r="AC4" s="16">
        <f t="shared" ref="AC4:AC34" si="4">IF(AD4="","",WEEKDAY(AD4,2))</f>
        <v>4</v>
      </c>
      <c r="AD4" s="17">
        <v>43678</v>
      </c>
      <c r="AE4" s="18">
        <v>706.2</v>
      </c>
      <c r="AF4" s="18"/>
      <c r="AG4" s="14"/>
      <c r="AH4" s="14"/>
      <c r="AI4" s="133">
        <v>5.5</v>
      </c>
      <c r="AJ4" s="114">
        <f t="shared" si="0"/>
        <v>1</v>
      </c>
      <c r="AK4" s="17">
        <v>43710</v>
      </c>
      <c r="AL4" s="22"/>
      <c r="AM4" s="22">
        <v>704.9</v>
      </c>
      <c r="AN4" s="226"/>
      <c r="AO4" s="113"/>
      <c r="AP4" s="387"/>
      <c r="AQ4" s="114">
        <f t="shared" si="1"/>
        <v>3</v>
      </c>
      <c r="AR4" s="17">
        <v>43740</v>
      </c>
      <c r="AS4" s="22">
        <v>1072.46</v>
      </c>
      <c r="AT4" s="22"/>
      <c r="AU4" s="226"/>
      <c r="AV4" s="393"/>
      <c r="AW4" s="114">
        <f t="shared" si="2"/>
        <v>6</v>
      </c>
      <c r="AX4" s="17">
        <v>43771</v>
      </c>
      <c r="AY4" s="22">
        <v>1356.15</v>
      </c>
      <c r="AZ4" s="22"/>
      <c r="BA4" s="226"/>
      <c r="BB4" s="226"/>
      <c r="BC4" s="226"/>
      <c r="BD4" s="528"/>
      <c r="BE4" s="110"/>
      <c r="BF4" s="16">
        <f t="shared" ref="BF4:BF33" si="5">IF(BG4="","",WEEKDAY(BG4,2))</f>
        <v>1</v>
      </c>
      <c r="BG4" s="17">
        <v>43801</v>
      </c>
      <c r="BH4" s="22"/>
      <c r="BI4" s="22">
        <v>798.8</v>
      </c>
      <c r="BJ4" s="226">
        <v>152.6</v>
      </c>
      <c r="BK4" s="226"/>
      <c r="BL4" s="576"/>
      <c r="BM4" s="114">
        <f t="shared" ref="BM4:BM33" si="6">IF(BN4="","",WEEKDAY(BN4,2))</f>
        <v>4</v>
      </c>
      <c r="BN4" s="17">
        <v>43832</v>
      </c>
      <c r="BO4" s="22">
        <v>431.4</v>
      </c>
      <c r="BP4" s="22"/>
      <c r="BQ4" s="226">
        <v>183.7</v>
      </c>
      <c r="BR4" s="226"/>
      <c r="BS4" s="226"/>
      <c r="BT4" s="862"/>
      <c r="BU4" s="863"/>
      <c r="BV4" s="863"/>
      <c r="BW4" s="110"/>
      <c r="BX4" s="16">
        <f t="shared" si="3"/>
        <v>1</v>
      </c>
      <c r="BY4" s="17">
        <v>43864</v>
      </c>
      <c r="BZ4" s="22">
        <v>474.2</v>
      </c>
      <c r="CA4" s="1"/>
      <c r="CB4" s="226">
        <v>238.6</v>
      </c>
      <c r="CC4" s="226"/>
      <c r="CD4" s="226"/>
      <c r="CE4" s="862"/>
      <c r="CF4" s="863"/>
      <c r="CG4" s="864"/>
      <c r="CH4" s="114">
        <f t="shared" ref="CH4:CH33" si="7">IF(CI4="","",WEEKDAY(CI4,2))</f>
        <v>1</v>
      </c>
      <c r="CI4" s="17">
        <v>43892</v>
      </c>
      <c r="CJ4" s="22"/>
      <c r="CK4" s="22">
        <v>748.6</v>
      </c>
      <c r="CL4" s="226"/>
      <c r="CM4" s="22">
        <v>246.5</v>
      </c>
      <c r="CN4" s="226"/>
      <c r="CO4" s="862"/>
      <c r="CP4" s="863"/>
      <c r="CQ4" s="864"/>
    </row>
    <row r="5" spans="1:95" ht="12.6" customHeight="1">
      <c r="A5" s="110"/>
      <c r="B5" s="4">
        <f t="shared" ref="B5:B34" si="8">IF(C5="","",WEEKDAY(C5,2))</f>
        <v>4</v>
      </c>
      <c r="C5" s="3">
        <f>IF(C4="","",IF(C4+1&gt;EOMONTH($C$4,0),"",C4+1))</f>
        <v>43587</v>
      </c>
      <c r="D5" s="5">
        <v>813.2</v>
      </c>
      <c r="E5" s="5"/>
      <c r="F5" s="90"/>
      <c r="G5" s="91"/>
      <c r="H5" s="110"/>
      <c r="I5" s="16">
        <f t="shared" ref="I5:I33" si="9">IF(J5="","",WEEKDAY(J5,2))</f>
        <v>7</v>
      </c>
      <c r="J5" s="17">
        <v>43618</v>
      </c>
      <c r="K5" s="18"/>
      <c r="L5" s="18">
        <v>895.4</v>
      </c>
      <c r="M5" s="14"/>
      <c r="N5" s="14"/>
      <c r="O5" s="133"/>
      <c r="P5" s="114">
        <f t="shared" ref="P5:P33" si="10">IF(Q5="","",WEEKDAY(Q5,2))</f>
        <v>2</v>
      </c>
      <c r="Q5" s="17">
        <v>43648</v>
      </c>
      <c r="R5" s="18">
        <v>1169.2</v>
      </c>
      <c r="S5" s="18"/>
      <c r="T5" s="14"/>
      <c r="U5" s="14"/>
      <c r="V5" s="113"/>
      <c r="W5" s="10"/>
      <c r="X5" s="12"/>
      <c r="Y5" s="12"/>
      <c r="Z5" s="1"/>
      <c r="AA5" s="111"/>
      <c r="AB5" s="110"/>
      <c r="AC5" s="16">
        <f t="shared" si="4"/>
        <v>5</v>
      </c>
      <c r="AD5" s="17">
        <v>43679</v>
      </c>
      <c r="AE5" s="18">
        <v>1395.44</v>
      </c>
      <c r="AF5" s="18"/>
      <c r="AG5" s="14"/>
      <c r="AH5" s="14"/>
      <c r="AI5" s="133">
        <v>0</v>
      </c>
      <c r="AJ5" s="114">
        <f t="shared" si="0"/>
        <v>2</v>
      </c>
      <c r="AK5" s="17">
        <v>43711</v>
      </c>
      <c r="AL5" s="22">
        <v>1046.4000000000001</v>
      </c>
      <c r="AM5" s="22"/>
      <c r="AN5" s="226"/>
      <c r="AO5" s="113"/>
      <c r="AP5" s="387"/>
      <c r="AQ5" s="114">
        <f t="shared" si="1"/>
        <v>4</v>
      </c>
      <c r="AR5" s="17">
        <v>43741</v>
      </c>
      <c r="AS5" s="22"/>
      <c r="AT5" s="22">
        <v>644</v>
      </c>
      <c r="AU5" s="226" t="s">
        <v>152</v>
      </c>
      <c r="AV5" s="593" t="s">
        <v>142</v>
      </c>
      <c r="AW5" s="114">
        <f t="shared" si="2"/>
        <v>7</v>
      </c>
      <c r="AX5" s="17">
        <v>43772</v>
      </c>
      <c r="AY5" s="22">
        <f>904+8</f>
        <v>912</v>
      </c>
      <c r="AZ5" s="22"/>
      <c r="BA5" s="226"/>
      <c r="BB5" s="226"/>
      <c r="BC5" s="226"/>
      <c r="BD5" s="387"/>
      <c r="BE5" s="110"/>
      <c r="BF5" s="16">
        <f t="shared" si="5"/>
        <v>2</v>
      </c>
      <c r="BG5" s="17">
        <v>43802</v>
      </c>
      <c r="BH5" s="22">
        <v>574</v>
      </c>
      <c r="BI5" s="22"/>
      <c r="BJ5" s="226"/>
      <c r="BK5" s="226">
        <v>18.5</v>
      </c>
      <c r="BL5" s="576"/>
      <c r="BM5" s="114">
        <f t="shared" si="6"/>
        <v>5</v>
      </c>
      <c r="BN5" s="17">
        <v>43833</v>
      </c>
      <c r="BO5" s="22"/>
      <c r="BP5" s="22">
        <v>570.35</v>
      </c>
      <c r="BQ5" s="226"/>
      <c r="BR5" s="226">
        <v>316.8</v>
      </c>
      <c r="BS5" s="226"/>
      <c r="BT5" s="862">
        <v>329.05</v>
      </c>
      <c r="BU5" s="863"/>
      <c r="BV5" s="863"/>
      <c r="BW5" s="110"/>
      <c r="BX5" s="16">
        <f t="shared" si="3"/>
        <v>2</v>
      </c>
      <c r="BY5" s="17">
        <v>43865</v>
      </c>
      <c r="BZ5" s="22"/>
      <c r="CA5" s="22">
        <v>805.6</v>
      </c>
      <c r="CB5" s="226">
        <v>234.1</v>
      </c>
      <c r="CC5" s="226"/>
      <c r="CD5" s="85"/>
      <c r="CE5" s="862">
        <v>139.55000000000001</v>
      </c>
      <c r="CF5" s="863"/>
      <c r="CG5" s="864"/>
      <c r="CH5" s="114">
        <f t="shared" si="7"/>
        <v>2</v>
      </c>
      <c r="CI5" s="17">
        <v>43893</v>
      </c>
      <c r="CJ5" s="22"/>
      <c r="CK5" s="116">
        <v>837</v>
      </c>
      <c r="CL5" s="226"/>
      <c r="CM5" s="226">
        <v>527.20000000000005</v>
      </c>
      <c r="CN5" s="226"/>
      <c r="CO5" s="862">
        <v>278.5</v>
      </c>
      <c r="CP5" s="863"/>
      <c r="CQ5" s="864"/>
    </row>
    <row r="6" spans="1:95" ht="12.6" customHeight="1">
      <c r="A6" s="110"/>
      <c r="B6" s="4">
        <f t="shared" si="8"/>
        <v>5</v>
      </c>
      <c r="C6" s="3">
        <f t="shared" ref="C6:C34" si="11">IF(C5="","",IF(C5+1&gt;EOMONTH($C$4,0),"",C5+1))</f>
        <v>43588</v>
      </c>
      <c r="D6" s="5"/>
      <c r="E6" s="5">
        <v>1215</v>
      </c>
      <c r="F6" s="90"/>
      <c r="G6" s="91"/>
      <c r="H6" s="110"/>
      <c r="I6" s="16">
        <f t="shared" si="9"/>
        <v>1</v>
      </c>
      <c r="J6" s="17">
        <v>43619</v>
      </c>
      <c r="K6" s="18"/>
      <c r="L6" s="18"/>
      <c r="M6" s="14">
        <v>1103.43</v>
      </c>
      <c r="N6" s="14"/>
      <c r="O6" s="133"/>
      <c r="P6" s="114">
        <f t="shared" si="10"/>
        <v>3</v>
      </c>
      <c r="Q6" s="17">
        <v>43649</v>
      </c>
      <c r="R6" s="18"/>
      <c r="S6" s="18">
        <v>928.8</v>
      </c>
      <c r="T6" s="14"/>
      <c r="U6" s="14"/>
      <c r="V6" s="113"/>
      <c r="W6" s="10"/>
      <c r="X6" s="12"/>
      <c r="Y6" s="12"/>
      <c r="Z6" s="1"/>
      <c r="AA6" s="111"/>
      <c r="AB6" s="110"/>
      <c r="AC6" s="16">
        <f t="shared" si="4"/>
        <v>6</v>
      </c>
      <c r="AD6" s="17">
        <v>43680</v>
      </c>
      <c r="AE6" s="18"/>
      <c r="AF6" s="18">
        <v>561.70000000000005</v>
      </c>
      <c r="AG6" s="14"/>
      <c r="AH6" s="14"/>
      <c r="AI6" s="133">
        <v>0</v>
      </c>
      <c r="AJ6" s="114">
        <f t="shared" si="0"/>
        <v>3</v>
      </c>
      <c r="AK6" s="17">
        <v>43712</v>
      </c>
      <c r="AL6" s="22">
        <v>704.2</v>
      </c>
      <c r="AM6" s="22"/>
      <c r="AN6" s="226"/>
      <c r="AO6" s="113"/>
      <c r="AP6" s="387"/>
      <c r="AQ6" s="114">
        <f t="shared" si="1"/>
        <v>5</v>
      </c>
      <c r="AR6" s="17">
        <v>43742</v>
      </c>
      <c r="AS6" s="22"/>
      <c r="AT6" s="22"/>
      <c r="AU6" s="226">
        <v>1081.8</v>
      </c>
      <c r="AV6" s="133"/>
      <c r="AW6" s="114">
        <f t="shared" si="2"/>
        <v>1</v>
      </c>
      <c r="AX6" s="17">
        <v>43773</v>
      </c>
      <c r="AY6" s="22"/>
      <c r="AZ6" s="22">
        <v>500.3</v>
      </c>
      <c r="BA6" s="226"/>
      <c r="BB6" s="226"/>
      <c r="BC6" s="85"/>
      <c r="BD6" s="387"/>
      <c r="BE6" s="110"/>
      <c r="BF6" s="16">
        <f t="shared" si="5"/>
        <v>3</v>
      </c>
      <c r="BG6" s="17">
        <v>43803</v>
      </c>
      <c r="BH6" s="22">
        <v>1175</v>
      </c>
      <c r="BI6" s="22"/>
      <c r="BJ6" s="226"/>
      <c r="BK6" s="226">
        <v>201.7</v>
      </c>
      <c r="BL6" s="119"/>
      <c r="BM6" s="114">
        <f t="shared" si="6"/>
        <v>6</v>
      </c>
      <c r="BN6" s="17">
        <v>43834</v>
      </c>
      <c r="BO6" s="22"/>
      <c r="BP6" s="22">
        <v>568.9</v>
      </c>
      <c r="BQ6" s="226"/>
      <c r="BR6" s="226">
        <v>216.6</v>
      </c>
      <c r="BS6" s="85"/>
      <c r="BT6" s="862">
        <v>23.2</v>
      </c>
      <c r="BU6" s="863"/>
      <c r="BV6" s="863"/>
      <c r="BW6" s="110"/>
      <c r="BX6" s="16">
        <f t="shared" si="3"/>
        <v>3</v>
      </c>
      <c r="BY6" s="17">
        <v>43866</v>
      </c>
      <c r="BZ6" s="22"/>
      <c r="CA6" s="22">
        <v>892.4</v>
      </c>
      <c r="CB6" s="226"/>
      <c r="CC6" s="226">
        <v>237</v>
      </c>
      <c r="CD6" s="85"/>
      <c r="CE6" s="862">
        <v>228.6</v>
      </c>
      <c r="CF6" s="863"/>
      <c r="CG6" s="864"/>
      <c r="CH6" s="114">
        <f t="shared" si="7"/>
        <v>3</v>
      </c>
      <c r="CI6" s="17">
        <v>43894</v>
      </c>
      <c r="CJ6" s="22"/>
      <c r="CK6" s="22">
        <v>766.1</v>
      </c>
      <c r="CL6" s="226">
        <v>205.5</v>
      </c>
      <c r="CM6" s="226"/>
      <c r="CN6" s="85"/>
      <c r="CO6" s="862">
        <v>109.4</v>
      </c>
      <c r="CP6" s="863"/>
      <c r="CQ6" s="864"/>
    </row>
    <row r="7" spans="1:95" ht="12.6" customHeight="1">
      <c r="A7" s="110"/>
      <c r="B7" s="4">
        <f t="shared" si="8"/>
        <v>6</v>
      </c>
      <c r="C7" s="3">
        <f t="shared" si="11"/>
        <v>43589</v>
      </c>
      <c r="D7" s="5"/>
      <c r="E7" s="5">
        <v>806.9</v>
      </c>
      <c r="F7" s="90"/>
      <c r="G7" s="91"/>
      <c r="H7" s="110"/>
      <c r="I7" s="16">
        <f t="shared" si="9"/>
        <v>2</v>
      </c>
      <c r="J7" s="17">
        <v>43620</v>
      </c>
      <c r="K7" s="18"/>
      <c r="L7" s="18"/>
      <c r="M7" s="14">
        <v>836.05</v>
      </c>
      <c r="N7" s="14"/>
      <c r="O7" s="133"/>
      <c r="P7" s="114">
        <f t="shared" si="10"/>
        <v>4</v>
      </c>
      <c r="Q7" s="17">
        <v>43650</v>
      </c>
      <c r="R7" s="18"/>
      <c r="S7" s="18">
        <v>1046.01</v>
      </c>
      <c r="T7" s="14"/>
      <c r="U7" s="14"/>
      <c r="V7" s="113"/>
      <c r="W7" s="10"/>
      <c r="X7" s="12"/>
      <c r="Y7" s="12"/>
      <c r="Z7" s="1"/>
      <c r="AA7" s="111"/>
      <c r="AB7" s="110"/>
      <c r="AC7" s="16">
        <f t="shared" si="4"/>
        <v>7</v>
      </c>
      <c r="AD7" s="17">
        <v>43681</v>
      </c>
      <c r="AE7" s="18"/>
      <c r="AF7" s="18">
        <v>680.9</v>
      </c>
      <c r="AG7" s="14"/>
      <c r="AH7" s="14"/>
      <c r="AI7" s="133">
        <v>47.2</v>
      </c>
      <c r="AJ7" s="114">
        <f t="shared" si="0"/>
        <v>4</v>
      </c>
      <c r="AK7" s="17">
        <v>43713</v>
      </c>
      <c r="AL7" s="22"/>
      <c r="AM7" s="22">
        <v>517.20000000000005</v>
      </c>
      <c r="AN7" s="226"/>
      <c r="AO7" s="113"/>
      <c r="AP7" s="387"/>
      <c r="AQ7" s="114">
        <f t="shared" si="1"/>
        <v>6</v>
      </c>
      <c r="AR7" s="17">
        <v>43743</v>
      </c>
      <c r="AS7" s="22">
        <v>508.37</v>
      </c>
      <c r="AT7" s="22"/>
      <c r="AU7" s="226"/>
      <c r="AV7" s="133"/>
      <c r="AW7" s="114">
        <f t="shared" si="2"/>
        <v>2</v>
      </c>
      <c r="AX7" s="17">
        <v>43774</v>
      </c>
      <c r="AY7" s="22"/>
      <c r="AZ7" s="22">
        <v>718.6</v>
      </c>
      <c r="BA7" s="226"/>
      <c r="BB7" s="226"/>
      <c r="BC7" s="85"/>
      <c r="BD7" s="387"/>
      <c r="BE7" s="110"/>
      <c r="BF7" s="16">
        <f t="shared" si="5"/>
        <v>4</v>
      </c>
      <c r="BG7" s="17">
        <v>43804</v>
      </c>
      <c r="BH7" s="22"/>
      <c r="BI7" s="22">
        <v>663.2</v>
      </c>
      <c r="BJ7" s="226"/>
      <c r="BK7" s="226">
        <v>83</v>
      </c>
      <c r="BL7" s="119"/>
      <c r="BM7" s="114">
        <f t="shared" si="6"/>
        <v>7</v>
      </c>
      <c r="BN7" s="17">
        <v>43835</v>
      </c>
      <c r="BO7" s="22">
        <v>766.15</v>
      </c>
      <c r="BP7" s="22"/>
      <c r="BQ7" s="226"/>
      <c r="BR7" s="226">
        <v>195.9</v>
      </c>
      <c r="BS7" s="85"/>
      <c r="BT7" s="862">
        <v>135.85</v>
      </c>
      <c r="BU7" s="863"/>
      <c r="BV7" s="863"/>
      <c r="BW7" s="110"/>
      <c r="BX7" s="16">
        <f t="shared" si="3"/>
        <v>4</v>
      </c>
      <c r="BY7" s="17">
        <v>43867</v>
      </c>
      <c r="BZ7" s="22">
        <v>598.79999999999995</v>
      </c>
      <c r="CA7" s="22"/>
      <c r="CB7" s="226"/>
      <c r="CC7" s="226">
        <v>321.89999999999998</v>
      </c>
      <c r="CD7" s="85"/>
      <c r="CE7" s="862">
        <v>65</v>
      </c>
      <c r="CF7" s="863"/>
      <c r="CG7" s="864"/>
      <c r="CH7" s="114">
        <f t="shared" si="7"/>
        <v>4</v>
      </c>
      <c r="CI7" s="17">
        <v>43895</v>
      </c>
      <c r="CJ7" s="22">
        <v>808.5</v>
      </c>
      <c r="CK7" s="22"/>
      <c r="CL7" s="226">
        <v>343</v>
      </c>
      <c r="CM7" s="226"/>
      <c r="CN7" s="85"/>
      <c r="CO7" s="862">
        <v>129</v>
      </c>
      <c r="CP7" s="863"/>
      <c r="CQ7" s="864"/>
    </row>
    <row r="8" spans="1:95" ht="12.6" customHeight="1">
      <c r="A8" s="110"/>
      <c r="B8" s="4">
        <f t="shared" si="8"/>
        <v>7</v>
      </c>
      <c r="C8" s="3">
        <f t="shared" si="11"/>
        <v>43590</v>
      </c>
      <c r="D8" s="5">
        <v>1118.1500000000001</v>
      </c>
      <c r="E8" s="5"/>
      <c r="F8" s="90"/>
      <c r="G8" s="91"/>
      <c r="H8" s="110"/>
      <c r="I8" s="16">
        <f t="shared" si="9"/>
        <v>3</v>
      </c>
      <c r="J8" s="17">
        <v>43621</v>
      </c>
      <c r="K8" s="18"/>
      <c r="L8" s="18">
        <v>885.4</v>
      </c>
      <c r="M8" s="14"/>
      <c r="N8" s="14"/>
      <c r="O8" s="133"/>
      <c r="P8" s="114">
        <f t="shared" si="10"/>
        <v>5</v>
      </c>
      <c r="Q8" s="17">
        <v>43651</v>
      </c>
      <c r="R8" s="18">
        <v>1154.25</v>
      </c>
      <c r="S8" s="18"/>
      <c r="T8" s="14"/>
      <c r="U8" s="14"/>
      <c r="V8" s="113"/>
      <c r="W8" s="10"/>
      <c r="X8" s="12"/>
      <c r="Y8" s="12"/>
      <c r="Z8" s="1"/>
      <c r="AA8" s="111"/>
      <c r="AB8" s="110"/>
      <c r="AC8" s="16">
        <f t="shared" si="4"/>
        <v>1</v>
      </c>
      <c r="AD8" s="17">
        <v>43682</v>
      </c>
      <c r="AE8" s="18">
        <v>1154.55</v>
      </c>
      <c r="AF8" s="18"/>
      <c r="AG8" s="14"/>
      <c r="AH8" s="14"/>
      <c r="AI8" s="133">
        <v>209.5</v>
      </c>
      <c r="AJ8" s="114">
        <f t="shared" si="0"/>
        <v>5</v>
      </c>
      <c r="AK8" s="17">
        <v>43714</v>
      </c>
      <c r="AL8" s="22"/>
      <c r="AM8" s="22">
        <v>945.75</v>
      </c>
      <c r="AN8" s="226"/>
      <c r="AO8" s="113"/>
      <c r="AP8" s="387"/>
      <c r="AQ8" s="114">
        <f t="shared" si="1"/>
        <v>7</v>
      </c>
      <c r="AR8" s="17">
        <v>43744</v>
      </c>
      <c r="AS8" s="22"/>
      <c r="AT8" s="22">
        <v>755.5</v>
      </c>
      <c r="AU8" s="226"/>
      <c r="AV8" s="133"/>
      <c r="AW8" s="114">
        <f t="shared" si="2"/>
        <v>3</v>
      </c>
      <c r="AX8" s="17">
        <v>43775</v>
      </c>
      <c r="AY8" s="22">
        <v>641.70000000000005</v>
      </c>
      <c r="AZ8" s="22"/>
      <c r="BA8" s="226"/>
      <c r="BB8" s="226"/>
      <c r="BC8" s="85"/>
      <c r="BD8" s="387"/>
      <c r="BE8" s="110"/>
      <c r="BF8" s="16">
        <f t="shared" si="5"/>
        <v>5</v>
      </c>
      <c r="BG8" s="17">
        <v>43805</v>
      </c>
      <c r="BH8" s="22"/>
      <c r="BI8" s="22">
        <v>943.1</v>
      </c>
      <c r="BJ8" s="226">
        <v>105.65</v>
      </c>
      <c r="BK8" s="226"/>
      <c r="BL8" s="119"/>
      <c r="BM8" s="114">
        <f t="shared" si="6"/>
        <v>1</v>
      </c>
      <c r="BN8" s="17">
        <v>43836</v>
      </c>
      <c r="BO8" s="22">
        <v>1186</v>
      </c>
      <c r="BP8" s="22"/>
      <c r="BQ8" s="226">
        <v>142.30000000000001</v>
      </c>
      <c r="BR8" s="226"/>
      <c r="BS8" s="85"/>
      <c r="BT8" s="862">
        <v>78.7</v>
      </c>
      <c r="BU8" s="863"/>
      <c r="BV8" s="863"/>
      <c r="BW8" s="110"/>
      <c r="BX8" s="16">
        <f t="shared" si="3"/>
        <v>5</v>
      </c>
      <c r="BY8" s="17">
        <v>43868</v>
      </c>
      <c r="BZ8" s="22"/>
      <c r="CA8" s="22">
        <v>1356.8</v>
      </c>
      <c r="CB8" s="226">
        <v>158</v>
      </c>
      <c r="CC8" s="226"/>
      <c r="CD8" s="85"/>
      <c r="CE8" s="862">
        <v>89</v>
      </c>
      <c r="CF8" s="863"/>
      <c r="CG8" s="864"/>
      <c r="CH8" s="114">
        <f t="shared" si="7"/>
        <v>5</v>
      </c>
      <c r="CI8" s="17">
        <v>43896</v>
      </c>
      <c r="CJ8" s="22">
        <v>715.3</v>
      </c>
      <c r="CK8" s="22"/>
      <c r="CL8" s="226"/>
      <c r="CM8" s="226">
        <v>507.5</v>
      </c>
      <c r="CN8" s="85"/>
      <c r="CO8" s="862">
        <v>71.75</v>
      </c>
      <c r="CP8" s="863"/>
      <c r="CQ8" s="864"/>
    </row>
    <row r="9" spans="1:95" ht="12.6" customHeight="1">
      <c r="A9" s="110"/>
      <c r="B9" s="4">
        <f t="shared" si="8"/>
        <v>1</v>
      </c>
      <c r="C9" s="3">
        <f t="shared" si="11"/>
        <v>43591</v>
      </c>
      <c r="D9" s="5">
        <v>595.54999999999995</v>
      </c>
      <c r="E9" s="5"/>
      <c r="F9" s="90"/>
      <c r="G9" s="91"/>
      <c r="H9" s="110"/>
      <c r="I9" s="16">
        <f t="shared" si="9"/>
        <v>4</v>
      </c>
      <c r="J9" s="17">
        <v>43622</v>
      </c>
      <c r="K9" s="18"/>
      <c r="L9" s="18">
        <v>877.7</v>
      </c>
      <c r="M9" s="14"/>
      <c r="N9" s="14"/>
      <c r="O9" s="133"/>
      <c r="P9" s="114">
        <f t="shared" si="10"/>
        <v>6</v>
      </c>
      <c r="Q9" s="17">
        <v>43652</v>
      </c>
      <c r="R9" s="18">
        <v>841.8</v>
      </c>
      <c r="S9" s="18"/>
      <c r="T9" s="14"/>
      <c r="U9" s="14"/>
      <c r="V9" s="113"/>
      <c r="W9" s="10"/>
      <c r="X9" s="12"/>
      <c r="Y9" s="12"/>
      <c r="Z9" s="1"/>
      <c r="AA9" s="111"/>
      <c r="AB9" s="110"/>
      <c r="AC9" s="16">
        <f t="shared" si="4"/>
        <v>2</v>
      </c>
      <c r="AD9" s="17">
        <v>43683</v>
      </c>
      <c r="AE9" s="18">
        <v>641.4</v>
      </c>
      <c r="AF9" s="18"/>
      <c r="AG9" s="14"/>
      <c r="AH9" s="14"/>
      <c r="AI9" s="133">
        <v>0</v>
      </c>
      <c r="AJ9" s="114">
        <f t="shared" si="0"/>
        <v>6</v>
      </c>
      <c r="AK9" s="17">
        <v>43715</v>
      </c>
      <c r="AL9" s="22">
        <v>513.85</v>
      </c>
      <c r="AM9" s="22"/>
      <c r="AN9" s="226"/>
      <c r="AO9" s="113"/>
      <c r="AP9" s="387"/>
      <c r="AQ9" s="114">
        <f t="shared" si="1"/>
        <v>1</v>
      </c>
      <c r="AR9" s="17">
        <v>43745</v>
      </c>
      <c r="AS9" s="22">
        <v>706.15</v>
      </c>
      <c r="AT9" s="22"/>
      <c r="AU9" s="226"/>
      <c r="AV9" s="594" t="s">
        <v>147</v>
      </c>
      <c r="AW9" s="114">
        <f t="shared" si="2"/>
        <v>4</v>
      </c>
      <c r="AX9" s="17">
        <v>43776</v>
      </c>
      <c r="AY9" s="22"/>
      <c r="AZ9" s="22">
        <v>1144.5</v>
      </c>
      <c r="BA9" s="226"/>
      <c r="BB9" s="226"/>
      <c r="BC9" s="85"/>
      <c r="BD9" s="529"/>
      <c r="BE9" s="110"/>
      <c r="BF9" s="16">
        <f t="shared" si="5"/>
        <v>6</v>
      </c>
      <c r="BG9" s="17">
        <v>43806</v>
      </c>
      <c r="BH9" s="22">
        <v>1016.9</v>
      </c>
      <c r="BI9" s="22"/>
      <c r="BJ9" s="226">
        <v>74</v>
      </c>
      <c r="BK9" s="226">
        <v>78.5</v>
      </c>
      <c r="BL9" s="119" t="s">
        <v>226</v>
      </c>
      <c r="BM9" s="114">
        <f t="shared" si="6"/>
        <v>2</v>
      </c>
      <c r="BN9" s="17">
        <v>43837</v>
      </c>
      <c r="BO9" s="22"/>
      <c r="BP9" s="22">
        <v>336.1</v>
      </c>
      <c r="BQ9" s="226"/>
      <c r="BR9" s="226">
        <v>123.2</v>
      </c>
      <c r="BS9" s="85"/>
      <c r="BT9" s="862"/>
      <c r="BU9" s="863"/>
      <c r="BV9" s="863"/>
      <c r="BW9" s="110"/>
      <c r="BX9" s="16">
        <f>IF(BY9="","",WEEKDAY(BY9,2))</f>
        <v>6</v>
      </c>
      <c r="BY9" s="17">
        <v>43869</v>
      </c>
      <c r="BZ9" s="22">
        <v>766.05</v>
      </c>
      <c r="CA9" s="22"/>
      <c r="CB9" s="226"/>
      <c r="CC9" s="226"/>
      <c r="CD9" s="18">
        <v>460.72</v>
      </c>
      <c r="CE9" s="862">
        <v>151.94999999999999</v>
      </c>
      <c r="CF9" s="863"/>
      <c r="CG9" s="864"/>
      <c r="CH9" s="114">
        <f t="shared" si="7"/>
        <v>6</v>
      </c>
      <c r="CI9" s="17">
        <v>43897</v>
      </c>
      <c r="CJ9" s="22"/>
      <c r="CK9" s="22">
        <v>741</v>
      </c>
      <c r="CL9" s="226"/>
      <c r="CM9" s="226">
        <v>748</v>
      </c>
      <c r="CN9" s="85"/>
      <c r="CO9" s="862">
        <v>249.5</v>
      </c>
      <c r="CP9" s="863"/>
      <c r="CQ9" s="864"/>
    </row>
    <row r="10" spans="1:95" ht="12.6" customHeight="1">
      <c r="A10" s="110"/>
      <c r="B10" s="4">
        <f t="shared" si="8"/>
        <v>2</v>
      </c>
      <c r="C10" s="3">
        <f t="shared" si="11"/>
        <v>43592</v>
      </c>
      <c r="D10" s="5"/>
      <c r="E10" s="5">
        <v>705.4</v>
      </c>
      <c r="F10" s="90"/>
      <c r="G10" s="91"/>
      <c r="H10" s="110"/>
      <c r="I10" s="16">
        <f t="shared" si="9"/>
        <v>5</v>
      </c>
      <c r="J10" s="17">
        <v>43623</v>
      </c>
      <c r="K10" s="18"/>
      <c r="L10" s="18"/>
      <c r="M10" s="14">
        <v>982</v>
      </c>
      <c r="N10" s="14"/>
      <c r="O10" s="133"/>
      <c r="P10" s="114">
        <f t="shared" si="10"/>
        <v>7</v>
      </c>
      <c r="Q10" s="17">
        <v>43653</v>
      </c>
      <c r="R10" s="18"/>
      <c r="S10" s="18"/>
      <c r="T10" s="14"/>
      <c r="U10" s="14">
        <f>1010.6+15</f>
        <v>1025.5999999999999</v>
      </c>
      <c r="V10" s="113"/>
      <c r="W10" s="10"/>
      <c r="X10" s="12"/>
      <c r="Y10" s="12"/>
      <c r="Z10" s="1"/>
      <c r="AA10" s="111"/>
      <c r="AB10" s="110"/>
      <c r="AC10" s="16">
        <f t="shared" si="4"/>
        <v>3</v>
      </c>
      <c r="AD10" s="17">
        <v>43684</v>
      </c>
      <c r="AE10" s="18"/>
      <c r="AF10" s="18"/>
      <c r="AG10" s="14"/>
      <c r="AH10" s="14">
        <v>674.9</v>
      </c>
      <c r="AI10" s="133">
        <v>0</v>
      </c>
      <c r="AJ10" s="114">
        <f t="shared" si="0"/>
        <v>7</v>
      </c>
      <c r="AK10" s="17">
        <v>43716</v>
      </c>
      <c r="AL10" s="22">
        <v>817.55</v>
      </c>
      <c r="AM10" s="22"/>
      <c r="AN10" s="226"/>
      <c r="AO10" s="75"/>
      <c r="AP10" s="390"/>
      <c r="AQ10" s="114">
        <f t="shared" si="1"/>
        <v>2</v>
      </c>
      <c r="AR10" s="17">
        <v>43746</v>
      </c>
      <c r="AS10" s="22"/>
      <c r="AT10" s="22">
        <v>598.9</v>
      </c>
      <c r="AU10" s="226"/>
      <c r="AV10" s="1135" t="s">
        <v>140</v>
      </c>
      <c r="AW10" s="114">
        <f t="shared" si="2"/>
        <v>5</v>
      </c>
      <c r="AX10" s="17">
        <v>43777</v>
      </c>
      <c r="AY10" s="22">
        <v>1385.95</v>
      </c>
      <c r="AZ10" s="22"/>
      <c r="BA10" s="226"/>
      <c r="BB10" s="226"/>
      <c r="BC10" s="18"/>
      <c r="BD10" s="390"/>
      <c r="BE10" s="110"/>
      <c r="BF10" s="16">
        <f>IF(BG10="","",WEEKDAY(BG10,2))</f>
        <v>7</v>
      </c>
      <c r="BG10" s="17">
        <v>43807</v>
      </c>
      <c r="BH10" s="22">
        <v>843.9</v>
      </c>
      <c r="BI10" s="22"/>
      <c r="BJ10" s="226"/>
      <c r="BK10" s="226">
        <v>163.69999999999999</v>
      </c>
      <c r="BL10" s="577"/>
      <c r="BM10" s="114">
        <f>IF(BN10="","",WEEKDAY(BN10,2))</f>
        <v>3</v>
      </c>
      <c r="BN10" s="17">
        <v>43838</v>
      </c>
      <c r="BO10" s="22"/>
      <c r="BP10" s="22">
        <v>1069.4000000000001</v>
      </c>
      <c r="BQ10" s="226">
        <v>134.6</v>
      </c>
      <c r="BR10" s="226"/>
      <c r="BS10" s="18"/>
      <c r="BT10" s="862"/>
      <c r="BU10" s="863"/>
      <c r="BV10" s="863"/>
      <c r="BW10" s="110"/>
      <c r="BX10" s="16">
        <f t="shared" si="3"/>
        <v>7</v>
      </c>
      <c r="BY10" s="17">
        <v>43870</v>
      </c>
      <c r="BZ10" s="22">
        <v>962.5</v>
      </c>
      <c r="CA10" s="22"/>
      <c r="CB10" s="226"/>
      <c r="CC10" s="226">
        <v>252.3</v>
      </c>
      <c r="CD10" s="431"/>
      <c r="CE10" s="862">
        <v>130.19999999999999</v>
      </c>
      <c r="CF10" s="863"/>
      <c r="CG10" s="864"/>
      <c r="CH10" s="114">
        <f>IF(CI10="","",WEEKDAY(CI10,2))</f>
        <v>7</v>
      </c>
      <c r="CI10" s="17">
        <v>43898</v>
      </c>
      <c r="CJ10" s="22"/>
      <c r="CK10" s="22">
        <v>500</v>
      </c>
      <c r="CL10" s="226"/>
      <c r="CM10" s="226">
        <v>257.5</v>
      </c>
      <c r="CN10" s="18"/>
      <c r="CO10" s="862">
        <v>20.100000000000001</v>
      </c>
      <c r="CP10" s="863"/>
      <c r="CQ10" s="864"/>
    </row>
    <row r="11" spans="1:95" ht="12.6" customHeight="1">
      <c r="A11" s="110"/>
      <c r="B11" s="4">
        <f t="shared" si="8"/>
        <v>3</v>
      </c>
      <c r="C11" s="3">
        <f t="shared" si="11"/>
        <v>43593</v>
      </c>
      <c r="D11" s="5"/>
      <c r="E11" s="5">
        <v>1107</v>
      </c>
      <c r="F11" s="90"/>
      <c r="G11" s="91"/>
      <c r="H11" s="110"/>
      <c r="I11" s="16">
        <f t="shared" si="9"/>
        <v>6</v>
      </c>
      <c r="J11" s="17">
        <v>43624</v>
      </c>
      <c r="K11" s="18"/>
      <c r="L11" s="18">
        <v>598.65</v>
      </c>
      <c r="M11" s="14"/>
      <c r="N11" s="14"/>
      <c r="O11" s="134"/>
      <c r="P11" s="114">
        <f t="shared" si="10"/>
        <v>1</v>
      </c>
      <c r="Q11" s="17">
        <v>43654</v>
      </c>
      <c r="R11" s="18">
        <f>995</f>
        <v>995</v>
      </c>
      <c r="S11" s="18"/>
      <c r="T11" s="14"/>
      <c r="U11" s="14"/>
      <c r="V11" s="115"/>
      <c r="W11" s="11"/>
      <c r="X11" s="12"/>
      <c r="Y11" s="12"/>
      <c r="Z11" s="1"/>
      <c r="AA11" s="111"/>
      <c r="AB11" s="110"/>
      <c r="AC11" s="16">
        <f t="shared" si="4"/>
        <v>4</v>
      </c>
      <c r="AD11" s="17">
        <v>43685</v>
      </c>
      <c r="AE11" s="18"/>
      <c r="AF11" s="18"/>
      <c r="AG11" s="14"/>
      <c r="AH11" s="14">
        <v>602.29999999999995</v>
      </c>
      <c r="AI11" s="76">
        <v>45</v>
      </c>
      <c r="AJ11" s="114">
        <f t="shared" si="0"/>
        <v>1</v>
      </c>
      <c r="AK11" s="17">
        <v>43717</v>
      </c>
      <c r="AL11" s="1137" t="s">
        <v>135</v>
      </c>
      <c r="AM11" s="22">
        <v>688.5</v>
      </c>
      <c r="AN11" s="227"/>
      <c r="AO11" s="20"/>
      <c r="AP11" s="388"/>
      <c r="AQ11" s="114">
        <f t="shared" si="1"/>
        <v>3</v>
      </c>
      <c r="AR11" s="17">
        <v>43747</v>
      </c>
      <c r="AS11" s="237"/>
      <c r="AT11" s="22">
        <v>468.8</v>
      </c>
      <c r="AU11" s="227"/>
      <c r="AV11" s="1135"/>
      <c r="AW11" s="114">
        <f t="shared" si="2"/>
        <v>6</v>
      </c>
      <c r="AX11" s="17">
        <v>43778</v>
      </c>
      <c r="AY11" s="22">
        <v>1019.6</v>
      </c>
      <c r="AZ11" s="22"/>
      <c r="BA11" s="226"/>
      <c r="BB11" s="226"/>
      <c r="BC11" s="431"/>
      <c r="BD11" s="530"/>
      <c r="BE11" s="110"/>
      <c r="BF11" s="16">
        <f t="shared" si="5"/>
        <v>1</v>
      </c>
      <c r="BG11" s="17">
        <v>43808</v>
      </c>
      <c r="BH11" s="22"/>
      <c r="BI11" s="22">
        <v>950.6</v>
      </c>
      <c r="BJ11" s="226">
        <v>0</v>
      </c>
      <c r="BK11" s="226">
        <v>49</v>
      </c>
      <c r="BL11" s="578" t="s">
        <v>227</v>
      </c>
      <c r="BM11" s="114">
        <f t="shared" si="6"/>
        <v>4</v>
      </c>
      <c r="BN11" s="17">
        <v>43839</v>
      </c>
      <c r="BO11" s="22">
        <v>718.6</v>
      </c>
      <c r="BP11" s="22"/>
      <c r="BQ11" s="226">
        <v>107.3</v>
      </c>
      <c r="BR11" s="226"/>
      <c r="BS11" s="431"/>
      <c r="BT11" s="862">
        <v>271.10000000000002</v>
      </c>
      <c r="BU11" s="863"/>
      <c r="BV11" s="468"/>
      <c r="BW11" s="110"/>
      <c r="BX11" s="16">
        <f t="shared" si="3"/>
        <v>1</v>
      </c>
      <c r="BY11" s="17">
        <v>43871</v>
      </c>
      <c r="BZ11" s="22"/>
      <c r="CA11" s="22">
        <v>503</v>
      </c>
      <c r="CB11" s="226"/>
      <c r="CC11" s="226">
        <v>106.7</v>
      </c>
      <c r="CD11" s="226"/>
      <c r="CE11" s="862"/>
      <c r="CF11" s="862"/>
      <c r="CG11" s="865"/>
      <c r="CH11" s="114">
        <f t="shared" si="7"/>
        <v>1</v>
      </c>
      <c r="CI11" s="17">
        <v>43899</v>
      </c>
      <c r="CJ11" s="22">
        <v>793.6</v>
      </c>
      <c r="CK11" s="22"/>
      <c r="CL11" s="226">
        <v>402.2</v>
      </c>
      <c r="CM11" s="226"/>
      <c r="CN11" s="431"/>
      <c r="CO11" s="862"/>
      <c r="CP11" s="863"/>
      <c r="CQ11" s="864"/>
    </row>
    <row r="12" spans="1:95" ht="12.6" customHeight="1">
      <c r="A12" s="110"/>
      <c r="B12" s="4">
        <f t="shared" si="8"/>
        <v>4</v>
      </c>
      <c r="C12" s="3">
        <f t="shared" si="11"/>
        <v>43594</v>
      </c>
      <c r="D12" s="5">
        <v>565.23</v>
      </c>
      <c r="E12" s="5"/>
      <c r="F12" s="90"/>
      <c r="G12" s="91"/>
      <c r="H12" s="110"/>
      <c r="I12" s="16">
        <f t="shared" si="9"/>
        <v>7</v>
      </c>
      <c r="J12" s="17">
        <v>43625</v>
      </c>
      <c r="K12" s="18"/>
      <c r="L12" s="18">
        <v>625.45000000000005</v>
      </c>
      <c r="M12" s="14"/>
      <c r="N12" s="19"/>
      <c r="O12" s="135"/>
      <c r="P12" s="114">
        <f t="shared" si="10"/>
        <v>2</v>
      </c>
      <c r="Q12" s="17">
        <v>43655</v>
      </c>
      <c r="R12" s="18">
        <v>997.7</v>
      </c>
      <c r="S12" s="18"/>
      <c r="T12" s="14"/>
      <c r="U12" s="19"/>
      <c r="V12" s="20"/>
      <c r="W12" s="9"/>
      <c r="X12" s="12"/>
      <c r="Y12" s="12"/>
      <c r="Z12" s="1"/>
      <c r="AA12" s="111"/>
      <c r="AB12" s="110"/>
      <c r="AC12" s="16">
        <f t="shared" si="4"/>
        <v>5</v>
      </c>
      <c r="AD12" s="17">
        <v>43686</v>
      </c>
      <c r="AE12" s="18">
        <v>1172.3</v>
      </c>
      <c r="AF12" s="18"/>
      <c r="AG12" s="14"/>
      <c r="AH12" s="19"/>
      <c r="AI12" s="135">
        <v>0.5</v>
      </c>
      <c r="AJ12" s="114">
        <f t="shared" si="0"/>
        <v>2</v>
      </c>
      <c r="AK12" s="17">
        <v>43718</v>
      </c>
      <c r="AL12" s="1138"/>
      <c r="AM12" s="23">
        <v>487.05</v>
      </c>
      <c r="AN12" s="233">
        <v>631.9</v>
      </c>
      <c r="AO12" s="389" t="s">
        <v>147</v>
      </c>
      <c r="AP12" s="1142" t="s">
        <v>140</v>
      </c>
      <c r="AQ12" s="114">
        <f t="shared" si="1"/>
        <v>4</v>
      </c>
      <c r="AR12" s="17">
        <v>43748</v>
      </c>
      <c r="AS12" s="237">
        <v>905</v>
      </c>
      <c r="AT12" s="22"/>
      <c r="AU12" s="226"/>
      <c r="AV12" s="1135"/>
      <c r="AW12" s="114">
        <f t="shared" si="2"/>
        <v>7</v>
      </c>
      <c r="AX12" s="17">
        <v>43779</v>
      </c>
      <c r="AY12" s="22"/>
      <c r="AZ12" s="22">
        <v>1157.6500000000001</v>
      </c>
      <c r="BA12" s="226"/>
      <c r="BB12" s="226"/>
      <c r="BC12" s="226"/>
      <c r="BD12" s="393"/>
      <c r="BE12" s="110"/>
      <c r="BF12" s="16">
        <f t="shared" si="5"/>
        <v>2</v>
      </c>
      <c r="BG12" s="17">
        <v>43809</v>
      </c>
      <c r="BH12" s="22"/>
      <c r="BI12" s="22">
        <v>644.9</v>
      </c>
      <c r="BJ12" s="226"/>
      <c r="BK12" s="226">
        <v>210.6</v>
      </c>
      <c r="BL12" s="576"/>
      <c r="BM12" s="114">
        <f t="shared" si="6"/>
        <v>5</v>
      </c>
      <c r="BN12" s="17">
        <v>43840</v>
      </c>
      <c r="BO12" s="22">
        <v>556.20000000000005</v>
      </c>
      <c r="BP12" s="22"/>
      <c r="BQ12" s="226"/>
      <c r="BR12" s="226">
        <v>142</v>
      </c>
      <c r="BS12" s="226"/>
      <c r="BT12" s="862">
        <v>20.2</v>
      </c>
      <c r="BU12" s="863"/>
      <c r="BV12" s="468"/>
      <c r="BW12" s="110"/>
      <c r="BX12" s="16">
        <f t="shared" si="3"/>
        <v>2</v>
      </c>
      <c r="BY12" s="17">
        <v>43872</v>
      </c>
      <c r="BZ12" s="22"/>
      <c r="CA12" s="22">
        <v>888.75</v>
      </c>
      <c r="CB12" s="226"/>
      <c r="CC12" s="226">
        <v>118.9</v>
      </c>
      <c r="CD12" s="226"/>
      <c r="CE12" s="862">
        <v>74</v>
      </c>
      <c r="CF12" s="863"/>
      <c r="CG12" s="865"/>
      <c r="CH12" s="114">
        <f t="shared" si="7"/>
        <v>2</v>
      </c>
      <c r="CI12" s="17">
        <v>43900</v>
      </c>
      <c r="CJ12" s="22">
        <v>860.15</v>
      </c>
      <c r="CK12" s="22"/>
      <c r="CL12" s="226">
        <v>280</v>
      </c>
      <c r="CM12" s="226"/>
      <c r="CN12" s="226"/>
      <c r="CO12" s="862">
        <v>324.75</v>
      </c>
      <c r="CP12" s="863"/>
      <c r="CQ12" s="865"/>
    </row>
    <row r="13" spans="1:95" ht="12.6" customHeight="1">
      <c r="A13" s="110"/>
      <c r="B13" s="4">
        <f t="shared" si="8"/>
        <v>5</v>
      </c>
      <c r="C13" s="3">
        <f t="shared" si="11"/>
        <v>43595</v>
      </c>
      <c r="D13" s="5">
        <v>1299.7</v>
      </c>
      <c r="E13" s="5"/>
      <c r="F13" s="90"/>
      <c r="G13" s="91"/>
      <c r="H13" s="110"/>
      <c r="I13" s="16">
        <f t="shared" si="9"/>
        <v>1</v>
      </c>
      <c r="J13" s="17">
        <v>43626</v>
      </c>
      <c r="K13" s="18"/>
      <c r="L13" s="18"/>
      <c r="M13" s="14">
        <f>779.1+180</f>
        <v>959.1</v>
      </c>
      <c r="N13" s="14"/>
      <c r="O13" s="136"/>
      <c r="P13" s="114">
        <f t="shared" si="10"/>
        <v>3</v>
      </c>
      <c r="Q13" s="17">
        <v>43656</v>
      </c>
      <c r="R13" s="18"/>
      <c r="S13" s="18">
        <v>821.1</v>
      </c>
      <c r="T13" s="14"/>
      <c r="U13" s="14"/>
      <c r="V13" s="116"/>
      <c r="W13" s="12"/>
      <c r="X13" s="12"/>
      <c r="Y13" s="12"/>
      <c r="Z13" s="1"/>
      <c r="AA13" s="111"/>
      <c r="AB13" s="110"/>
      <c r="AC13" s="16">
        <f t="shared" si="4"/>
        <v>6</v>
      </c>
      <c r="AD13" s="17">
        <v>43687</v>
      </c>
      <c r="AE13" s="18">
        <v>946.8</v>
      </c>
      <c r="AF13" s="18"/>
      <c r="AG13" s="14"/>
      <c r="AH13" s="14"/>
      <c r="AI13" s="136">
        <v>0</v>
      </c>
      <c r="AJ13" s="114">
        <f t="shared" si="0"/>
        <v>3</v>
      </c>
      <c r="AK13" s="17">
        <v>43719</v>
      </c>
      <c r="AL13" s="1138"/>
      <c r="AM13" s="22"/>
      <c r="AN13" s="226">
        <v>659.8</v>
      </c>
      <c r="AO13" s="116"/>
      <c r="AP13" s="1142"/>
      <c r="AQ13" s="114">
        <f t="shared" si="1"/>
        <v>5</v>
      </c>
      <c r="AR13" s="17">
        <v>43749</v>
      </c>
      <c r="AS13" s="237"/>
      <c r="AT13" s="22">
        <v>737.6</v>
      </c>
      <c r="AU13" s="226" t="s">
        <v>153</v>
      </c>
      <c r="AV13" s="595" t="s">
        <v>144</v>
      </c>
      <c r="AW13" s="114">
        <f t="shared" si="2"/>
        <v>1</v>
      </c>
      <c r="AX13" s="17">
        <v>43780</v>
      </c>
      <c r="AY13" s="22"/>
      <c r="AZ13" s="22">
        <v>1126.7</v>
      </c>
      <c r="BA13" s="226"/>
      <c r="BB13" s="226"/>
      <c r="BC13" s="226"/>
      <c r="BD13" s="531"/>
      <c r="BE13" s="110"/>
      <c r="BF13" s="16">
        <f t="shared" si="5"/>
        <v>3</v>
      </c>
      <c r="BG13" s="17">
        <v>43810</v>
      </c>
      <c r="BH13" s="22">
        <v>403.35</v>
      </c>
      <c r="BI13" s="22"/>
      <c r="BJ13" s="226">
        <v>286</v>
      </c>
      <c r="BK13" s="226"/>
      <c r="BL13" s="576"/>
      <c r="BM13" s="114">
        <f t="shared" si="6"/>
        <v>6</v>
      </c>
      <c r="BN13" s="17">
        <v>43841</v>
      </c>
      <c r="BO13" s="22"/>
      <c r="BP13" s="22">
        <v>844.27</v>
      </c>
      <c r="BQ13" s="226"/>
      <c r="BR13" s="226">
        <v>261.3</v>
      </c>
      <c r="BS13" s="226"/>
      <c r="BT13" s="862">
        <v>72.5</v>
      </c>
      <c r="BU13" s="863"/>
      <c r="BV13" s="468"/>
      <c r="BW13" s="110"/>
      <c r="BX13" s="16">
        <f t="shared" si="3"/>
        <v>3</v>
      </c>
      <c r="BY13" s="17">
        <v>43873</v>
      </c>
      <c r="BZ13" s="22">
        <v>531.54999999999995</v>
      </c>
      <c r="CA13" s="22"/>
      <c r="CB13" s="226"/>
      <c r="CC13" s="226">
        <v>351.1</v>
      </c>
      <c r="CD13" s="226"/>
      <c r="CE13" s="862">
        <v>259.5</v>
      </c>
      <c r="CF13" s="863"/>
      <c r="CG13" s="865"/>
      <c r="CH13" s="114">
        <f t="shared" si="7"/>
        <v>3</v>
      </c>
      <c r="CI13" s="17">
        <v>43901</v>
      </c>
      <c r="CJ13" s="22"/>
      <c r="CK13" s="22">
        <v>451</v>
      </c>
      <c r="CL13" s="226"/>
      <c r="CM13" s="226">
        <v>278.3</v>
      </c>
      <c r="CN13" s="226"/>
      <c r="CO13" s="862">
        <v>90</v>
      </c>
      <c r="CP13" s="863"/>
      <c r="CQ13" s="865"/>
    </row>
    <row r="14" spans="1:95" ht="12.6" customHeight="1">
      <c r="A14" s="110"/>
      <c r="B14" s="4">
        <f t="shared" si="8"/>
        <v>6</v>
      </c>
      <c r="C14" s="3">
        <f t="shared" si="11"/>
        <v>43596</v>
      </c>
      <c r="D14" s="5">
        <v>1128.3599999999999</v>
      </c>
      <c r="E14" s="5"/>
      <c r="F14" s="90"/>
      <c r="G14" s="91"/>
      <c r="H14" s="110"/>
      <c r="I14" s="16">
        <f t="shared" si="9"/>
        <v>2</v>
      </c>
      <c r="J14" s="17">
        <v>43627</v>
      </c>
      <c r="K14" s="18">
        <v>994.7</v>
      </c>
      <c r="L14" s="18"/>
      <c r="M14" s="14"/>
      <c r="N14" s="14"/>
      <c r="O14" s="136"/>
      <c r="P14" s="114">
        <f t="shared" si="10"/>
        <v>4</v>
      </c>
      <c r="Q14" s="17">
        <v>43657</v>
      </c>
      <c r="R14" s="18"/>
      <c r="S14" s="18">
        <v>1390</v>
      </c>
      <c r="T14" s="14"/>
      <c r="U14" s="14"/>
      <c r="V14" s="116"/>
      <c r="W14" s="12"/>
      <c r="X14" s="12"/>
      <c r="Y14" s="12"/>
      <c r="Z14" s="1"/>
      <c r="AA14" s="111"/>
      <c r="AB14" s="110"/>
      <c r="AC14" s="16">
        <f t="shared" si="4"/>
        <v>7</v>
      </c>
      <c r="AD14" s="17">
        <v>43688</v>
      </c>
      <c r="AE14" s="18"/>
      <c r="AF14" s="18"/>
      <c r="AG14" s="14"/>
      <c r="AH14" s="14">
        <v>677.1</v>
      </c>
      <c r="AI14" s="136">
        <v>56</v>
      </c>
      <c r="AJ14" s="114">
        <f t="shared" si="0"/>
        <v>4</v>
      </c>
      <c r="AK14" s="17">
        <v>43720</v>
      </c>
      <c r="AL14" s="1138"/>
      <c r="AM14" s="22">
        <v>1118.5999999999999</v>
      </c>
      <c r="AN14" s="226"/>
      <c r="AO14" s="116"/>
      <c r="AP14" s="138"/>
      <c r="AQ14" s="114">
        <f t="shared" si="1"/>
        <v>6</v>
      </c>
      <c r="AR14" s="17">
        <v>43750</v>
      </c>
      <c r="AS14" s="22"/>
      <c r="AT14" s="22"/>
      <c r="AU14" s="226">
        <v>879.06</v>
      </c>
      <c r="AV14" s="136"/>
      <c r="AW14" s="114">
        <f t="shared" si="2"/>
        <v>2</v>
      </c>
      <c r="AX14" s="17">
        <v>43781</v>
      </c>
      <c r="AY14" s="22">
        <v>544</v>
      </c>
      <c r="AZ14" s="22"/>
      <c r="BA14" s="226"/>
      <c r="BB14" s="226"/>
      <c r="BC14" s="226"/>
      <c r="BD14" s="531"/>
      <c r="BE14" s="110"/>
      <c r="BF14" s="16">
        <f t="shared" si="5"/>
        <v>4</v>
      </c>
      <c r="BG14" s="17">
        <v>43811</v>
      </c>
      <c r="BH14" s="22">
        <v>686.1</v>
      </c>
      <c r="BI14" s="22"/>
      <c r="BJ14" s="226">
        <v>169.8</v>
      </c>
      <c r="BK14" s="226"/>
      <c r="BL14" s="576"/>
      <c r="BM14" s="114">
        <f t="shared" si="6"/>
        <v>7</v>
      </c>
      <c r="BN14" s="17">
        <v>43842</v>
      </c>
      <c r="BO14" s="22"/>
      <c r="BP14" s="22">
        <v>582.79999999999995</v>
      </c>
      <c r="BQ14" s="226"/>
      <c r="BR14" s="226">
        <v>285</v>
      </c>
      <c r="BS14" s="226"/>
      <c r="BT14" s="862">
        <v>95</v>
      </c>
      <c r="BU14" s="863"/>
      <c r="BV14" s="468"/>
      <c r="BW14" s="110"/>
      <c r="BX14" s="16">
        <f t="shared" si="3"/>
        <v>4</v>
      </c>
      <c r="BY14" s="17">
        <v>43874</v>
      </c>
      <c r="BZ14" s="22">
        <v>1132.6500000000001</v>
      </c>
      <c r="CA14" s="22"/>
      <c r="CB14" s="226"/>
      <c r="CC14" s="226"/>
      <c r="CD14" s="226">
        <v>329.8</v>
      </c>
      <c r="CE14" s="862">
        <v>126.9</v>
      </c>
      <c r="CF14" s="863"/>
      <c r="CG14" s="865"/>
      <c r="CH14" s="114">
        <f t="shared" si="7"/>
        <v>4</v>
      </c>
      <c r="CI14" s="17">
        <v>43902</v>
      </c>
      <c r="CJ14" s="22"/>
      <c r="CK14" s="22">
        <v>844.1</v>
      </c>
      <c r="CL14" s="226"/>
      <c r="CM14" s="226">
        <v>390</v>
      </c>
      <c r="CN14" s="226"/>
      <c r="CO14" s="862">
        <v>135.19999999999999</v>
      </c>
      <c r="CP14" s="863"/>
      <c r="CQ14" s="865"/>
    </row>
    <row r="15" spans="1:95" ht="12.6" customHeight="1">
      <c r="A15" s="110"/>
      <c r="B15" s="4">
        <f t="shared" si="8"/>
        <v>7</v>
      </c>
      <c r="C15" s="3">
        <f t="shared" si="11"/>
        <v>43597</v>
      </c>
      <c r="D15" s="5"/>
      <c r="E15" s="5">
        <v>969.9</v>
      </c>
      <c r="F15" s="90"/>
      <c r="G15" s="91"/>
      <c r="H15" s="110"/>
      <c r="I15" s="16">
        <f t="shared" si="9"/>
        <v>3</v>
      </c>
      <c r="J15" s="17">
        <v>43628</v>
      </c>
      <c r="K15" s="18"/>
      <c r="L15" s="18">
        <v>1063.4000000000001</v>
      </c>
      <c r="M15" s="14"/>
      <c r="N15" s="14"/>
      <c r="O15" s="136"/>
      <c r="P15" s="114">
        <f t="shared" si="10"/>
        <v>5</v>
      </c>
      <c r="Q15" s="17">
        <v>43658</v>
      </c>
      <c r="R15" s="18">
        <v>1224.95</v>
      </c>
      <c r="S15" s="18"/>
      <c r="T15" s="14"/>
      <c r="U15" s="14"/>
      <c r="V15" s="116"/>
      <c r="W15" s="12"/>
      <c r="X15" s="12"/>
      <c r="Y15" s="12"/>
      <c r="Z15" s="1"/>
      <c r="AA15" s="111"/>
      <c r="AB15" s="110"/>
      <c r="AC15" s="16">
        <f t="shared" si="4"/>
        <v>1</v>
      </c>
      <c r="AD15" s="17">
        <v>43689</v>
      </c>
      <c r="AE15" s="18"/>
      <c r="AF15" s="18"/>
      <c r="AG15" s="14"/>
      <c r="AH15" s="14">
        <v>903.85</v>
      </c>
      <c r="AI15" s="136">
        <v>0</v>
      </c>
      <c r="AJ15" s="114">
        <f t="shared" si="0"/>
        <v>5</v>
      </c>
      <c r="AK15" s="17">
        <v>43721</v>
      </c>
      <c r="AL15" s="1138"/>
      <c r="AM15" s="22">
        <v>1249.4000000000001</v>
      </c>
      <c r="AN15" s="226"/>
      <c r="AO15" s="116"/>
      <c r="AP15" s="138"/>
      <c r="AQ15" s="114">
        <f t="shared" si="1"/>
        <v>7</v>
      </c>
      <c r="AR15" s="17">
        <v>43751</v>
      </c>
      <c r="AS15" s="22">
        <v>836.4</v>
      </c>
      <c r="AT15" s="22"/>
      <c r="AU15" s="226"/>
      <c r="AV15" s="231"/>
      <c r="AW15" s="114">
        <f t="shared" si="2"/>
        <v>3</v>
      </c>
      <c r="AX15" s="17">
        <v>43782</v>
      </c>
      <c r="AY15" s="22"/>
      <c r="AZ15" s="22"/>
      <c r="BA15" s="233">
        <v>979.4</v>
      </c>
      <c r="BB15" s="226"/>
      <c r="BC15" s="226"/>
      <c r="BD15" s="531"/>
      <c r="BE15" s="110"/>
      <c r="BF15" s="16">
        <f t="shared" si="5"/>
        <v>5</v>
      </c>
      <c r="BG15" s="17">
        <v>43812</v>
      </c>
      <c r="BH15" s="22"/>
      <c r="BI15" s="22">
        <v>1005.9</v>
      </c>
      <c r="BJ15" s="226"/>
      <c r="BK15" s="226">
        <v>287.64999999999998</v>
      </c>
      <c r="BL15" s="576"/>
      <c r="BM15" s="114">
        <f t="shared" si="6"/>
        <v>1</v>
      </c>
      <c r="BN15" s="17">
        <v>43843</v>
      </c>
      <c r="BO15" s="22">
        <f>1215.6+12</f>
        <v>1227.5999999999999</v>
      </c>
      <c r="BP15" s="22"/>
      <c r="BQ15" s="226">
        <v>365.6</v>
      </c>
      <c r="BR15" s="226"/>
      <c r="BS15" s="226"/>
      <c r="BT15" s="862"/>
      <c r="BU15" s="863"/>
      <c r="BV15" s="468"/>
      <c r="BW15" s="406"/>
      <c r="BX15" s="16">
        <f t="shared" si="3"/>
        <v>5</v>
      </c>
      <c r="BY15" s="17">
        <v>43875</v>
      </c>
      <c r="BZ15" s="22"/>
      <c r="CA15" s="22">
        <v>1579.05</v>
      </c>
      <c r="CB15" s="226"/>
      <c r="CC15" s="226">
        <v>93.5</v>
      </c>
      <c r="CD15" s="1"/>
      <c r="CE15" s="14">
        <v>122.6</v>
      </c>
      <c r="CF15" s="863"/>
      <c r="CG15" s="865"/>
      <c r="CH15" s="114">
        <f t="shared" si="7"/>
        <v>5</v>
      </c>
      <c r="CI15" s="17">
        <v>43903</v>
      </c>
      <c r="CJ15" s="22">
        <v>841.6</v>
      </c>
      <c r="CK15" s="22"/>
      <c r="CL15" s="226"/>
      <c r="CM15" s="226">
        <v>424</v>
      </c>
      <c r="CN15" s="226"/>
      <c r="CO15" s="862">
        <v>134.19999999999999</v>
      </c>
      <c r="CP15" s="863"/>
      <c r="CQ15" s="865"/>
    </row>
    <row r="16" spans="1:95" ht="12.6" customHeight="1">
      <c r="A16" s="110"/>
      <c r="B16" s="4">
        <f t="shared" si="8"/>
        <v>1</v>
      </c>
      <c r="C16" s="3">
        <f t="shared" si="11"/>
        <v>43598</v>
      </c>
      <c r="D16" s="5"/>
      <c r="E16" s="5">
        <v>565.20000000000005</v>
      </c>
      <c r="F16" s="90"/>
      <c r="G16" s="91"/>
      <c r="H16" s="110"/>
      <c r="I16" s="16">
        <f t="shared" si="9"/>
        <v>4</v>
      </c>
      <c r="J16" s="17">
        <v>43629</v>
      </c>
      <c r="K16" s="18"/>
      <c r="L16" s="18">
        <v>699.7</v>
      </c>
      <c r="M16" s="14"/>
      <c r="N16" s="14"/>
      <c r="O16" s="231"/>
      <c r="P16" s="114">
        <f t="shared" si="10"/>
        <v>6</v>
      </c>
      <c r="Q16" s="17">
        <v>43659</v>
      </c>
      <c r="R16" s="18">
        <v>905.85</v>
      </c>
      <c r="S16" s="18"/>
      <c r="T16" s="14"/>
      <c r="U16" s="14"/>
      <c r="V16" s="116"/>
      <c r="W16" s="12"/>
      <c r="X16" s="12"/>
      <c r="Y16" s="12"/>
      <c r="Z16" s="1"/>
      <c r="AA16" s="111"/>
      <c r="AB16" s="110"/>
      <c r="AC16" s="16">
        <f t="shared" si="4"/>
        <v>2</v>
      </c>
      <c r="AD16" s="17">
        <v>43690</v>
      </c>
      <c r="AE16" s="18">
        <v>1070.6300000000001</v>
      </c>
      <c r="AF16" s="18"/>
      <c r="AG16" s="14"/>
      <c r="AH16" s="14"/>
      <c r="AI16" s="136">
        <v>0</v>
      </c>
      <c r="AJ16" s="114">
        <f t="shared" si="0"/>
        <v>6</v>
      </c>
      <c r="AK16" s="17">
        <v>43722</v>
      </c>
      <c r="AL16" s="1138"/>
      <c r="AM16" s="22"/>
      <c r="AN16" s="226">
        <v>1926.62</v>
      </c>
      <c r="AO16" s="116"/>
      <c r="AP16" s="138"/>
      <c r="AQ16" s="114">
        <f t="shared" si="1"/>
        <v>1</v>
      </c>
      <c r="AR16" s="17">
        <v>43752</v>
      </c>
      <c r="AS16" s="237">
        <v>928.7</v>
      </c>
      <c r="AT16" s="22"/>
      <c r="AU16" s="226"/>
      <c r="AV16" s="136"/>
      <c r="AW16" s="114">
        <f t="shared" si="2"/>
        <v>4</v>
      </c>
      <c r="AX16" s="17">
        <v>43783</v>
      </c>
      <c r="AY16" s="22"/>
      <c r="AZ16" s="22">
        <v>154.69999999999999</v>
      </c>
      <c r="BA16" s="233">
        <v>209</v>
      </c>
      <c r="BB16" s="226"/>
      <c r="BC16" s="14"/>
      <c r="BD16" s="138"/>
      <c r="BE16" s="406"/>
      <c r="BF16" s="16">
        <f t="shared" si="5"/>
        <v>6</v>
      </c>
      <c r="BG16" s="17">
        <v>43813</v>
      </c>
      <c r="BH16" s="22" t="s">
        <v>228</v>
      </c>
      <c r="BI16" s="22">
        <v>1173.45</v>
      </c>
      <c r="BJ16" s="226"/>
      <c r="BK16" s="226">
        <v>241.9</v>
      </c>
      <c r="BL16" s="579"/>
      <c r="BM16" s="114">
        <f t="shared" si="6"/>
        <v>2</v>
      </c>
      <c r="BN16" s="17">
        <v>43844</v>
      </c>
      <c r="BO16" s="22">
        <v>802.86</v>
      </c>
      <c r="BP16" s="22"/>
      <c r="BQ16" s="226"/>
      <c r="BR16" s="226">
        <v>327</v>
      </c>
      <c r="BS16" s="14"/>
      <c r="BT16" s="862">
        <v>100.8</v>
      </c>
      <c r="BU16" s="863"/>
      <c r="BV16" s="468"/>
      <c r="BW16" s="110"/>
      <c r="BX16" s="16">
        <f t="shared" si="3"/>
        <v>6</v>
      </c>
      <c r="BY16" s="17">
        <v>43876</v>
      </c>
      <c r="BZ16" s="22"/>
      <c r="CA16" s="22">
        <v>1423.85</v>
      </c>
      <c r="CB16" s="226"/>
      <c r="CC16" s="226">
        <v>612.70000000000005</v>
      </c>
      <c r="CD16" s="14"/>
      <c r="CE16" s="862">
        <v>105.43</v>
      </c>
      <c r="CF16" s="863"/>
      <c r="CG16" s="865"/>
      <c r="CH16" s="114">
        <f t="shared" si="7"/>
        <v>6</v>
      </c>
      <c r="CI16" s="17">
        <v>43904</v>
      </c>
      <c r="CJ16" s="22">
        <v>1001.25</v>
      </c>
      <c r="CK16" s="22"/>
      <c r="CL16" s="226">
        <v>392.5</v>
      </c>
      <c r="CM16" s="226"/>
      <c r="CN16" s="1089"/>
      <c r="CO16" s="116">
        <v>226</v>
      </c>
      <c r="CP16" s="863"/>
      <c r="CQ16" s="865"/>
    </row>
    <row r="17" spans="1:95" ht="12.6" customHeight="1">
      <c r="A17" s="110"/>
      <c r="B17" s="4">
        <f t="shared" si="8"/>
        <v>2</v>
      </c>
      <c r="C17" s="3">
        <f t="shared" si="11"/>
        <v>43599</v>
      </c>
      <c r="D17" s="5">
        <v>875.95</v>
      </c>
      <c r="E17" s="5"/>
      <c r="F17" s="90"/>
      <c r="G17" s="91"/>
      <c r="H17" s="110"/>
      <c r="I17" s="16">
        <f t="shared" si="9"/>
        <v>5</v>
      </c>
      <c r="J17" s="17">
        <v>43630</v>
      </c>
      <c r="K17" s="22">
        <v>1139.6400000000001</v>
      </c>
      <c r="L17" s="18"/>
      <c r="M17" s="14"/>
      <c r="N17" s="14"/>
      <c r="O17" s="231"/>
      <c r="P17" s="114">
        <f t="shared" si="10"/>
        <v>7</v>
      </c>
      <c r="Q17" s="17">
        <v>43660</v>
      </c>
      <c r="R17" s="22"/>
      <c r="S17" s="18">
        <v>1082.45</v>
      </c>
      <c r="T17" s="14"/>
      <c r="U17" s="14"/>
      <c r="V17" s="116"/>
      <c r="W17" s="12"/>
      <c r="X17" s="12"/>
      <c r="Y17" s="12"/>
      <c r="Z17" s="1"/>
      <c r="AA17" s="111"/>
      <c r="AB17" s="110"/>
      <c r="AC17" s="16">
        <f t="shared" si="4"/>
        <v>3</v>
      </c>
      <c r="AD17" s="17">
        <v>43691</v>
      </c>
      <c r="AE17" s="22">
        <v>478.05</v>
      </c>
      <c r="AF17" s="18"/>
      <c r="AG17" s="14"/>
      <c r="AH17" s="14"/>
      <c r="AI17" s="136">
        <v>56.6</v>
      </c>
      <c r="AJ17" s="114">
        <f t="shared" si="0"/>
        <v>7</v>
      </c>
      <c r="AK17" s="17">
        <v>43723</v>
      </c>
      <c r="AL17" s="1138"/>
      <c r="AM17" s="22">
        <v>1746.15</v>
      </c>
      <c r="AN17" s="226"/>
      <c r="AO17" s="116"/>
      <c r="AP17" s="138">
        <f>SUM(AL3:AM10)</f>
        <v>6371.05</v>
      </c>
      <c r="AQ17" s="114">
        <f t="shared" si="1"/>
        <v>2</v>
      </c>
      <c r="AR17" s="17">
        <v>43753</v>
      </c>
      <c r="AS17" s="279">
        <v>1671.24</v>
      </c>
      <c r="AT17" s="22"/>
      <c r="AU17" s="226"/>
      <c r="AV17" s="136"/>
      <c r="AW17" s="114">
        <f t="shared" si="2"/>
        <v>5</v>
      </c>
      <c r="AX17" s="17">
        <v>43784</v>
      </c>
      <c r="AY17" s="22"/>
      <c r="AZ17" s="22">
        <v>1332.44</v>
      </c>
      <c r="BA17" s="226"/>
      <c r="BB17" s="226"/>
      <c r="BC17" s="14"/>
      <c r="BD17" s="138"/>
      <c r="BE17" s="110"/>
      <c r="BF17" s="16">
        <f t="shared" si="5"/>
        <v>7</v>
      </c>
      <c r="BG17" s="17">
        <v>43814</v>
      </c>
      <c r="BH17" s="22">
        <v>1053.2</v>
      </c>
      <c r="BI17" s="22"/>
      <c r="BJ17" s="226"/>
      <c r="BK17" s="226">
        <v>477.7</v>
      </c>
      <c r="BL17" s="579"/>
      <c r="BM17" s="114">
        <f t="shared" si="6"/>
        <v>3</v>
      </c>
      <c r="BN17" s="17">
        <v>43845</v>
      </c>
      <c r="BO17" s="22"/>
      <c r="BP17" s="22">
        <v>1708.3</v>
      </c>
      <c r="BQ17" s="226">
        <v>378.97</v>
      </c>
      <c r="BR17" s="226"/>
      <c r="BS17" s="14"/>
      <c r="BT17" s="862">
        <v>87.7</v>
      </c>
      <c r="BU17" s="863"/>
      <c r="BV17" s="468"/>
      <c r="BW17" s="110"/>
      <c r="BX17" s="16">
        <f t="shared" si="3"/>
        <v>7</v>
      </c>
      <c r="BY17" s="17">
        <v>43877</v>
      </c>
      <c r="BZ17" s="22">
        <v>932.44</v>
      </c>
      <c r="CA17" s="22"/>
      <c r="CB17" s="226"/>
      <c r="CC17" s="226">
        <v>305.89999999999998</v>
      </c>
      <c r="CD17" s="14"/>
      <c r="CE17" s="862">
        <v>71.2</v>
      </c>
      <c r="CF17" s="863"/>
      <c r="CG17" s="865"/>
      <c r="CH17" s="114">
        <f t="shared" si="7"/>
        <v>7</v>
      </c>
      <c r="CI17" s="17">
        <v>43905</v>
      </c>
      <c r="CJ17" s="22"/>
      <c r="CK17" s="22">
        <v>1454.45</v>
      </c>
      <c r="CL17" s="226">
        <v>439.9</v>
      </c>
      <c r="CM17" s="226"/>
      <c r="CN17" s="14"/>
      <c r="CO17" s="862">
        <v>107.5</v>
      </c>
      <c r="CP17" s="863"/>
      <c r="CQ17" s="865"/>
    </row>
    <row r="18" spans="1:95" ht="12.6" customHeight="1">
      <c r="A18" s="110"/>
      <c r="B18" s="4">
        <f t="shared" si="8"/>
        <v>3</v>
      </c>
      <c r="C18" s="3">
        <f t="shared" si="11"/>
        <v>43600</v>
      </c>
      <c r="D18" s="5"/>
      <c r="E18" s="5">
        <v>1876</v>
      </c>
      <c r="F18" s="90"/>
      <c r="G18" s="91"/>
      <c r="H18" s="110"/>
      <c r="I18" s="16">
        <f t="shared" si="9"/>
        <v>6</v>
      </c>
      <c r="J18" s="17">
        <v>43631</v>
      </c>
      <c r="K18" s="18">
        <v>1711.7</v>
      </c>
      <c r="L18" s="18"/>
      <c r="M18" s="14"/>
      <c r="N18" s="14"/>
      <c r="O18" s="136"/>
      <c r="P18" s="114">
        <f t="shared" si="10"/>
        <v>1</v>
      </c>
      <c r="Q18" s="17">
        <v>43661</v>
      </c>
      <c r="R18" s="18"/>
      <c r="S18" s="18">
        <v>1146.96</v>
      </c>
      <c r="T18" s="14"/>
      <c r="U18" s="14"/>
      <c r="V18" s="116"/>
      <c r="W18" s="12"/>
      <c r="X18" s="12"/>
      <c r="Y18" s="12"/>
      <c r="Z18" s="1"/>
      <c r="AA18" s="111"/>
      <c r="AB18" s="110"/>
      <c r="AC18" s="16">
        <f t="shared" si="4"/>
        <v>4</v>
      </c>
      <c r="AD18" s="17">
        <v>43692</v>
      </c>
      <c r="AE18" s="23">
        <v>25</v>
      </c>
      <c r="AF18" s="18"/>
      <c r="AG18" s="14"/>
      <c r="AH18" s="14">
        <v>1722.8</v>
      </c>
      <c r="AI18" s="136">
        <v>0</v>
      </c>
      <c r="AJ18" s="114">
        <f t="shared" si="0"/>
        <v>1</v>
      </c>
      <c r="AK18" s="17">
        <v>43724</v>
      </c>
      <c r="AL18" s="1138"/>
      <c r="AM18" s="22">
        <v>1271.2</v>
      </c>
      <c r="AN18" s="226"/>
      <c r="AO18" s="116"/>
      <c r="AP18" s="138">
        <f>SUM(AM11:AN18)</f>
        <v>9779.2200000000012</v>
      </c>
      <c r="AQ18" s="114">
        <f t="shared" si="1"/>
        <v>3</v>
      </c>
      <c r="AR18" s="17">
        <v>43754</v>
      </c>
      <c r="AS18" s="237"/>
      <c r="AT18" s="22">
        <v>776.7</v>
      </c>
      <c r="AU18" s="226"/>
      <c r="AV18" s="136"/>
      <c r="AW18" s="114">
        <f t="shared" si="2"/>
        <v>6</v>
      </c>
      <c r="AX18" s="17">
        <v>43785</v>
      </c>
      <c r="AY18" s="22">
        <v>1101.3499999999999</v>
      </c>
      <c r="AZ18" s="22"/>
      <c r="BA18" s="226"/>
      <c r="BB18" s="226"/>
      <c r="BC18" s="14"/>
      <c r="BD18" s="138"/>
      <c r="BE18" s="110"/>
      <c r="BF18" s="16">
        <f t="shared" si="5"/>
        <v>1</v>
      </c>
      <c r="BG18" s="17">
        <v>43815</v>
      </c>
      <c r="BH18" s="22">
        <f>1178.2+5</f>
        <v>1183.2</v>
      </c>
      <c r="BI18" s="22"/>
      <c r="BJ18" s="226">
        <v>192.7</v>
      </c>
      <c r="BK18" s="226"/>
      <c r="BL18" s="579"/>
      <c r="BM18" s="114">
        <f t="shared" si="6"/>
        <v>4</v>
      </c>
      <c r="BN18" s="17">
        <v>43846</v>
      </c>
      <c r="BO18" s="22"/>
      <c r="BP18" s="22">
        <v>1608.9</v>
      </c>
      <c r="BQ18" s="226"/>
      <c r="BR18" s="226">
        <v>186.8</v>
      </c>
      <c r="BS18" s="14"/>
      <c r="BT18" s="862">
        <v>112.5</v>
      </c>
      <c r="BU18" s="863"/>
      <c r="BV18" s="468"/>
      <c r="BW18" s="110"/>
      <c r="BX18" s="16">
        <f t="shared" si="3"/>
        <v>1</v>
      </c>
      <c r="BY18" s="17">
        <v>43878</v>
      </c>
      <c r="BZ18" s="22">
        <v>1135.8</v>
      </c>
      <c r="CA18" s="22"/>
      <c r="CB18" s="226"/>
      <c r="CC18" s="226"/>
      <c r="CD18" s="233">
        <v>160</v>
      </c>
      <c r="CE18" s="862"/>
      <c r="CF18" s="863"/>
      <c r="CG18" s="865"/>
      <c r="CH18" s="114">
        <f t="shared" si="7"/>
        <v>1</v>
      </c>
      <c r="CI18" s="17">
        <v>43906</v>
      </c>
      <c r="CJ18" s="22"/>
      <c r="CK18" s="22">
        <v>983.25</v>
      </c>
      <c r="CL18" s="226"/>
      <c r="CM18" s="226">
        <v>206</v>
      </c>
      <c r="CN18" s="14"/>
      <c r="CO18" s="862"/>
      <c r="CP18" s="863"/>
      <c r="CQ18" s="865"/>
    </row>
    <row r="19" spans="1:95" ht="12.6" customHeight="1">
      <c r="A19" s="110"/>
      <c r="B19" s="4">
        <f t="shared" si="8"/>
        <v>4</v>
      </c>
      <c r="C19" s="3">
        <f t="shared" si="11"/>
        <v>43601</v>
      </c>
      <c r="D19" s="5"/>
      <c r="E19" s="5">
        <v>1387.6</v>
      </c>
      <c r="F19" s="90"/>
      <c r="G19" s="91"/>
      <c r="H19" s="110"/>
      <c r="I19" s="16">
        <f t="shared" si="9"/>
        <v>7</v>
      </c>
      <c r="J19" s="17">
        <v>43632</v>
      </c>
      <c r="K19" s="18">
        <v>994.29</v>
      </c>
      <c r="L19" s="18"/>
      <c r="M19" s="14"/>
      <c r="N19" s="14"/>
      <c r="O19" s="136"/>
      <c r="P19" s="114">
        <f t="shared" si="10"/>
        <v>2</v>
      </c>
      <c r="Q19" s="17">
        <v>43662</v>
      </c>
      <c r="R19" s="18">
        <f>634.7+612.03</f>
        <v>1246.73</v>
      </c>
      <c r="S19" s="18"/>
      <c r="T19" s="14"/>
      <c r="U19" s="14"/>
      <c r="V19" s="116"/>
      <c r="W19" s="12"/>
      <c r="X19" s="12"/>
      <c r="Y19" s="12"/>
      <c r="Z19" s="1"/>
      <c r="AA19" s="111"/>
      <c r="AB19" s="110"/>
      <c r="AC19" s="16">
        <f t="shared" si="4"/>
        <v>5</v>
      </c>
      <c r="AD19" s="17">
        <v>43693</v>
      </c>
      <c r="AE19" s="18"/>
      <c r="AF19" s="18"/>
      <c r="AG19" s="14"/>
      <c r="AH19" s="14">
        <v>1478.5</v>
      </c>
      <c r="AI19" s="136">
        <v>75.900000000000006</v>
      </c>
      <c r="AJ19" s="114">
        <f t="shared" si="0"/>
        <v>2</v>
      </c>
      <c r="AK19" s="17">
        <v>43725</v>
      </c>
      <c r="AL19" s="1138"/>
      <c r="AM19" s="22">
        <v>1298.31</v>
      </c>
      <c r="AN19" s="226"/>
      <c r="AO19" s="116"/>
      <c r="AP19" s="138">
        <f>AP18+AP17</f>
        <v>16150.27</v>
      </c>
      <c r="AQ19" s="114">
        <f t="shared" si="1"/>
        <v>4</v>
      </c>
      <c r="AR19" s="17">
        <v>43755</v>
      </c>
      <c r="AS19" s="237"/>
      <c r="AT19" s="22">
        <v>1366.5</v>
      </c>
      <c r="AU19" s="226"/>
      <c r="AV19" s="1136" t="s">
        <v>145</v>
      </c>
      <c r="AW19" s="114">
        <f t="shared" si="2"/>
        <v>7</v>
      </c>
      <c r="AX19" s="17">
        <v>43786</v>
      </c>
      <c r="AY19" s="22">
        <v>993.1</v>
      </c>
      <c r="AZ19" s="22"/>
      <c r="BA19" s="226"/>
      <c r="BB19" s="226"/>
      <c r="BC19" s="14"/>
      <c r="BD19" s="138"/>
      <c r="BE19" s="110"/>
      <c r="BF19" s="16">
        <f t="shared" si="5"/>
        <v>2</v>
      </c>
      <c r="BG19" s="17">
        <v>43816</v>
      </c>
      <c r="BH19" s="22"/>
      <c r="BI19" s="22">
        <v>1052.57</v>
      </c>
      <c r="BJ19" s="226">
        <v>333.5</v>
      </c>
      <c r="BK19" s="226"/>
      <c r="BL19" s="579"/>
      <c r="BM19" s="114">
        <f t="shared" si="6"/>
        <v>5</v>
      </c>
      <c r="BN19" s="17">
        <v>43847</v>
      </c>
      <c r="BO19" s="22">
        <v>1175.26</v>
      </c>
      <c r="BP19" s="22"/>
      <c r="BQ19" s="226"/>
      <c r="BR19" s="226">
        <v>359.6</v>
      </c>
      <c r="BS19" s="14"/>
      <c r="BT19" s="862">
        <v>174</v>
      </c>
      <c r="BU19" s="863"/>
      <c r="BV19" s="468"/>
      <c r="BW19" s="110"/>
      <c r="BX19" s="16">
        <f t="shared" si="3"/>
        <v>2</v>
      </c>
      <c r="BY19" s="17">
        <v>43879</v>
      </c>
      <c r="BZ19" s="22"/>
      <c r="CA19" s="22">
        <v>711.8</v>
      </c>
      <c r="CB19" s="226">
        <v>279.8</v>
      </c>
      <c r="CC19" s="226"/>
      <c r="CD19" s="14"/>
      <c r="CE19" s="862">
        <v>181.1</v>
      </c>
      <c r="CF19" s="863"/>
      <c r="CG19" s="865"/>
      <c r="CH19" s="114">
        <f t="shared" si="7"/>
        <v>2</v>
      </c>
      <c r="CI19" s="17">
        <v>43907</v>
      </c>
      <c r="CJ19" s="22">
        <v>906.3</v>
      </c>
      <c r="CK19" s="22"/>
      <c r="CL19" s="226"/>
      <c r="CM19" s="226">
        <v>505.2</v>
      </c>
      <c r="CN19" s="226"/>
      <c r="CO19" s="862">
        <v>64.3</v>
      </c>
      <c r="CP19" s="863"/>
      <c r="CQ19" s="865"/>
    </row>
    <row r="20" spans="1:95" ht="12.6" customHeight="1">
      <c r="A20" s="110"/>
      <c r="B20" s="4">
        <f t="shared" si="8"/>
        <v>5</v>
      </c>
      <c r="C20" s="3">
        <f t="shared" si="11"/>
        <v>43602</v>
      </c>
      <c r="D20" s="5">
        <v>1419.21</v>
      </c>
      <c r="E20" s="5"/>
      <c r="F20" s="90"/>
      <c r="G20" s="91"/>
      <c r="H20" s="110"/>
      <c r="I20" s="16">
        <f t="shared" si="9"/>
        <v>1</v>
      </c>
      <c r="J20" s="17">
        <v>43633</v>
      </c>
      <c r="K20" s="18"/>
      <c r="L20" s="18">
        <v>1970.3</v>
      </c>
      <c r="M20" s="14"/>
      <c r="N20" s="14"/>
      <c r="O20" s="136"/>
      <c r="P20" s="114">
        <f t="shared" si="10"/>
        <v>3</v>
      </c>
      <c r="Q20" s="17">
        <v>43663</v>
      </c>
      <c r="R20" s="18">
        <v>1486.6</v>
      </c>
      <c r="S20" s="18"/>
      <c r="T20" s="14"/>
      <c r="U20" s="14"/>
      <c r="V20" s="116"/>
      <c r="W20" s="12"/>
      <c r="X20" s="12"/>
      <c r="Y20" s="12"/>
      <c r="Z20" s="1"/>
      <c r="AA20" s="111"/>
      <c r="AB20" s="110"/>
      <c r="AC20" s="16">
        <f t="shared" si="4"/>
        <v>6</v>
      </c>
      <c r="AD20" s="17">
        <v>43694</v>
      </c>
      <c r="AE20" s="18">
        <v>1064.92</v>
      </c>
      <c r="AF20" s="18"/>
      <c r="AG20" s="14"/>
      <c r="AH20" s="14"/>
      <c r="AI20" s="136">
        <v>8</v>
      </c>
      <c r="AJ20" s="114">
        <f t="shared" si="0"/>
        <v>3</v>
      </c>
      <c r="AK20" s="17">
        <v>43726</v>
      </c>
      <c r="AL20" s="1138"/>
      <c r="AM20" s="22"/>
      <c r="AN20" s="22">
        <v>1026.1400000000001</v>
      </c>
      <c r="AO20" s="116"/>
      <c r="AP20" s="138"/>
      <c r="AQ20" s="114">
        <f t="shared" si="1"/>
        <v>5</v>
      </c>
      <c r="AR20" s="17">
        <v>43756</v>
      </c>
      <c r="AS20" s="237"/>
      <c r="AT20" s="22"/>
      <c r="AU20" s="22">
        <v>1412.13</v>
      </c>
      <c r="AV20" s="1136"/>
      <c r="AW20" s="114">
        <f t="shared" si="2"/>
        <v>1</v>
      </c>
      <c r="AX20" s="17">
        <v>43787</v>
      </c>
      <c r="AY20" s="22"/>
      <c r="AZ20" s="22">
        <v>1409.25</v>
      </c>
      <c r="BA20" s="226"/>
      <c r="BB20" s="226"/>
      <c r="BC20" s="14"/>
      <c r="BD20" s="138"/>
      <c r="BE20" s="110"/>
      <c r="BF20" s="16">
        <f t="shared" si="5"/>
        <v>3</v>
      </c>
      <c r="BG20" s="17">
        <v>43817</v>
      </c>
      <c r="BH20" s="22"/>
      <c r="BI20" s="22">
        <v>789.1</v>
      </c>
      <c r="BJ20" s="226"/>
      <c r="BK20" s="226">
        <v>139.4</v>
      </c>
      <c r="BL20" s="579"/>
      <c r="BM20" s="114">
        <f t="shared" si="6"/>
        <v>6</v>
      </c>
      <c r="BN20" s="17">
        <v>43848</v>
      </c>
      <c r="BO20" s="22">
        <v>1137.2</v>
      </c>
      <c r="BP20" s="22"/>
      <c r="BQ20" s="226">
        <v>507.8</v>
      </c>
      <c r="BR20" s="226"/>
      <c r="BS20" s="14"/>
      <c r="BT20" s="862">
        <v>341.8</v>
      </c>
      <c r="BU20" s="863"/>
      <c r="BV20" s="468"/>
      <c r="BW20" s="582"/>
      <c r="BX20" s="459">
        <f t="shared" si="3"/>
        <v>3</v>
      </c>
      <c r="BY20" s="17">
        <v>43880</v>
      </c>
      <c r="BZ20" s="22"/>
      <c r="CA20" s="22">
        <v>1393.2</v>
      </c>
      <c r="CB20" s="226">
        <v>148</v>
      </c>
      <c r="CC20" s="226"/>
      <c r="CD20" s="22"/>
      <c r="CE20" s="466">
        <v>198.7</v>
      </c>
      <c r="CF20" s="468"/>
      <c r="CG20" s="865"/>
      <c r="CH20" s="114">
        <f t="shared" si="7"/>
        <v>3</v>
      </c>
      <c r="CI20" s="17">
        <v>43908</v>
      </c>
      <c r="CJ20" s="22">
        <v>2235.1</v>
      </c>
      <c r="CK20" s="22"/>
      <c r="CL20" s="226"/>
      <c r="CM20" s="226">
        <v>271.10000000000002</v>
      </c>
      <c r="CN20" s="14"/>
      <c r="CO20" s="862">
        <v>124.2</v>
      </c>
      <c r="CP20" s="863"/>
      <c r="CQ20" s="865"/>
    </row>
    <row r="21" spans="1:95" ht="12.6" customHeight="1">
      <c r="A21" s="110"/>
      <c r="B21" s="4">
        <f t="shared" si="8"/>
        <v>6</v>
      </c>
      <c r="C21" s="3">
        <f t="shared" si="11"/>
        <v>43603</v>
      </c>
      <c r="D21" s="5">
        <v>1242.0899999999999</v>
      </c>
      <c r="E21" s="5"/>
      <c r="F21" s="90"/>
      <c r="G21" s="91"/>
      <c r="H21" s="110"/>
      <c r="I21" s="16">
        <f t="shared" si="9"/>
        <v>2</v>
      </c>
      <c r="J21" s="17">
        <v>43634</v>
      </c>
      <c r="K21" s="18"/>
      <c r="L21" s="18">
        <v>1280</v>
      </c>
      <c r="M21" s="14"/>
      <c r="N21" s="14"/>
      <c r="O21" s="136"/>
      <c r="P21" s="114">
        <f t="shared" si="10"/>
        <v>4</v>
      </c>
      <c r="Q21" s="17">
        <v>43664</v>
      </c>
      <c r="R21" s="18"/>
      <c r="S21" s="18">
        <f>810+382.8+200</f>
        <v>1392.8</v>
      </c>
      <c r="T21" s="14"/>
      <c r="U21" s="14"/>
      <c r="V21" s="116"/>
      <c r="W21" s="12"/>
      <c r="X21" s="12"/>
      <c r="Y21" s="12"/>
      <c r="Z21" s="1"/>
      <c r="AA21" s="111"/>
      <c r="AB21" s="110"/>
      <c r="AC21" s="16">
        <f t="shared" si="4"/>
        <v>7</v>
      </c>
      <c r="AD21" s="17">
        <v>43695</v>
      </c>
      <c r="AE21" s="18">
        <v>1150.92</v>
      </c>
      <c r="AF21" s="18"/>
      <c r="AG21" s="14"/>
      <c r="AH21" s="14"/>
      <c r="AI21" s="136">
        <v>135</v>
      </c>
      <c r="AJ21" s="114">
        <f t="shared" si="0"/>
        <v>4</v>
      </c>
      <c r="AK21" s="17">
        <v>43727</v>
      </c>
      <c r="AL21" s="1138"/>
      <c r="AM21" s="22"/>
      <c r="AN21" s="226">
        <v>543.4</v>
      </c>
      <c r="AO21" s="75"/>
      <c r="AP21" s="138"/>
      <c r="AQ21" s="114">
        <f t="shared" si="1"/>
        <v>6</v>
      </c>
      <c r="AR21" s="17">
        <v>43757</v>
      </c>
      <c r="AS21" s="22"/>
      <c r="AT21" s="22">
        <v>983.85</v>
      </c>
      <c r="AU21" s="226"/>
      <c r="AV21" s="1136"/>
      <c r="AW21" s="114">
        <f t="shared" si="2"/>
        <v>2</v>
      </c>
      <c r="AX21" s="17">
        <v>43788</v>
      </c>
      <c r="AY21" s="22"/>
      <c r="AZ21" s="22">
        <v>838.9</v>
      </c>
      <c r="BA21" s="226"/>
      <c r="BB21" s="226"/>
      <c r="BC21" s="18"/>
      <c r="BD21" s="138"/>
      <c r="BE21" s="580" t="s">
        <v>223</v>
      </c>
      <c r="BF21" s="457">
        <f t="shared" si="5"/>
        <v>4</v>
      </c>
      <c r="BG21" s="458">
        <v>43818</v>
      </c>
      <c r="BH21" s="23">
        <v>1490.25</v>
      </c>
      <c r="BI21" s="22"/>
      <c r="BJ21" s="226"/>
      <c r="BK21" s="226">
        <v>332</v>
      </c>
      <c r="BL21" s="581"/>
      <c r="BM21" s="866">
        <f t="shared" si="6"/>
        <v>7</v>
      </c>
      <c r="BN21" s="17">
        <v>43849</v>
      </c>
      <c r="BO21" s="22"/>
      <c r="BP21" s="22">
        <v>1144.5</v>
      </c>
      <c r="BQ21" s="226"/>
      <c r="BR21" s="226">
        <v>412.1</v>
      </c>
      <c r="BS21" s="22"/>
      <c r="BT21" s="466">
        <v>162.1</v>
      </c>
      <c r="BU21" s="468"/>
      <c r="BV21" s="468"/>
      <c r="BW21" s="406"/>
      <c r="BX21" s="459">
        <f t="shared" si="3"/>
        <v>4</v>
      </c>
      <c r="BY21" s="17">
        <v>43881</v>
      </c>
      <c r="BZ21" s="22">
        <v>994.55</v>
      </c>
      <c r="CA21" s="22"/>
      <c r="CB21" s="226"/>
      <c r="CC21" s="226">
        <v>326.5</v>
      </c>
      <c r="CD21" s="226"/>
      <c r="CE21" s="466">
        <v>113.45</v>
      </c>
      <c r="CF21" s="468"/>
      <c r="CG21" s="867"/>
      <c r="CH21" s="866">
        <f t="shared" si="7"/>
        <v>4</v>
      </c>
      <c r="CI21" s="17">
        <v>43909</v>
      </c>
      <c r="CJ21" s="22"/>
      <c r="CK21" s="22">
        <v>1433.5</v>
      </c>
      <c r="CL21" s="226">
        <v>779.5</v>
      </c>
      <c r="CM21" s="226"/>
      <c r="CN21" s="22"/>
      <c r="CO21" s="466">
        <v>126.3</v>
      </c>
      <c r="CP21" s="468"/>
      <c r="CQ21" s="865"/>
    </row>
    <row r="22" spans="1:95" ht="12.6" customHeight="1">
      <c r="A22" s="110"/>
      <c r="B22" s="4">
        <f t="shared" si="8"/>
        <v>7</v>
      </c>
      <c r="C22" s="3">
        <f t="shared" si="11"/>
        <v>43604</v>
      </c>
      <c r="D22" s="5"/>
      <c r="E22" s="5">
        <v>1440.1</v>
      </c>
      <c r="F22" s="90"/>
      <c r="G22" s="91"/>
      <c r="H22" s="147"/>
      <c r="I22" s="16">
        <f t="shared" si="9"/>
        <v>3</v>
      </c>
      <c r="J22" s="17">
        <v>43635</v>
      </c>
      <c r="K22" s="22">
        <v>1357.53</v>
      </c>
      <c r="L22" s="22"/>
      <c r="M22" s="14"/>
      <c r="N22" s="14"/>
      <c r="O22" s="440"/>
      <c r="P22" s="114">
        <f t="shared" si="10"/>
        <v>5</v>
      </c>
      <c r="Q22" s="17">
        <v>43665</v>
      </c>
      <c r="R22" s="22"/>
      <c r="S22" s="22">
        <v>852.9</v>
      </c>
      <c r="T22" s="18"/>
      <c r="U22" s="14">
        <v>506.5</v>
      </c>
      <c r="V22" s="75"/>
      <c r="W22" s="12"/>
      <c r="X22" s="12"/>
      <c r="Y22" s="12"/>
      <c r="Z22" s="1"/>
      <c r="AA22" s="111"/>
      <c r="AB22" s="110"/>
      <c r="AC22" s="16">
        <f t="shared" si="4"/>
        <v>1</v>
      </c>
      <c r="AD22" s="17">
        <v>43696</v>
      </c>
      <c r="AE22" s="22"/>
      <c r="AF22" s="22"/>
      <c r="AG22" s="18"/>
      <c r="AH22" s="14">
        <v>842.25</v>
      </c>
      <c r="AI22" s="231">
        <v>0</v>
      </c>
      <c r="AJ22" s="114">
        <f t="shared" si="0"/>
        <v>5</v>
      </c>
      <c r="AK22" s="17">
        <v>43728</v>
      </c>
      <c r="AL22" s="1138"/>
      <c r="AM22" s="22">
        <v>1251.95</v>
      </c>
      <c r="AN22" s="226"/>
      <c r="AO22" s="116"/>
      <c r="AP22" s="138"/>
      <c r="AQ22" s="114">
        <f t="shared" si="1"/>
        <v>7</v>
      </c>
      <c r="AR22" s="17">
        <v>43758</v>
      </c>
      <c r="AS22" s="22">
        <f>799.6+578.5</f>
        <v>1378.1</v>
      </c>
      <c r="AT22" s="22"/>
      <c r="AU22" s="226"/>
      <c r="AV22" s="1136"/>
      <c r="AW22" s="114">
        <f t="shared" si="2"/>
        <v>3</v>
      </c>
      <c r="AX22" s="17">
        <v>43789</v>
      </c>
      <c r="AY22" s="22">
        <v>788</v>
      </c>
      <c r="AZ22" s="22"/>
      <c r="BA22" s="226"/>
      <c r="BB22" s="226"/>
      <c r="BC22" s="14"/>
      <c r="BD22" s="138"/>
      <c r="BE22" s="406"/>
      <c r="BF22" s="459">
        <f t="shared" si="5"/>
        <v>5</v>
      </c>
      <c r="BG22" s="460">
        <v>43819</v>
      </c>
      <c r="BH22" s="22">
        <v>1045.3</v>
      </c>
      <c r="BI22" s="22"/>
      <c r="BJ22" s="226"/>
      <c r="BK22" s="226">
        <v>249.5</v>
      </c>
      <c r="BL22" s="579"/>
      <c r="BM22" s="866">
        <f t="shared" si="6"/>
        <v>1</v>
      </c>
      <c r="BN22" s="17">
        <v>43850</v>
      </c>
      <c r="BO22" s="22"/>
      <c r="BP22" s="22">
        <v>675.4</v>
      </c>
      <c r="BQ22" s="226"/>
      <c r="BR22" s="226">
        <v>203.3</v>
      </c>
      <c r="BS22" s="226"/>
      <c r="BT22" s="466"/>
      <c r="BU22" s="468"/>
      <c r="BV22" s="468"/>
      <c r="BW22" s="406"/>
      <c r="BX22" s="459">
        <f>IF(BY22="","",WEEKDAY(BY22,2))</f>
        <v>5</v>
      </c>
      <c r="BY22" s="17">
        <v>43882</v>
      </c>
      <c r="BZ22" s="22">
        <v>987.85</v>
      </c>
      <c r="CA22" s="22"/>
      <c r="CB22" s="226"/>
      <c r="CC22" s="226">
        <v>256.10000000000002</v>
      </c>
      <c r="CD22" s="226"/>
      <c r="CE22" s="466">
        <v>141.65</v>
      </c>
      <c r="CF22" s="468"/>
      <c r="CG22" s="865"/>
      <c r="CH22" s="866">
        <f t="shared" si="7"/>
        <v>5</v>
      </c>
      <c r="CI22" s="17">
        <v>43910</v>
      </c>
      <c r="CJ22" s="22"/>
      <c r="CK22" s="22">
        <v>1610.65</v>
      </c>
      <c r="CL22" s="226">
        <v>682</v>
      </c>
      <c r="CM22" s="226"/>
      <c r="CN22" s="226"/>
      <c r="CO22" s="466">
        <v>71.75</v>
      </c>
      <c r="CP22" s="468"/>
      <c r="CQ22" s="865"/>
    </row>
    <row r="23" spans="1:95" ht="12.6" customHeight="1">
      <c r="A23" s="110"/>
      <c r="B23" s="4">
        <f t="shared" si="8"/>
        <v>1</v>
      </c>
      <c r="C23" s="3">
        <f t="shared" si="11"/>
        <v>43605</v>
      </c>
      <c r="D23" s="5"/>
      <c r="E23" s="5">
        <v>1466.2</v>
      </c>
      <c r="F23" s="90"/>
      <c r="G23" s="91"/>
      <c r="H23" s="110"/>
      <c r="I23" s="16">
        <f t="shared" si="9"/>
        <v>4</v>
      </c>
      <c r="J23" s="17">
        <v>43636</v>
      </c>
      <c r="K23" s="22">
        <v>1199.25</v>
      </c>
      <c r="L23" s="22"/>
      <c r="M23" s="14"/>
      <c r="N23" s="14"/>
      <c r="O23" s="136"/>
      <c r="P23" s="114">
        <f t="shared" si="10"/>
        <v>6</v>
      </c>
      <c r="Q23" s="17">
        <v>43666</v>
      </c>
      <c r="R23" s="22">
        <v>1072.8900000000001</v>
      </c>
      <c r="S23" s="22"/>
      <c r="T23" s="14"/>
      <c r="U23" s="14"/>
      <c r="V23" s="116"/>
      <c r="W23" s="12"/>
      <c r="X23" s="12"/>
      <c r="Y23" s="12"/>
      <c r="Z23" s="1"/>
      <c r="AA23" s="111"/>
      <c r="AB23" s="110"/>
      <c r="AC23" s="16">
        <f t="shared" si="4"/>
        <v>2</v>
      </c>
      <c r="AD23" s="17">
        <v>43697</v>
      </c>
      <c r="AE23" s="22"/>
      <c r="AF23" s="22"/>
      <c r="AG23" s="14"/>
      <c r="AH23" s="14">
        <v>1294.0999999999999</v>
      </c>
      <c r="AI23" s="136">
        <v>31</v>
      </c>
      <c r="AJ23" s="114">
        <f t="shared" si="0"/>
        <v>6</v>
      </c>
      <c r="AK23" s="17">
        <v>43729</v>
      </c>
      <c r="AL23" s="1138"/>
      <c r="AM23" s="22">
        <v>1206.8</v>
      </c>
      <c r="AN23" s="226"/>
      <c r="AO23" s="116"/>
      <c r="AP23" s="138"/>
      <c r="AQ23" s="114">
        <f t="shared" si="1"/>
        <v>1</v>
      </c>
      <c r="AR23" s="17">
        <v>43759</v>
      </c>
      <c r="AS23" s="237">
        <v>1023.1</v>
      </c>
      <c r="AT23" s="22"/>
      <c r="AU23" s="226"/>
      <c r="AV23" s="1136"/>
      <c r="AW23" s="114">
        <f t="shared" si="2"/>
        <v>4</v>
      </c>
      <c r="AX23" s="17">
        <v>43790</v>
      </c>
      <c r="AY23" s="22">
        <f>1000+432</f>
        <v>1432</v>
      </c>
      <c r="AZ23" s="22"/>
      <c r="BA23" s="226">
        <v>597.5</v>
      </c>
      <c r="BB23" s="550"/>
      <c r="BC23" s="14"/>
      <c r="BD23" s="138"/>
      <c r="BE23" s="406"/>
      <c r="BF23" s="459">
        <f>IF(BG23="","",WEEKDAY(BG23,2))</f>
        <v>6</v>
      </c>
      <c r="BG23" s="460">
        <v>43820</v>
      </c>
      <c r="BH23" s="22"/>
      <c r="BI23" s="22">
        <v>927.6</v>
      </c>
      <c r="BJ23" s="226">
        <v>507.1</v>
      </c>
      <c r="BK23" s="451"/>
      <c r="BL23" s="579"/>
      <c r="BM23" s="866">
        <f>IF(BN23="","",WEEKDAY(BN23,2))</f>
        <v>2</v>
      </c>
      <c r="BN23" s="17">
        <v>43851</v>
      </c>
      <c r="BO23" s="22">
        <v>868.86</v>
      </c>
      <c r="BP23" s="22"/>
      <c r="BQ23" s="226"/>
      <c r="BR23" s="226">
        <v>569.32000000000005</v>
      </c>
      <c r="BS23" s="226"/>
      <c r="BT23" s="466">
        <v>148.19999999999999</v>
      </c>
      <c r="BU23" s="468"/>
      <c r="BV23" s="468"/>
      <c r="BW23" s="406"/>
      <c r="BX23" s="459">
        <f t="shared" si="3"/>
        <v>6</v>
      </c>
      <c r="BY23" s="17">
        <v>43883</v>
      </c>
      <c r="BZ23" s="22"/>
      <c r="CA23" s="22">
        <v>930.6</v>
      </c>
      <c r="CB23" s="226">
        <v>281.10000000000002</v>
      </c>
      <c r="CC23" s="226"/>
      <c r="CD23" s="475"/>
      <c r="CE23" s="466">
        <v>42.15</v>
      </c>
      <c r="CF23" s="468"/>
      <c r="CG23" s="865"/>
      <c r="CH23" s="866">
        <f>IF(CI23="","",WEEKDAY(CI23,2))</f>
        <v>6</v>
      </c>
      <c r="CI23" s="17">
        <v>43911</v>
      </c>
      <c r="CJ23" s="22">
        <v>1427.1</v>
      </c>
      <c r="CK23" s="22"/>
      <c r="CL23" s="226"/>
      <c r="CM23" s="226">
        <v>630.20000000000005</v>
      </c>
      <c r="CN23" s="226"/>
      <c r="CO23" s="466">
        <v>83.5</v>
      </c>
      <c r="CP23" s="468"/>
      <c r="CQ23" s="865"/>
    </row>
    <row r="24" spans="1:95" ht="12.6" customHeight="1">
      <c r="A24" s="110"/>
      <c r="B24" s="4">
        <f t="shared" si="8"/>
        <v>2</v>
      </c>
      <c r="C24" s="3">
        <f t="shared" si="11"/>
        <v>43606</v>
      </c>
      <c r="D24" s="5">
        <v>1133.2</v>
      </c>
      <c r="E24" s="5"/>
      <c r="F24" s="90"/>
      <c r="G24" s="91"/>
      <c r="H24" s="110"/>
      <c r="I24" s="16">
        <f t="shared" si="9"/>
        <v>5</v>
      </c>
      <c r="J24" s="17">
        <v>43637</v>
      </c>
      <c r="K24" s="22"/>
      <c r="L24" s="22">
        <v>1427</v>
      </c>
      <c r="M24" s="14"/>
      <c r="N24" s="14"/>
      <c r="O24" s="136"/>
      <c r="P24" s="114">
        <f t="shared" si="10"/>
        <v>7</v>
      </c>
      <c r="Q24" s="17">
        <v>43667</v>
      </c>
      <c r="R24" s="22">
        <v>1244.8699999999999</v>
      </c>
      <c r="S24" s="22"/>
      <c r="T24" s="14"/>
      <c r="U24" s="14"/>
      <c r="V24" s="116"/>
      <c r="W24" s="12"/>
      <c r="X24" s="12"/>
      <c r="Y24" s="12"/>
      <c r="Z24" s="1"/>
      <c r="AA24" s="111"/>
      <c r="AB24" s="110"/>
      <c r="AC24" s="16">
        <f t="shared" si="4"/>
        <v>3</v>
      </c>
      <c r="AD24" s="17">
        <v>43698</v>
      </c>
      <c r="AE24" s="22">
        <v>1502.4</v>
      </c>
      <c r="AF24" s="22"/>
      <c r="AG24" s="14"/>
      <c r="AH24" s="14"/>
      <c r="AI24" s="136">
        <v>198.6</v>
      </c>
      <c r="AJ24" s="117">
        <f t="shared" si="0"/>
        <v>7</v>
      </c>
      <c r="AK24" s="17">
        <v>43730</v>
      </c>
      <c r="AL24" s="1138"/>
      <c r="AM24" s="228">
        <v>1555.3</v>
      </c>
      <c r="AN24" s="229"/>
      <c r="AO24" s="116"/>
      <c r="AP24" s="138"/>
      <c r="AQ24" s="117">
        <f t="shared" si="1"/>
        <v>2</v>
      </c>
      <c r="AR24" s="17">
        <v>43760</v>
      </c>
      <c r="AS24" s="237"/>
      <c r="AT24" s="228">
        <v>1620.9</v>
      </c>
      <c r="AU24" s="229"/>
      <c r="AV24" s="1136"/>
      <c r="AW24" s="117">
        <f t="shared" si="2"/>
        <v>5</v>
      </c>
      <c r="AX24" s="17">
        <v>43791</v>
      </c>
      <c r="AY24" s="22"/>
      <c r="AZ24" s="22">
        <v>1130.45</v>
      </c>
      <c r="BA24" s="226"/>
      <c r="BB24" s="226">
        <v>137.49</v>
      </c>
      <c r="BC24" s="14"/>
      <c r="BD24" s="138"/>
      <c r="BE24" s="406"/>
      <c r="BF24" s="459">
        <f t="shared" si="5"/>
        <v>7</v>
      </c>
      <c r="BG24" s="460">
        <v>43821</v>
      </c>
      <c r="BH24" s="22"/>
      <c r="BI24" s="22">
        <v>1124.3</v>
      </c>
      <c r="BJ24" s="226">
        <v>262.60000000000002</v>
      </c>
      <c r="BK24" s="226"/>
      <c r="BL24" s="122"/>
      <c r="BM24" s="866">
        <f t="shared" si="6"/>
        <v>3</v>
      </c>
      <c r="BN24" s="17">
        <v>43852</v>
      </c>
      <c r="BO24" s="22">
        <v>1207.5999999999999</v>
      </c>
      <c r="BP24" s="22"/>
      <c r="BQ24" s="226">
        <v>94.05</v>
      </c>
      <c r="BR24" s="226"/>
      <c r="BS24" s="475"/>
      <c r="BT24" s="466">
        <v>115.4</v>
      </c>
      <c r="BU24" s="468"/>
      <c r="BV24" s="466"/>
      <c r="BW24" s="406"/>
      <c r="BX24" s="459">
        <f t="shared" si="3"/>
        <v>7</v>
      </c>
      <c r="BY24" s="17">
        <v>43884</v>
      </c>
      <c r="BZ24" s="22"/>
      <c r="CA24" s="22">
        <v>695.42</v>
      </c>
      <c r="CB24" s="226"/>
      <c r="CC24" s="226">
        <v>298.2</v>
      </c>
      <c r="CD24" s="226"/>
      <c r="CE24" s="466">
        <v>25.5</v>
      </c>
      <c r="CF24" s="468"/>
      <c r="CG24" s="865"/>
      <c r="CH24" s="866">
        <f t="shared" si="7"/>
        <v>7</v>
      </c>
      <c r="CI24" s="17">
        <v>43912</v>
      </c>
      <c r="CJ24" s="22">
        <f>913.4+8</f>
        <v>921.4</v>
      </c>
      <c r="CK24" s="22"/>
      <c r="CL24" s="226"/>
      <c r="CM24" s="226">
        <v>429.5</v>
      </c>
      <c r="CN24" s="475"/>
      <c r="CO24" s="466">
        <v>102.2</v>
      </c>
      <c r="CP24" s="468"/>
      <c r="CQ24" s="865"/>
    </row>
    <row r="25" spans="1:95" ht="12.6" customHeight="1">
      <c r="A25" s="110"/>
      <c r="B25" s="4">
        <f t="shared" si="8"/>
        <v>3</v>
      </c>
      <c r="C25" s="3">
        <f t="shared" si="11"/>
        <v>43607</v>
      </c>
      <c r="D25" s="5">
        <v>1025.9000000000001</v>
      </c>
      <c r="E25" s="5"/>
      <c r="F25" s="90"/>
      <c r="G25" s="91"/>
      <c r="H25" s="110"/>
      <c r="I25" s="16">
        <f t="shared" si="9"/>
        <v>6</v>
      </c>
      <c r="J25" s="17">
        <v>43638</v>
      </c>
      <c r="K25" s="18"/>
      <c r="L25" s="23">
        <v>1282.7</v>
      </c>
      <c r="M25" s="14"/>
      <c r="N25" s="14"/>
      <c r="O25" s="136"/>
      <c r="P25" s="114">
        <f t="shared" si="10"/>
        <v>1</v>
      </c>
      <c r="Q25" s="17">
        <v>43668</v>
      </c>
      <c r="R25" s="18"/>
      <c r="S25" s="22">
        <v>917.95</v>
      </c>
      <c r="T25" s="14"/>
      <c r="U25" s="14"/>
      <c r="V25" s="116"/>
      <c r="W25" s="12"/>
      <c r="X25" s="12"/>
      <c r="Y25" s="12"/>
      <c r="Z25" s="1"/>
      <c r="AA25" s="111"/>
      <c r="AB25" s="110"/>
      <c r="AC25" s="16">
        <f t="shared" si="4"/>
        <v>4</v>
      </c>
      <c r="AD25" s="17">
        <v>43699</v>
      </c>
      <c r="AE25" s="18">
        <v>1946.8</v>
      </c>
      <c r="AF25" s="22"/>
      <c r="AG25" s="14"/>
      <c r="AH25" s="14"/>
      <c r="AI25" s="136">
        <v>34.200000000000003</v>
      </c>
      <c r="AJ25" s="114">
        <f t="shared" si="0"/>
        <v>1</v>
      </c>
      <c r="AK25" s="17">
        <v>43731</v>
      </c>
      <c r="AL25" s="269">
        <v>579.22</v>
      </c>
      <c r="AM25" s="270"/>
      <c r="AN25" s="226"/>
      <c r="AO25" s="116"/>
      <c r="AP25" s="390"/>
      <c r="AQ25" s="114">
        <f t="shared" si="1"/>
        <v>3</v>
      </c>
      <c r="AR25" s="17">
        <v>43761</v>
      </c>
      <c r="AS25" s="269"/>
      <c r="AT25" s="270">
        <v>1090</v>
      </c>
      <c r="AU25" s="226"/>
      <c r="AV25" s="1136"/>
      <c r="AW25" s="114">
        <f t="shared" si="2"/>
        <v>6</v>
      </c>
      <c r="AX25" s="17">
        <v>43792</v>
      </c>
      <c r="AY25" s="22"/>
      <c r="AZ25" s="22">
        <v>1145.2</v>
      </c>
      <c r="BA25" s="226"/>
      <c r="BB25" s="226">
        <v>202.15</v>
      </c>
      <c r="BC25" s="14"/>
      <c r="BD25" s="138"/>
      <c r="BE25" s="406"/>
      <c r="BF25" s="459">
        <f t="shared" si="5"/>
        <v>1</v>
      </c>
      <c r="BG25" s="460">
        <v>43822</v>
      </c>
      <c r="BH25" s="22">
        <v>597.4</v>
      </c>
      <c r="BI25" s="22"/>
      <c r="BJ25" s="226">
        <v>122.6</v>
      </c>
      <c r="BK25" s="226"/>
      <c r="BL25" s="579"/>
      <c r="BM25" s="866">
        <f t="shared" si="6"/>
        <v>4</v>
      </c>
      <c r="BN25" s="17">
        <v>43853</v>
      </c>
      <c r="BO25" s="22"/>
      <c r="BP25" s="22">
        <v>924.9</v>
      </c>
      <c r="BQ25" s="226"/>
      <c r="BR25" s="226">
        <v>236</v>
      </c>
      <c r="BS25" s="226"/>
      <c r="BT25" s="466">
        <v>71.900000000000006</v>
      </c>
      <c r="BU25" s="468"/>
      <c r="BV25" s="468"/>
      <c r="BW25" s="406"/>
      <c r="BX25" s="459">
        <f t="shared" si="3"/>
        <v>1</v>
      </c>
      <c r="BY25" s="17">
        <v>43885</v>
      </c>
      <c r="BZ25" s="22"/>
      <c r="CA25" s="22">
        <v>667.1</v>
      </c>
      <c r="CB25" s="226"/>
      <c r="CC25" s="226">
        <v>128.19999999999999</v>
      </c>
      <c r="CD25" s="226"/>
      <c r="CE25" s="466"/>
      <c r="CF25" s="468"/>
      <c r="CG25" s="865"/>
      <c r="CH25" s="866">
        <f t="shared" si="7"/>
        <v>1</v>
      </c>
      <c r="CI25" s="17">
        <v>43913</v>
      </c>
      <c r="CJ25" s="22"/>
      <c r="CK25" s="22">
        <v>1095.2</v>
      </c>
      <c r="CL25" s="226"/>
      <c r="CM25" s="226">
        <v>445.5</v>
      </c>
      <c r="CN25" s="226"/>
      <c r="CO25" s="466"/>
      <c r="CP25" s="468"/>
      <c r="CQ25" s="865"/>
    </row>
    <row r="26" spans="1:95" ht="12.6" customHeight="1">
      <c r="A26" s="110"/>
      <c r="B26" s="4">
        <f t="shared" si="8"/>
        <v>4</v>
      </c>
      <c r="C26" s="3">
        <f t="shared" si="11"/>
        <v>43608</v>
      </c>
      <c r="D26" s="5"/>
      <c r="E26" s="5">
        <v>925.3</v>
      </c>
      <c r="F26" s="90"/>
      <c r="G26" s="91"/>
      <c r="H26" s="110"/>
      <c r="I26" s="16">
        <f t="shared" si="9"/>
        <v>7</v>
      </c>
      <c r="J26" s="17">
        <v>43639</v>
      </c>
      <c r="K26" s="18">
        <v>956.65</v>
      </c>
      <c r="L26" s="18"/>
      <c r="M26" s="14"/>
      <c r="N26" s="14"/>
      <c r="O26" s="136"/>
      <c r="P26" s="114">
        <f t="shared" si="10"/>
        <v>2</v>
      </c>
      <c r="Q26" s="17">
        <v>43669</v>
      </c>
      <c r="R26" s="18"/>
      <c r="S26" s="18">
        <v>1320.9</v>
      </c>
      <c r="T26" s="14"/>
      <c r="U26" s="14"/>
      <c r="V26" s="116"/>
      <c r="W26" s="12"/>
      <c r="X26" s="12"/>
      <c r="Y26" s="12"/>
      <c r="Z26" s="1"/>
      <c r="AA26" s="111"/>
      <c r="AB26" s="110"/>
      <c r="AC26" s="16">
        <f t="shared" si="4"/>
        <v>5</v>
      </c>
      <c r="AD26" s="17">
        <v>43700</v>
      </c>
      <c r="AE26" s="23">
        <v>20</v>
      </c>
      <c r="AF26" s="18"/>
      <c r="AG26" s="14"/>
      <c r="AH26" s="14">
        <v>1047.0999999999999</v>
      </c>
      <c r="AI26" s="136">
        <v>16.399999999999999</v>
      </c>
      <c r="AJ26" s="114">
        <f t="shared" si="0"/>
        <v>2</v>
      </c>
      <c r="AK26" s="17">
        <v>43732</v>
      </c>
      <c r="AL26" s="269">
        <f>1090.05+5</f>
        <v>1095.05</v>
      </c>
      <c r="AM26" s="270"/>
      <c r="AN26" s="226"/>
      <c r="AO26" s="116"/>
      <c r="AP26" s="138"/>
      <c r="AQ26" s="114">
        <f t="shared" si="1"/>
        <v>4</v>
      </c>
      <c r="AR26" s="17">
        <v>43762</v>
      </c>
      <c r="AS26" s="269"/>
      <c r="AT26" s="270">
        <v>1059.0999999999999</v>
      </c>
      <c r="AU26" s="226"/>
      <c r="AV26" s="136"/>
      <c r="AW26" s="114">
        <f t="shared" si="2"/>
        <v>7</v>
      </c>
      <c r="AX26" s="17">
        <v>43793</v>
      </c>
      <c r="AY26" s="22"/>
      <c r="AZ26" s="22">
        <v>1087</v>
      </c>
      <c r="BA26" s="226"/>
      <c r="BB26" s="226">
        <v>192</v>
      </c>
      <c r="BC26" s="14"/>
      <c r="BD26" s="138"/>
      <c r="BE26" s="406"/>
      <c r="BF26" s="459">
        <f t="shared" si="5"/>
        <v>2</v>
      </c>
      <c r="BG26" s="460">
        <v>43823</v>
      </c>
      <c r="BH26" s="22">
        <f>481.2+367.85+5.5</f>
        <v>854.55</v>
      </c>
      <c r="BI26" s="22"/>
      <c r="BJ26" s="226"/>
      <c r="BK26" s="226">
        <v>231.3</v>
      </c>
      <c r="BL26" s="579"/>
      <c r="BM26" s="866">
        <f t="shared" si="6"/>
        <v>5</v>
      </c>
      <c r="BN26" s="17">
        <v>43854</v>
      </c>
      <c r="BO26" s="22"/>
      <c r="BP26" s="22">
        <v>1208.5999999999999</v>
      </c>
      <c r="BQ26" s="226"/>
      <c r="BR26" s="226">
        <v>482.8</v>
      </c>
      <c r="BS26" s="226"/>
      <c r="BT26" s="466">
        <v>78.5</v>
      </c>
      <c r="BU26" s="468"/>
      <c r="BV26" s="468"/>
      <c r="BW26" s="406"/>
      <c r="BX26" s="459">
        <f t="shared" si="3"/>
        <v>2</v>
      </c>
      <c r="BY26" s="17">
        <v>43886</v>
      </c>
      <c r="BZ26" s="22"/>
      <c r="CA26" s="22"/>
      <c r="CB26" s="22">
        <v>785.7</v>
      </c>
      <c r="CC26" s="499">
        <v>213.3</v>
      </c>
      <c r="CD26" s="226"/>
      <c r="CE26" s="466">
        <v>208.45</v>
      </c>
      <c r="CF26" s="468"/>
      <c r="CG26" s="865"/>
      <c r="CH26" s="866">
        <f t="shared" si="7"/>
        <v>2</v>
      </c>
      <c r="CI26" s="17">
        <v>43914</v>
      </c>
      <c r="CJ26" s="22"/>
      <c r="CK26" s="22">
        <v>831.4</v>
      </c>
      <c r="CL26" s="226">
        <v>220.9</v>
      </c>
      <c r="CM26" s="226"/>
      <c r="CN26" s="226"/>
      <c r="CO26" s="466">
        <v>205.6</v>
      </c>
      <c r="CP26" s="468"/>
      <c r="CQ26" s="865"/>
    </row>
    <row r="27" spans="1:95" ht="12.6" customHeight="1">
      <c r="A27" s="110"/>
      <c r="B27" s="4">
        <f t="shared" si="8"/>
        <v>5</v>
      </c>
      <c r="C27" s="3">
        <f t="shared" si="11"/>
        <v>43609</v>
      </c>
      <c r="D27" s="5"/>
      <c r="E27" s="5">
        <v>1083.1500000000001</v>
      </c>
      <c r="F27" s="90"/>
      <c r="G27" s="91"/>
      <c r="H27" s="110"/>
      <c r="I27" s="16">
        <f t="shared" si="9"/>
        <v>1</v>
      </c>
      <c r="J27" s="17">
        <v>43640</v>
      </c>
      <c r="K27" s="18">
        <v>1342.6</v>
      </c>
      <c r="L27" s="18"/>
      <c r="M27" s="14"/>
      <c r="N27" s="14"/>
      <c r="O27" s="136"/>
      <c r="P27" s="114">
        <f t="shared" si="10"/>
        <v>3</v>
      </c>
      <c r="Q27" s="17">
        <v>43670</v>
      </c>
      <c r="R27" s="18">
        <v>938.39</v>
      </c>
      <c r="S27" s="18"/>
      <c r="T27" s="14"/>
      <c r="U27" s="14"/>
      <c r="V27" s="116"/>
      <c r="W27" s="12"/>
      <c r="X27" s="12"/>
      <c r="Y27" s="12"/>
      <c r="Z27" s="1"/>
      <c r="AA27" s="111"/>
      <c r="AB27" s="110"/>
      <c r="AC27" s="16">
        <f t="shared" si="4"/>
        <v>6</v>
      </c>
      <c r="AD27" s="17">
        <v>43701</v>
      </c>
      <c r="AE27" s="18"/>
      <c r="AF27" s="18"/>
      <c r="AG27" s="14"/>
      <c r="AH27" s="14">
        <v>1159</v>
      </c>
      <c r="AI27" s="136">
        <v>40</v>
      </c>
      <c r="AJ27" s="114">
        <f t="shared" si="0"/>
        <v>3</v>
      </c>
      <c r="AK27" s="17">
        <v>43733</v>
      </c>
      <c r="AL27" s="269"/>
      <c r="AM27" s="270">
        <v>861.9</v>
      </c>
      <c r="AN27" s="226"/>
      <c r="AO27" s="116"/>
      <c r="AP27" s="138"/>
      <c r="AQ27" s="114">
        <f t="shared" si="1"/>
        <v>5</v>
      </c>
      <c r="AR27" s="17">
        <v>43763</v>
      </c>
      <c r="AS27" s="269">
        <v>874.8</v>
      </c>
      <c r="AT27" s="270"/>
      <c r="AU27" s="226"/>
      <c r="AV27" s="136"/>
      <c r="AW27" s="114">
        <f t="shared" si="2"/>
        <v>1</v>
      </c>
      <c r="AX27" s="17">
        <v>43794</v>
      </c>
      <c r="AY27" s="22">
        <v>825.87</v>
      </c>
      <c r="AZ27" s="22"/>
      <c r="BA27" s="226">
        <v>164.6</v>
      </c>
      <c r="BB27" s="550"/>
      <c r="BC27" s="14"/>
      <c r="BD27" s="138"/>
      <c r="BE27" s="406"/>
      <c r="BF27" s="459">
        <f t="shared" si="5"/>
        <v>3</v>
      </c>
      <c r="BG27" s="460">
        <v>43824</v>
      </c>
      <c r="BH27" s="22"/>
      <c r="BI27" s="22">
        <v>1863.2</v>
      </c>
      <c r="BJ27" s="226"/>
      <c r="BK27" s="307">
        <v>457.1</v>
      </c>
      <c r="BL27" s="579"/>
      <c r="BM27" s="866">
        <f t="shared" si="6"/>
        <v>6</v>
      </c>
      <c r="BN27" s="17">
        <v>43855</v>
      </c>
      <c r="BO27" s="22">
        <v>1211</v>
      </c>
      <c r="BP27" s="22"/>
      <c r="BQ27" s="226">
        <v>544.5</v>
      </c>
      <c r="BR27" s="477"/>
      <c r="BS27" s="226"/>
      <c r="BT27" s="466">
        <v>104.3</v>
      </c>
      <c r="BU27" s="468"/>
      <c r="BV27" s="468"/>
      <c r="BW27" s="406"/>
      <c r="BX27" s="459">
        <f t="shared" si="3"/>
        <v>3</v>
      </c>
      <c r="BY27" s="17">
        <v>43887</v>
      </c>
      <c r="BZ27" s="22"/>
      <c r="CA27" s="22">
        <v>1096.75</v>
      </c>
      <c r="CB27" s="226">
        <v>207</v>
      </c>
      <c r="CC27" s="1061"/>
      <c r="CD27" s="226"/>
      <c r="CE27" s="466">
        <v>103.1</v>
      </c>
      <c r="CF27" s="468"/>
      <c r="CG27" s="865"/>
      <c r="CH27" s="866">
        <f t="shared" si="7"/>
        <v>3</v>
      </c>
      <c r="CI27" s="17">
        <v>43915</v>
      </c>
      <c r="CJ27" s="22">
        <v>698.2</v>
      </c>
      <c r="CK27" s="22"/>
      <c r="CL27" s="22">
        <v>528</v>
      </c>
      <c r="CM27" s="499"/>
      <c r="CN27" s="226"/>
      <c r="CO27" s="466">
        <v>127.3</v>
      </c>
      <c r="CP27" s="468"/>
      <c r="CQ27" s="865"/>
    </row>
    <row r="28" spans="1:95" ht="12.6" customHeight="1">
      <c r="A28" s="110"/>
      <c r="B28" s="4">
        <f t="shared" si="8"/>
        <v>6</v>
      </c>
      <c r="C28" s="3">
        <f t="shared" si="11"/>
        <v>43610</v>
      </c>
      <c r="D28" s="5">
        <v>1197.3499999999999</v>
      </c>
      <c r="E28" s="5"/>
      <c r="F28" s="90"/>
      <c r="G28" s="91"/>
      <c r="H28" s="110"/>
      <c r="I28" s="16">
        <f t="shared" si="9"/>
        <v>2</v>
      </c>
      <c r="J28" s="17">
        <v>43641</v>
      </c>
      <c r="K28" s="18"/>
      <c r="L28" s="18">
        <v>1412.95</v>
      </c>
      <c r="M28" s="14"/>
      <c r="N28" s="14"/>
      <c r="O28" s="136"/>
      <c r="P28" s="114">
        <f t="shared" si="10"/>
        <v>4</v>
      </c>
      <c r="Q28" s="17">
        <v>43671</v>
      </c>
      <c r="R28" s="18">
        <v>1206.46</v>
      </c>
      <c r="S28" s="18"/>
      <c r="T28" s="14"/>
      <c r="U28" s="14"/>
      <c r="V28" s="116"/>
      <c r="W28" s="12"/>
      <c r="X28" s="12"/>
      <c r="Y28" s="12"/>
      <c r="Z28" s="1"/>
      <c r="AA28" s="111"/>
      <c r="AB28" s="110"/>
      <c r="AC28" s="16">
        <f t="shared" si="4"/>
        <v>7</v>
      </c>
      <c r="AD28" s="17">
        <v>43702</v>
      </c>
      <c r="AE28" s="18">
        <v>1398.5</v>
      </c>
      <c r="AF28" s="18"/>
      <c r="AG28" s="14"/>
      <c r="AH28" s="14"/>
      <c r="AI28" s="136">
        <v>36</v>
      </c>
      <c r="AJ28" s="114">
        <f t="shared" si="0"/>
        <v>4</v>
      </c>
      <c r="AK28" s="17">
        <v>43734</v>
      </c>
      <c r="AL28" s="269"/>
      <c r="AM28" s="270">
        <v>761.1</v>
      </c>
      <c r="AN28" s="22"/>
      <c r="AO28" s="391" t="s">
        <v>144</v>
      </c>
      <c r="AP28" s="138"/>
      <c r="AQ28" s="114">
        <f t="shared" si="1"/>
        <v>6</v>
      </c>
      <c r="AR28" s="17">
        <v>43764</v>
      </c>
      <c r="AS28" s="22">
        <v>1710.4</v>
      </c>
      <c r="AT28" s="22"/>
      <c r="AU28" s="22"/>
      <c r="AV28" s="595" t="s">
        <v>144</v>
      </c>
      <c r="AW28" s="114">
        <f t="shared" si="2"/>
        <v>2</v>
      </c>
      <c r="AX28" s="17">
        <v>43795</v>
      </c>
      <c r="AY28" s="22">
        <v>904.9</v>
      </c>
      <c r="AZ28" s="22"/>
      <c r="BA28" s="226">
        <v>148.30000000000001</v>
      </c>
      <c r="BB28" s="550"/>
      <c r="BC28" s="226"/>
      <c r="BD28" s="138"/>
      <c r="BE28" s="406"/>
      <c r="BF28" s="459">
        <f t="shared" si="5"/>
        <v>4</v>
      </c>
      <c r="BG28" s="460">
        <v>43825</v>
      </c>
      <c r="BH28" s="22"/>
      <c r="BI28" s="22">
        <v>887</v>
      </c>
      <c r="BJ28" s="226">
        <v>479.8</v>
      </c>
      <c r="BK28" s="550"/>
      <c r="BL28" s="576"/>
      <c r="BM28" s="866">
        <f t="shared" si="6"/>
        <v>7</v>
      </c>
      <c r="BN28" s="17">
        <v>43856</v>
      </c>
      <c r="BO28" s="22">
        <v>1538.9</v>
      </c>
      <c r="BP28" s="22"/>
      <c r="BQ28" s="226">
        <v>457.85</v>
      </c>
      <c r="BR28" s="478"/>
      <c r="BS28" s="226"/>
      <c r="BT28" s="466">
        <v>319.2</v>
      </c>
      <c r="BU28" s="468"/>
      <c r="BV28" s="468"/>
      <c r="BW28" s="582"/>
      <c r="BX28" s="459">
        <f t="shared" si="3"/>
        <v>4</v>
      </c>
      <c r="BY28" s="17">
        <v>43888</v>
      </c>
      <c r="BZ28" s="22"/>
      <c r="CA28" s="22">
        <v>726.31</v>
      </c>
      <c r="CB28" s="226">
        <v>326.5</v>
      </c>
      <c r="CC28" s="226"/>
      <c r="CD28" s="226"/>
      <c r="CE28" s="466">
        <v>173.9</v>
      </c>
      <c r="CF28" s="468"/>
      <c r="CG28" s="865"/>
      <c r="CH28" s="866">
        <f t="shared" si="7"/>
        <v>4</v>
      </c>
      <c r="CI28" s="17">
        <v>43916</v>
      </c>
      <c r="CJ28" s="22">
        <v>1128.5999999999999</v>
      </c>
      <c r="CK28" s="22"/>
      <c r="CL28" s="226"/>
      <c r="CM28" s="226">
        <v>509.81</v>
      </c>
      <c r="CN28" s="226"/>
      <c r="CO28" s="466">
        <v>115</v>
      </c>
      <c r="CP28" s="468"/>
      <c r="CQ28" s="865"/>
    </row>
    <row r="29" spans="1:95" ht="12.6" customHeight="1">
      <c r="A29" s="110"/>
      <c r="B29" s="4">
        <f t="shared" si="8"/>
        <v>7</v>
      </c>
      <c r="C29" s="3">
        <f t="shared" si="11"/>
        <v>43611</v>
      </c>
      <c r="D29" s="5">
        <v>995.48</v>
      </c>
      <c r="E29" s="5"/>
      <c r="F29" s="90"/>
      <c r="G29" s="91"/>
      <c r="H29" s="110"/>
      <c r="I29" s="16">
        <f t="shared" si="9"/>
        <v>3</v>
      </c>
      <c r="J29" s="17">
        <v>43642</v>
      </c>
      <c r="K29" s="18"/>
      <c r="L29" s="18">
        <v>1331.7</v>
      </c>
      <c r="M29" s="14"/>
      <c r="N29" s="14"/>
      <c r="O29" s="136"/>
      <c r="P29" s="114">
        <f t="shared" si="10"/>
        <v>5</v>
      </c>
      <c r="Q29" s="17">
        <v>43672</v>
      </c>
      <c r="R29" s="18"/>
      <c r="S29" s="18">
        <v>1176.4000000000001</v>
      </c>
      <c r="T29" s="14"/>
      <c r="U29" s="14"/>
      <c r="V29" s="75"/>
      <c r="W29" s="12"/>
      <c r="X29" s="12"/>
      <c r="Y29" s="12"/>
      <c r="Z29" s="1"/>
      <c r="AA29" s="111"/>
      <c r="AB29" s="110"/>
      <c r="AC29" s="16">
        <f t="shared" si="4"/>
        <v>1</v>
      </c>
      <c r="AD29" s="17">
        <v>43703</v>
      </c>
      <c r="AE29" s="18">
        <v>1378.3</v>
      </c>
      <c r="AF29" s="18"/>
      <c r="AG29" s="14"/>
      <c r="AH29" s="14"/>
      <c r="AI29" s="136">
        <v>69.5</v>
      </c>
      <c r="AJ29" s="114">
        <f t="shared" si="0"/>
        <v>5</v>
      </c>
      <c r="AK29" s="17">
        <v>43735</v>
      </c>
      <c r="AL29" s="269">
        <v>657.65</v>
      </c>
      <c r="AM29" s="269"/>
      <c r="AN29" s="237"/>
      <c r="AO29" s="392" t="s">
        <v>142</v>
      </c>
      <c r="AP29" s="1141" t="s">
        <v>145</v>
      </c>
      <c r="AQ29" s="114">
        <f t="shared" si="1"/>
        <v>7</v>
      </c>
      <c r="AR29" s="17">
        <v>43765</v>
      </c>
      <c r="AS29" s="22"/>
      <c r="AT29" s="22">
        <v>1203</v>
      </c>
      <c r="AU29" s="22"/>
      <c r="AV29" s="593" t="s">
        <v>142</v>
      </c>
      <c r="AW29" s="114">
        <f t="shared" si="2"/>
        <v>3</v>
      </c>
      <c r="AX29" s="17">
        <v>43796</v>
      </c>
      <c r="AY29" s="22"/>
      <c r="AZ29" s="22">
        <v>809.7</v>
      </c>
      <c r="BA29" s="226">
        <v>171</v>
      </c>
      <c r="BB29" s="550"/>
      <c r="BC29" s="226"/>
      <c r="BD29" s="138"/>
      <c r="BE29" s="582" t="s">
        <v>223</v>
      </c>
      <c r="BF29" s="459">
        <f t="shared" si="5"/>
        <v>5</v>
      </c>
      <c r="BG29" s="460">
        <v>43826</v>
      </c>
      <c r="BH29" s="22">
        <v>1666.05</v>
      </c>
      <c r="BI29" s="22"/>
      <c r="BJ29" s="226">
        <v>268.64</v>
      </c>
      <c r="BK29" s="559"/>
      <c r="BL29" s="576"/>
      <c r="BM29" s="866">
        <f t="shared" si="6"/>
        <v>1</v>
      </c>
      <c r="BN29" s="17">
        <v>43857</v>
      </c>
      <c r="BO29" s="22"/>
      <c r="BP29" s="22">
        <v>905.6</v>
      </c>
      <c r="BQ29" s="226"/>
      <c r="BR29" s="226">
        <v>328.8</v>
      </c>
      <c r="BS29" s="226"/>
      <c r="BT29" s="466"/>
      <c r="BU29" s="468"/>
      <c r="BV29" s="468"/>
      <c r="BW29" s="406"/>
      <c r="BX29" s="459">
        <f t="shared" si="3"/>
        <v>5</v>
      </c>
      <c r="BY29" s="17">
        <v>43889</v>
      </c>
      <c r="BZ29" s="22">
        <v>1409</v>
      </c>
      <c r="CA29" s="22"/>
      <c r="CB29" s="226"/>
      <c r="CC29" s="226">
        <v>710.4</v>
      </c>
      <c r="CD29" s="226"/>
      <c r="CE29" s="466">
        <v>88.5</v>
      </c>
      <c r="CF29" s="468"/>
      <c r="CG29" s="865"/>
      <c r="CH29" s="866">
        <f t="shared" si="7"/>
        <v>5</v>
      </c>
      <c r="CI29" s="17">
        <v>43917</v>
      </c>
      <c r="CJ29" s="22"/>
      <c r="CK29" s="22">
        <v>996</v>
      </c>
      <c r="CL29" s="226"/>
      <c r="CM29" s="226">
        <v>296.64999999999998</v>
      </c>
      <c r="CN29" s="226"/>
      <c r="CO29" s="466">
        <v>75</v>
      </c>
      <c r="CP29" s="468"/>
      <c r="CQ29" s="865"/>
    </row>
    <row r="30" spans="1:95" ht="12.6" customHeight="1">
      <c r="A30" s="110"/>
      <c r="B30" s="4">
        <f t="shared" si="8"/>
        <v>1</v>
      </c>
      <c r="C30" s="3">
        <f t="shared" si="11"/>
        <v>43612</v>
      </c>
      <c r="D30" s="5"/>
      <c r="E30" s="5">
        <v>1224.3</v>
      </c>
      <c r="F30" s="90"/>
      <c r="G30" s="91"/>
      <c r="H30" s="110"/>
      <c r="I30" s="16">
        <f t="shared" si="9"/>
        <v>4</v>
      </c>
      <c r="J30" s="17">
        <v>43643</v>
      </c>
      <c r="K30" s="18">
        <v>1078.4100000000001</v>
      </c>
      <c r="L30" s="18"/>
      <c r="M30" s="14"/>
      <c r="N30" s="14"/>
      <c r="O30" s="136"/>
      <c r="P30" s="114">
        <f t="shared" si="10"/>
        <v>6</v>
      </c>
      <c r="Q30" s="17">
        <v>43673</v>
      </c>
      <c r="R30" s="18"/>
      <c r="S30" s="18">
        <v>1048.5999999999999</v>
      </c>
      <c r="T30" s="14"/>
      <c r="U30" s="14"/>
      <c r="V30" s="116"/>
      <c r="W30" s="12"/>
      <c r="X30" s="12"/>
      <c r="Y30" s="12"/>
      <c r="Z30" s="1"/>
      <c r="AA30" s="111"/>
      <c r="AB30" s="110"/>
      <c r="AC30" s="16">
        <f t="shared" si="4"/>
        <v>2</v>
      </c>
      <c r="AD30" s="17">
        <v>43704</v>
      </c>
      <c r="AE30" s="18"/>
      <c r="AF30" s="18"/>
      <c r="AG30" s="14"/>
      <c r="AH30" s="14">
        <v>1377.98</v>
      </c>
      <c r="AI30" s="136">
        <v>18</v>
      </c>
      <c r="AJ30" s="114">
        <f t="shared" si="0"/>
        <v>6</v>
      </c>
      <c r="AK30" s="17">
        <v>43736</v>
      </c>
      <c r="AL30" s="270">
        <f>720.9+762.84</f>
        <v>1483.74</v>
      </c>
      <c r="AM30" s="270"/>
      <c r="AN30" s="226"/>
      <c r="AO30" s="116"/>
      <c r="AP30" s="1141"/>
      <c r="AQ30" s="114">
        <f t="shared" si="1"/>
        <v>1</v>
      </c>
      <c r="AR30" s="17">
        <v>43766</v>
      </c>
      <c r="AS30" s="270"/>
      <c r="AT30" s="270">
        <v>1136.3</v>
      </c>
      <c r="AU30" s="226"/>
      <c r="AV30" s="136"/>
      <c r="AW30" s="114">
        <f t="shared" si="2"/>
        <v>4</v>
      </c>
      <c r="AX30" s="17">
        <v>43797</v>
      </c>
      <c r="AY30" s="22"/>
      <c r="AZ30" s="22">
        <v>487.5</v>
      </c>
      <c r="BA30" s="226"/>
      <c r="BB30" s="226">
        <v>95</v>
      </c>
      <c r="BC30" s="14"/>
      <c r="BD30" s="138"/>
      <c r="BE30" s="406"/>
      <c r="BF30" s="459">
        <f t="shared" si="5"/>
        <v>6</v>
      </c>
      <c r="BG30" s="460">
        <v>43827</v>
      </c>
      <c r="BH30" s="22">
        <v>1458.6</v>
      </c>
      <c r="BI30" s="22"/>
      <c r="BJ30" s="226"/>
      <c r="BK30" s="226">
        <v>255.6</v>
      </c>
      <c r="BL30" s="576"/>
      <c r="BM30" s="866">
        <f t="shared" si="6"/>
        <v>2</v>
      </c>
      <c r="BN30" s="17">
        <v>43858</v>
      </c>
      <c r="BO30" s="22"/>
      <c r="BP30" s="22">
        <v>956.2</v>
      </c>
      <c r="BQ30" s="226"/>
      <c r="BR30" s="226">
        <v>153.5</v>
      </c>
      <c r="BS30" s="226"/>
      <c r="BT30" s="466">
        <v>58.6</v>
      </c>
      <c r="BU30" s="468"/>
      <c r="BV30" s="468"/>
      <c r="BW30" s="406"/>
      <c r="BX30" s="459">
        <f t="shared" si="3"/>
        <v>6</v>
      </c>
      <c r="BY30" s="17">
        <v>43890</v>
      </c>
      <c r="BZ30" s="22">
        <v>1221.9000000000001</v>
      </c>
      <c r="CA30" s="22"/>
      <c r="CB30" s="226"/>
      <c r="CC30" s="226">
        <v>587</v>
      </c>
      <c r="CD30" s="226"/>
      <c r="CE30" s="466">
        <v>137.19999999999999</v>
      </c>
      <c r="CF30" s="466"/>
      <c r="CG30" s="865"/>
      <c r="CH30" s="866">
        <f t="shared" si="7"/>
        <v>6</v>
      </c>
      <c r="CI30" s="17">
        <v>43918</v>
      </c>
      <c r="CJ30" s="22"/>
      <c r="CK30" s="22">
        <v>932.5</v>
      </c>
      <c r="CL30" s="226"/>
      <c r="CM30" s="226">
        <v>351.5</v>
      </c>
      <c r="CN30" s="226"/>
      <c r="CO30" s="466">
        <v>160.6</v>
      </c>
      <c r="CP30" s="468"/>
      <c r="CQ30" s="867"/>
    </row>
    <row r="31" spans="1:95" ht="12.6" customHeight="1">
      <c r="A31" s="110"/>
      <c r="B31" s="4">
        <f t="shared" si="8"/>
        <v>2</v>
      </c>
      <c r="C31" s="3">
        <f t="shared" si="11"/>
        <v>43613</v>
      </c>
      <c r="D31" s="5"/>
      <c r="E31" s="5">
        <v>1124.4000000000001</v>
      </c>
      <c r="F31" s="90"/>
      <c r="G31" s="91"/>
      <c r="H31" s="110"/>
      <c r="I31" s="16">
        <f t="shared" si="9"/>
        <v>5</v>
      </c>
      <c r="J31" s="17">
        <v>43644</v>
      </c>
      <c r="K31" s="18">
        <v>1478.3</v>
      </c>
      <c r="L31" s="18"/>
      <c r="M31" s="14"/>
      <c r="N31" s="14"/>
      <c r="O31" s="136"/>
      <c r="P31" s="114">
        <f t="shared" si="10"/>
        <v>7</v>
      </c>
      <c r="Q31" s="17">
        <v>43674</v>
      </c>
      <c r="R31" s="18">
        <v>716.7</v>
      </c>
      <c r="S31" s="18"/>
      <c r="T31" s="14"/>
      <c r="U31" s="14"/>
      <c r="V31" s="75"/>
      <c r="W31" s="12"/>
      <c r="X31" s="12"/>
      <c r="Y31" s="12"/>
      <c r="Z31" s="1"/>
      <c r="AA31" s="111"/>
      <c r="AB31" s="110"/>
      <c r="AC31" s="16">
        <f t="shared" si="4"/>
        <v>3</v>
      </c>
      <c r="AD31" s="17">
        <v>43705</v>
      </c>
      <c r="AE31" s="18">
        <v>1688.01</v>
      </c>
      <c r="AF31" s="18"/>
      <c r="AG31" s="14"/>
      <c r="AH31" s="14"/>
      <c r="AI31" s="136">
        <v>55.9</v>
      </c>
      <c r="AJ31" s="114">
        <f t="shared" si="0"/>
        <v>7</v>
      </c>
      <c r="AK31" s="17">
        <v>43737</v>
      </c>
      <c r="AL31" s="270"/>
      <c r="AM31" s="270">
        <v>1596.55</v>
      </c>
      <c r="AN31" s="226"/>
      <c r="AO31" s="116"/>
      <c r="AP31" s="1141"/>
      <c r="AQ31" s="114">
        <f t="shared" si="1"/>
        <v>2</v>
      </c>
      <c r="AR31" s="17">
        <v>43767</v>
      </c>
      <c r="AS31" s="270">
        <v>830.8</v>
      </c>
      <c r="AT31" s="270"/>
      <c r="AU31" s="226"/>
      <c r="AV31" s="136"/>
      <c r="AW31" s="114">
        <f t="shared" si="2"/>
        <v>5</v>
      </c>
      <c r="AX31" s="17">
        <v>43798</v>
      </c>
      <c r="AY31" s="22">
        <v>1186.0999999999999</v>
      </c>
      <c r="AZ31" s="22"/>
      <c r="BA31" s="226"/>
      <c r="BB31" s="226">
        <v>613.26</v>
      </c>
      <c r="BC31" s="14"/>
      <c r="BD31" s="138"/>
      <c r="BE31" s="406"/>
      <c r="BF31" s="459">
        <f t="shared" si="5"/>
        <v>7</v>
      </c>
      <c r="BG31" s="460">
        <v>43828</v>
      </c>
      <c r="BH31" s="22"/>
      <c r="BI31" s="22">
        <v>1030.5</v>
      </c>
      <c r="BJ31" s="226"/>
      <c r="BK31" s="226">
        <v>181.5</v>
      </c>
      <c r="BL31" s="576"/>
      <c r="BM31" s="866">
        <f t="shared" si="6"/>
        <v>3</v>
      </c>
      <c r="BN31" s="17">
        <v>43859</v>
      </c>
      <c r="BO31" s="22">
        <v>1013.65</v>
      </c>
      <c r="BP31" s="22"/>
      <c r="BQ31" s="226">
        <v>192.05</v>
      </c>
      <c r="BR31" s="226"/>
      <c r="BS31" s="226"/>
      <c r="BT31" s="466">
        <v>116.1</v>
      </c>
      <c r="BU31" s="466"/>
      <c r="BV31" s="469"/>
      <c r="BW31" s="582"/>
      <c r="BX31" s="303" t="str">
        <f t="shared" si="3"/>
        <v/>
      </c>
      <c r="BY31" s="115"/>
      <c r="BZ31" s="462"/>
      <c r="CA31" s="462"/>
      <c r="CB31" s="305"/>
      <c r="CC31" s="305"/>
      <c r="CD31" s="462"/>
      <c r="CE31" s="469"/>
      <c r="CF31" s="469"/>
      <c r="CG31" s="868"/>
      <c r="CH31" s="866">
        <f t="shared" si="7"/>
        <v>7</v>
      </c>
      <c r="CI31" s="17">
        <v>43919</v>
      </c>
      <c r="CJ31" s="22">
        <v>495.8</v>
      </c>
      <c r="CK31" s="22"/>
      <c r="CL31" s="226">
        <v>363.1</v>
      </c>
      <c r="CM31" s="226"/>
      <c r="CN31" s="226"/>
      <c r="CO31" s="469">
        <v>107.4</v>
      </c>
      <c r="CP31" s="466"/>
      <c r="CQ31" s="865"/>
    </row>
    <row r="32" spans="1:95" ht="12.6" customHeight="1">
      <c r="A32" s="110"/>
      <c r="B32" s="4">
        <f t="shared" si="8"/>
        <v>3</v>
      </c>
      <c r="C32" s="3">
        <f t="shared" si="11"/>
        <v>43614</v>
      </c>
      <c r="D32" s="5">
        <v>927</v>
      </c>
      <c r="E32" s="5"/>
      <c r="F32" s="90"/>
      <c r="G32" s="91"/>
      <c r="H32" s="110"/>
      <c r="I32" s="16">
        <f t="shared" si="9"/>
        <v>6</v>
      </c>
      <c r="J32" s="17">
        <v>43645</v>
      </c>
      <c r="K32" s="18"/>
      <c r="L32" s="18">
        <v>947.4</v>
      </c>
      <c r="M32" s="14"/>
      <c r="N32" s="14"/>
      <c r="O32" s="231"/>
      <c r="P32" s="114">
        <f t="shared" si="10"/>
        <v>1</v>
      </c>
      <c r="Q32" s="17">
        <v>43675</v>
      </c>
      <c r="R32" s="18">
        <v>1458.34</v>
      </c>
      <c r="S32" s="18"/>
      <c r="T32" s="14"/>
      <c r="U32" s="14"/>
      <c r="V32" s="116"/>
      <c r="W32" s="12"/>
      <c r="X32" s="12"/>
      <c r="Y32" s="12"/>
      <c r="Z32" s="1"/>
      <c r="AA32" s="111"/>
      <c r="AB32" s="110"/>
      <c r="AC32" s="16">
        <f t="shared" si="4"/>
        <v>4</v>
      </c>
      <c r="AD32" s="17">
        <v>43706</v>
      </c>
      <c r="AE32" s="18">
        <v>1373.12</v>
      </c>
      <c r="AF32" s="18"/>
      <c r="AG32" s="14"/>
      <c r="AH32" s="14"/>
      <c r="AI32" s="136"/>
      <c r="AJ32" s="117">
        <f t="shared" si="0"/>
        <v>1</v>
      </c>
      <c r="AK32" s="17">
        <v>43738</v>
      </c>
      <c r="AL32" s="271"/>
      <c r="AM32" s="272">
        <f>619.7+268.4</f>
        <v>888.1</v>
      </c>
      <c r="AN32" s="229"/>
      <c r="AO32" s="116"/>
      <c r="AP32" s="1141"/>
      <c r="AQ32" s="114">
        <f t="shared" si="1"/>
        <v>3</v>
      </c>
      <c r="AR32" s="17">
        <v>43768</v>
      </c>
      <c r="AS32" s="269">
        <v>754.4</v>
      </c>
      <c r="AT32" s="270"/>
      <c r="AU32" s="226"/>
      <c r="AV32" s="136"/>
      <c r="AW32" s="114">
        <f t="shared" si="2"/>
        <v>6</v>
      </c>
      <c r="AX32" s="17">
        <v>43799</v>
      </c>
      <c r="AY32" s="22">
        <v>338.85</v>
      </c>
      <c r="AZ32" s="22"/>
      <c r="BA32" s="226"/>
      <c r="BB32" s="226">
        <v>99.1</v>
      </c>
      <c r="BC32" s="18">
        <f>(501.38+458.5)-AY32</f>
        <v>621.03</v>
      </c>
      <c r="BD32" s="138"/>
      <c r="BE32" s="582" t="s">
        <v>223</v>
      </c>
      <c r="BF32" s="459">
        <f t="shared" si="5"/>
        <v>1</v>
      </c>
      <c r="BG32" s="460">
        <v>43829</v>
      </c>
      <c r="BH32" s="22"/>
      <c r="BI32" s="22">
        <v>1501.3</v>
      </c>
      <c r="BJ32" s="226"/>
      <c r="BK32" s="226">
        <v>417.8</v>
      </c>
      <c r="BL32" s="581"/>
      <c r="BM32" s="866">
        <f t="shared" si="6"/>
        <v>4</v>
      </c>
      <c r="BN32" s="17">
        <v>43860</v>
      </c>
      <c r="BO32" s="22">
        <v>1171.5999999999999</v>
      </c>
      <c r="BP32" s="22"/>
      <c r="BQ32" s="226">
        <v>227.1</v>
      </c>
      <c r="BR32" s="226"/>
      <c r="BS32" s="22"/>
      <c r="BT32" s="469">
        <v>107.31</v>
      </c>
      <c r="BU32" s="469"/>
      <c r="BV32" s="469"/>
      <c r="BW32" s="582"/>
      <c r="BX32" s="303" t="str">
        <f t="shared" si="3"/>
        <v/>
      </c>
      <c r="BY32" s="115"/>
      <c r="BZ32" s="236"/>
      <c r="CA32" s="236"/>
      <c r="CB32" s="305"/>
      <c r="CC32" s="305"/>
      <c r="CD32" s="366"/>
      <c r="CE32" s="469"/>
      <c r="CF32" s="469"/>
      <c r="CG32" s="868"/>
      <c r="CH32" s="866">
        <f t="shared" si="7"/>
        <v>1</v>
      </c>
      <c r="CI32" s="17">
        <v>43920</v>
      </c>
      <c r="CJ32" s="22">
        <v>417.95</v>
      </c>
      <c r="CK32" s="22"/>
      <c r="CL32" s="226">
        <v>165</v>
      </c>
      <c r="CM32" s="226"/>
      <c r="CN32" s="22"/>
      <c r="CO32" s="366"/>
      <c r="CP32" s="469"/>
      <c r="CQ32" s="868"/>
    </row>
    <row r="33" spans="1:95" ht="12.6" customHeight="1" thickBot="1">
      <c r="A33" s="110"/>
      <c r="B33" s="4">
        <f t="shared" si="8"/>
        <v>4</v>
      </c>
      <c r="C33" s="3">
        <f t="shared" si="11"/>
        <v>43615</v>
      </c>
      <c r="D33" s="5">
        <v>885.9</v>
      </c>
      <c r="E33" s="5"/>
      <c r="F33" s="90"/>
      <c r="G33" s="91"/>
      <c r="H33" s="147"/>
      <c r="I33" s="24">
        <f t="shared" si="9"/>
        <v>7</v>
      </c>
      <c r="J33" s="17">
        <v>43646</v>
      </c>
      <c r="K33" s="25"/>
      <c r="L33" s="25">
        <v>626.1</v>
      </c>
      <c r="M33" s="26"/>
      <c r="N33" s="26"/>
      <c r="O33" s="136"/>
      <c r="P33" s="117">
        <f t="shared" si="10"/>
        <v>2</v>
      </c>
      <c r="Q33" s="17">
        <v>43676</v>
      </c>
      <c r="R33" s="25"/>
      <c r="S33" s="25">
        <f>675.95+381.6</f>
        <v>1057.5500000000002</v>
      </c>
      <c r="T33" s="26"/>
      <c r="U33" s="26"/>
      <c r="V33" s="116"/>
      <c r="W33" s="12" t="str">
        <f>IF(R33=0," ",R33)</f>
        <v xml:space="preserve"> </v>
      </c>
      <c r="X33" s="12"/>
      <c r="Y33" s="12" t="str">
        <f>IF(T33=0," ",T33)</f>
        <v xml:space="preserve"> </v>
      </c>
      <c r="Z33" s="1"/>
      <c r="AA33" s="111"/>
      <c r="AB33" s="110"/>
      <c r="AC33" s="24">
        <f t="shared" si="4"/>
        <v>5</v>
      </c>
      <c r="AD33" s="17">
        <v>43707</v>
      </c>
      <c r="AE33" s="18"/>
      <c r="AF33" s="25">
        <v>1143.5999999999999</v>
      </c>
      <c r="AG33" s="26"/>
      <c r="AH33" s="26"/>
      <c r="AI33" s="136"/>
      <c r="AJ33" s="386">
        <f t="shared" si="0"/>
        <v>2</v>
      </c>
      <c r="AK33" s="17">
        <v>43739</v>
      </c>
      <c r="AL33" s="247"/>
      <c r="AM33" s="249"/>
      <c r="AN33" s="250"/>
      <c r="AO33" s="1"/>
      <c r="AP33" s="1141"/>
      <c r="AQ33" s="114">
        <f t="shared" si="1"/>
        <v>4</v>
      </c>
      <c r="AR33" s="17">
        <v>43769</v>
      </c>
      <c r="AS33" s="237"/>
      <c r="AT33" s="237">
        <v>1299.51</v>
      </c>
      <c r="AU33" s="226"/>
      <c r="AV33" s="111"/>
      <c r="AW33" s="532"/>
      <c r="AX33" s="304"/>
      <c r="AY33" s="236"/>
      <c r="AZ33" s="236"/>
      <c r="BA33" s="305"/>
      <c r="BB33" s="305"/>
      <c r="BC33" s="1"/>
      <c r="BD33" s="138"/>
      <c r="BE33" s="582" t="s">
        <v>223</v>
      </c>
      <c r="BF33" s="459">
        <f t="shared" si="5"/>
        <v>2</v>
      </c>
      <c r="BG33" s="460">
        <v>43830</v>
      </c>
      <c r="BH33" s="237">
        <v>984.2</v>
      </c>
      <c r="BI33" s="237"/>
      <c r="BJ33" s="226"/>
      <c r="BK33" s="226"/>
      <c r="BL33" s="583">
        <v>416.41</v>
      </c>
      <c r="BM33" s="866">
        <f t="shared" si="6"/>
        <v>5</v>
      </c>
      <c r="BN33" s="17">
        <v>43861</v>
      </c>
      <c r="BO33" s="237"/>
      <c r="BP33" s="237">
        <v>774.3</v>
      </c>
      <c r="BQ33" s="226"/>
      <c r="BR33" s="226">
        <v>287.8</v>
      </c>
      <c r="BS33" s="768"/>
      <c r="BT33" s="469">
        <v>68.58</v>
      </c>
      <c r="BU33" s="469"/>
      <c r="BV33" s="469"/>
      <c r="BW33" s="110"/>
      <c r="BX33" s="116"/>
      <c r="BY33" s="485" t="s">
        <v>225</v>
      </c>
      <c r="BZ33" s="85">
        <f>COUNT(BZ2:BZ32)</f>
        <v>13</v>
      </c>
      <c r="CA33" s="85">
        <f>COUNT(CA2:CA32)</f>
        <v>15</v>
      </c>
      <c r="CB33" s="85">
        <f>COUNT(CB2:CB32)</f>
        <v>9</v>
      </c>
      <c r="CC33" s="85">
        <f>COUNT(CC2:CC32)</f>
        <v>18</v>
      </c>
      <c r="CD33" s="1"/>
      <c r="CE33" s="469"/>
      <c r="CF33" s="469"/>
      <c r="CG33" s="868"/>
      <c r="CH33" s="866">
        <f t="shared" si="7"/>
        <v>2</v>
      </c>
      <c r="CI33" s="17">
        <v>43921</v>
      </c>
      <c r="CJ33" s="237"/>
      <c r="CK33" s="237">
        <v>690.6</v>
      </c>
      <c r="CL33" s="226"/>
      <c r="CM33" s="226">
        <v>254.7</v>
      </c>
      <c r="CN33" s="1099"/>
      <c r="CO33" s="469">
        <v>337.76</v>
      </c>
      <c r="CP33" s="469"/>
      <c r="CQ33" s="868"/>
    </row>
    <row r="34" spans="1:95" ht="12.6" customHeight="1" thickBot="1">
      <c r="A34" s="110"/>
      <c r="B34" s="4">
        <f t="shared" si="8"/>
        <v>5</v>
      </c>
      <c r="C34" s="3">
        <f t="shared" si="11"/>
        <v>43616</v>
      </c>
      <c r="D34" s="5"/>
      <c r="E34" s="5">
        <v>1239.95</v>
      </c>
      <c r="F34" s="90"/>
      <c r="G34" s="91"/>
      <c r="H34" s="110"/>
      <c r="I34" s="28"/>
      <c r="J34" s="29"/>
      <c r="K34" s="30"/>
      <c r="L34" s="30"/>
      <c r="M34" s="7"/>
      <c r="N34" s="7"/>
      <c r="O34" s="111"/>
      <c r="P34" s="114">
        <f>IF(Q34="","",WEEKDAY(Q34,2))</f>
        <v>3</v>
      </c>
      <c r="Q34" s="17">
        <v>43677</v>
      </c>
      <c r="R34" s="25"/>
      <c r="S34" s="25">
        <v>1629.93</v>
      </c>
      <c r="T34" s="14"/>
      <c r="U34" s="14"/>
      <c r="V34" s="1"/>
      <c r="W34" s="12"/>
      <c r="X34" s="12"/>
      <c r="Y34" s="1"/>
      <c r="Z34" s="1"/>
      <c r="AA34" s="111"/>
      <c r="AB34" s="110"/>
      <c r="AC34" s="16">
        <f t="shared" si="4"/>
        <v>6</v>
      </c>
      <c r="AD34" s="17">
        <v>43708</v>
      </c>
      <c r="AE34" s="18"/>
      <c r="AF34" s="25">
        <v>1410.8</v>
      </c>
      <c r="AG34" s="26"/>
      <c r="AH34" s="26"/>
      <c r="AI34" s="111">
        <f>SUM(AI3:AI33)</f>
        <v>1209.3000000000002</v>
      </c>
      <c r="AJ34" s="118"/>
      <c r="AK34" s="248" t="s">
        <v>3</v>
      </c>
      <c r="AL34" s="248">
        <v>4</v>
      </c>
      <c r="AM34" s="248">
        <f>COUNT(AM3:AM33)</f>
        <v>17</v>
      </c>
      <c r="AN34" s="248">
        <f>COUNT(AN3:AN33)</f>
        <v>5</v>
      </c>
      <c r="AO34" s="1"/>
      <c r="AP34" s="1141"/>
      <c r="AQ34" s="118"/>
      <c r="AR34" s="248" t="s">
        <v>3</v>
      </c>
      <c r="AS34" s="248">
        <f>COUNT(AS3:AS33)</f>
        <v>14</v>
      </c>
      <c r="AT34" s="248">
        <f>COUNT(AT3:AT33)</f>
        <v>14</v>
      </c>
      <c r="AU34" s="248">
        <v>5</v>
      </c>
      <c r="AV34" s="111"/>
      <c r="AW34" s="118"/>
      <c r="AX34" s="85" t="s">
        <v>3</v>
      </c>
      <c r="AY34" s="85">
        <f>COUNT(AY3:AY33)</f>
        <v>14</v>
      </c>
      <c r="AZ34" s="85">
        <f>COUNT(AZ3:AZ33)</f>
        <v>15</v>
      </c>
      <c r="BA34" s="85">
        <f>COUNT(BA3:BA33)</f>
        <v>6</v>
      </c>
      <c r="BB34" s="85">
        <f>COUNT(BB3:BB33)</f>
        <v>6</v>
      </c>
      <c r="BC34" s="1"/>
      <c r="BD34" s="138"/>
      <c r="BE34" s="110"/>
      <c r="BF34" s="116"/>
      <c r="BG34" s="85" t="s">
        <v>225</v>
      </c>
      <c r="BH34" s="85">
        <v>15</v>
      </c>
      <c r="BI34" s="85">
        <f>COUNT(BI3:BI33)</f>
        <v>16</v>
      </c>
      <c r="BJ34" s="85">
        <f>COUNT(BJ3:BJ33)</f>
        <v>14</v>
      </c>
      <c r="BK34" s="85">
        <f>COUNT(BK3:BK33)</f>
        <v>18</v>
      </c>
      <c r="BL34" s="111"/>
      <c r="BM34" s="118"/>
      <c r="BN34" s="485" t="s">
        <v>225</v>
      </c>
      <c r="BO34" s="85">
        <f>COUNT(BO3:BO33)</f>
        <v>15</v>
      </c>
      <c r="BP34" s="85">
        <f>COUNT(BP3:BP33)</f>
        <v>15</v>
      </c>
      <c r="BQ34" s="85">
        <f>COUNT(BQ3:BQ33)</f>
        <v>12</v>
      </c>
      <c r="BR34" s="85">
        <f>COUNT(BR3:BR33)</f>
        <v>18</v>
      </c>
      <c r="BS34" s="1"/>
      <c r="BT34" s="469"/>
      <c r="BU34" s="469"/>
      <c r="BV34" s="1065" t="s">
        <v>219</v>
      </c>
      <c r="BW34" s="110"/>
      <c r="BX34" s="116"/>
      <c r="BY34" s="85" t="s">
        <v>13</v>
      </c>
      <c r="BZ34" s="238">
        <f>SUM(BZ2:BZ32)</f>
        <v>12672.090000000002</v>
      </c>
      <c r="CA34" s="238">
        <f>SUM(CA2:CA32)</f>
        <v>14881.58</v>
      </c>
      <c r="CB34" s="238">
        <f>SUM(CB2:CB32)</f>
        <v>2658.8</v>
      </c>
      <c r="CC34" s="238">
        <f>SUM(CC2:CC32)</f>
        <v>6029.4</v>
      </c>
      <c r="CD34" s="1"/>
      <c r="CE34" s="253" t="s">
        <v>189</v>
      </c>
      <c r="CF34" s="292" t="s">
        <v>190</v>
      </c>
      <c r="CG34" s="452" t="s">
        <v>219</v>
      </c>
      <c r="CH34" s="118"/>
      <c r="CI34" s="546" t="s">
        <v>225</v>
      </c>
      <c r="CJ34" s="248">
        <f>COUNT(CJ3:CJ33)</f>
        <v>15</v>
      </c>
      <c r="CK34" s="248">
        <f>COUNT(CK3:CK33)</f>
        <v>16</v>
      </c>
      <c r="CL34" s="248">
        <f>COUNT(CL3:CL33)</f>
        <v>12</v>
      </c>
      <c r="CM34" s="248">
        <f>COUNT(CM3:CM33)</f>
        <v>19</v>
      </c>
      <c r="CN34" s="1"/>
      <c r="CO34" s="469"/>
      <c r="CP34" s="469"/>
      <c r="CQ34" s="868"/>
    </row>
    <row r="35" spans="1:95" ht="15.75" thickBot="1">
      <c r="A35" s="110"/>
      <c r="B35" s="1"/>
      <c r="C35" s="10" t="s">
        <v>3</v>
      </c>
      <c r="D35" s="10">
        <f>COUNT(D4:D34)</f>
        <v>16</v>
      </c>
      <c r="E35" s="10">
        <f>COUNT(E4:E34)</f>
        <v>15</v>
      </c>
      <c r="F35" s="10">
        <f>COUNT(F4:F34)</f>
        <v>0</v>
      </c>
      <c r="G35" s="10">
        <f>COUNT(G4:G34)</f>
        <v>0</v>
      </c>
      <c r="H35" s="110"/>
      <c r="I35" s="116"/>
      <c r="J35" s="113" t="s">
        <v>3</v>
      </c>
      <c r="K35" s="113">
        <f>COUNT(K4:K34)</f>
        <v>10</v>
      </c>
      <c r="L35" s="113">
        <f>COUNT(L4:L34)</f>
        <v>16</v>
      </c>
      <c r="M35" s="10">
        <f>COUNT(M4:M34)</f>
        <v>4</v>
      </c>
      <c r="N35" s="10">
        <f>COUNT(N4:N34)</f>
        <v>0</v>
      </c>
      <c r="O35" s="111"/>
      <c r="P35" s="118"/>
      <c r="Q35" s="62" t="s">
        <v>3</v>
      </c>
      <c r="R35" s="63">
        <f>COUNT(R4:R34)</f>
        <v>16</v>
      </c>
      <c r="S35" s="64">
        <f>COUNT(S4:S34)</f>
        <v>14</v>
      </c>
      <c r="T35" s="113">
        <f>COUNT(T4:T34)</f>
        <v>0</v>
      </c>
      <c r="U35" s="113">
        <f>COUNT(U4:U34)</f>
        <v>2</v>
      </c>
      <c r="V35" s="1"/>
      <c r="W35" s="12"/>
      <c r="X35" s="5" t="s">
        <v>2</v>
      </c>
      <c r="Y35" s="550" t="s">
        <v>96</v>
      </c>
      <c r="Z35" s="550" t="s">
        <v>73</v>
      </c>
      <c r="AA35" s="119" t="s">
        <v>22</v>
      </c>
      <c r="AB35" s="110"/>
      <c r="AC35" s="116"/>
      <c r="AD35" s="555" t="s">
        <v>3</v>
      </c>
      <c r="AE35" s="556">
        <f>COUNT(AE4:AE34)</f>
        <v>18</v>
      </c>
      <c r="AF35" s="173">
        <f>COUNT(AF4:AF34)</f>
        <v>4</v>
      </c>
      <c r="AG35" s="556">
        <f>COUNT(AG4:AG34)</f>
        <v>0</v>
      </c>
      <c r="AH35" s="557">
        <f>COUNT(AH4:AH34)</f>
        <v>11</v>
      </c>
      <c r="AI35" s="111"/>
      <c r="AJ35" s="118"/>
      <c r="AK35" s="85" t="s">
        <v>143</v>
      </c>
      <c r="AL35" s="85"/>
      <c r="AM35" s="85">
        <v>1</v>
      </c>
      <c r="AN35" s="251">
        <v>1</v>
      </c>
      <c r="AO35" s="253" t="s">
        <v>146</v>
      </c>
      <c r="AP35" s="138"/>
      <c r="AQ35" s="118"/>
      <c r="AR35" s="85" t="s">
        <v>143</v>
      </c>
      <c r="AS35" s="85"/>
      <c r="AT35" s="85"/>
      <c r="AU35" s="251">
        <v>1</v>
      </c>
      <c r="AV35" s="253" t="s">
        <v>146</v>
      </c>
      <c r="AW35" s="118"/>
      <c r="AX35" s="85" t="s">
        <v>143</v>
      </c>
      <c r="AY35" s="85"/>
      <c r="AZ35" s="85">
        <v>1</v>
      </c>
      <c r="BA35" s="85">
        <v>1</v>
      </c>
      <c r="BB35" s="251"/>
      <c r="BC35" s="253" t="s">
        <v>189</v>
      </c>
      <c r="BD35" s="292" t="s">
        <v>190</v>
      </c>
      <c r="BE35" s="110"/>
      <c r="BF35" s="116"/>
      <c r="BG35" s="1119" t="s">
        <v>231</v>
      </c>
      <c r="BH35" s="1120"/>
      <c r="BI35" s="1120"/>
      <c r="BJ35" s="1120"/>
      <c r="BK35" s="1121"/>
      <c r="BL35" s="111"/>
      <c r="BM35" s="118"/>
      <c r="BN35" s="85" t="s">
        <v>13</v>
      </c>
      <c r="BO35" s="238">
        <f>SUM(BO3:BO33)</f>
        <v>15012.880000000001</v>
      </c>
      <c r="BP35" s="238">
        <f>SUM(BP3:BP33)</f>
        <v>13878.52</v>
      </c>
      <c r="BQ35" s="238">
        <f>SUM(BQ3:BQ33)</f>
        <v>3335.8199999999997</v>
      </c>
      <c r="BR35" s="238">
        <f>SUM(BR3:BR33)</f>
        <v>5087.8200000000006</v>
      </c>
      <c r="BS35" s="1"/>
      <c r="BT35" s="109" t="s">
        <v>189</v>
      </c>
      <c r="BU35" s="292" t="s">
        <v>190</v>
      </c>
      <c r="BV35" s="1066">
        <f>SUM(BT3:BT33)</f>
        <v>3192.5899999999997</v>
      </c>
      <c r="BW35" s="110"/>
      <c r="BX35" s="116"/>
      <c r="BY35" s="85" t="s">
        <v>22</v>
      </c>
      <c r="BZ35" s="238">
        <v>11738.09</v>
      </c>
      <c r="CA35" s="238">
        <v>12650.3</v>
      </c>
      <c r="CB35" s="238">
        <v>2431.5</v>
      </c>
      <c r="CC35" s="238">
        <v>5643.5</v>
      </c>
      <c r="CD35" s="1"/>
      <c r="CE35" s="292">
        <f>SUM(BZ2:CA32)+CB26</f>
        <v>28339.369999999995</v>
      </c>
      <c r="CF35" s="292">
        <f>SUM(CB2:CC25)+CD9+CD14+CD18+SUM(CB27:CC30)</f>
        <v>8639.7200000000012</v>
      </c>
      <c r="CG35" s="453">
        <f>SUM(CE2:CE32)</f>
        <v>3335.7799999999997</v>
      </c>
      <c r="CH35" s="118"/>
      <c r="CI35" s="85" t="s">
        <v>13</v>
      </c>
      <c r="CJ35" s="238">
        <f>SUM(CJ3:CJ33)</f>
        <v>14018.550000000001</v>
      </c>
      <c r="CK35" s="238">
        <f>SUM(CK3:CK33)</f>
        <v>14915.35</v>
      </c>
      <c r="CL35" s="238">
        <f>SUM(CL3:CL33)</f>
        <v>4801.6000000000004</v>
      </c>
      <c r="CM35" s="238">
        <f>SUM(CM3:CM33)</f>
        <v>7803.66</v>
      </c>
      <c r="CN35" s="1"/>
      <c r="CO35" s="253" t="s">
        <v>189</v>
      </c>
      <c r="CP35" s="292" t="s">
        <v>190</v>
      </c>
      <c r="CQ35" s="452" t="s">
        <v>219</v>
      </c>
    </row>
    <row r="36" spans="1:95" ht="15.75" thickBot="1">
      <c r="A36" s="110"/>
      <c r="B36" s="1"/>
      <c r="C36" s="10" t="s">
        <v>13</v>
      </c>
      <c r="D36" s="137">
        <f>SUM(D4:D34)</f>
        <v>16255.77</v>
      </c>
      <c r="E36" s="137">
        <f>SUM(E4:E34)</f>
        <v>17136.399999999998</v>
      </c>
      <c r="F36" s="137">
        <f>SUM(F4:F34)</f>
        <v>0</v>
      </c>
      <c r="G36" s="137">
        <f>SUM(G4:G34)</f>
        <v>0</v>
      </c>
      <c r="H36" s="147">
        <f>SUM(D4:F34)</f>
        <v>33392.170000000006</v>
      </c>
      <c r="I36" s="75"/>
      <c r="J36" s="113" t="s">
        <v>13</v>
      </c>
      <c r="K36" s="66">
        <f>SUM(K4:K34)</f>
        <v>12253.07</v>
      </c>
      <c r="L36" s="66">
        <f>SUM(L4:L34)</f>
        <v>16676.25</v>
      </c>
      <c r="M36" s="137">
        <f>SUM(M4:M34)</f>
        <v>3880.58</v>
      </c>
      <c r="N36" s="137">
        <f>SUM(N4:N34)</f>
        <v>0</v>
      </c>
      <c r="O36" s="440">
        <f>SUM(K4:N33)</f>
        <v>32809.9</v>
      </c>
      <c r="P36" s="118"/>
      <c r="Q36" s="65" t="s">
        <v>13</v>
      </c>
      <c r="R36" s="66">
        <f>SUM(R4:R34)</f>
        <v>17915.129999999997</v>
      </c>
      <c r="S36" s="67">
        <f>SUM(S4:S34)</f>
        <v>15812.350000000002</v>
      </c>
      <c r="T36" s="66">
        <f>SUM(T4:T34)</f>
        <v>0</v>
      </c>
      <c r="U36" s="66">
        <f>SUM(U4:U34)</f>
        <v>1532.1</v>
      </c>
      <c r="V36" s="147">
        <f>SUM(R4:U34)</f>
        <v>35259.58</v>
      </c>
      <c r="W36" s="12"/>
      <c r="X36" s="3">
        <v>43648</v>
      </c>
      <c r="Y36" s="550">
        <v>3</v>
      </c>
      <c r="Z36" s="550"/>
      <c r="AA36" s="120"/>
      <c r="AB36" s="110"/>
      <c r="AC36" s="116"/>
      <c r="AD36" s="174" t="s">
        <v>13</v>
      </c>
      <c r="AE36" s="66">
        <f>SUM(AE4:AE34)</f>
        <v>19113.339999999997</v>
      </c>
      <c r="AF36" s="67">
        <f>SUM(AF4:AF34)</f>
        <v>3797</v>
      </c>
      <c r="AG36" s="66">
        <f>SUM(AG4:AG34)</f>
        <v>0</v>
      </c>
      <c r="AH36" s="175">
        <f>SUM(AH4:AH34)</f>
        <v>11779.88</v>
      </c>
      <c r="AI36" s="138">
        <f>SUM(AE4:AH34)</f>
        <v>34690.219999999994</v>
      </c>
      <c r="AJ36" s="118"/>
      <c r="AK36" s="85" t="s">
        <v>13</v>
      </c>
      <c r="AL36" s="238">
        <f>SUM(AL25:AL33)</f>
        <v>3815.66</v>
      </c>
      <c r="AM36" s="238">
        <f>SUM(AM3:AM33)</f>
        <v>18148.759999999998</v>
      </c>
      <c r="AN36" s="252">
        <f>SUM(AN3:AN33)</f>
        <v>4787.8599999999997</v>
      </c>
      <c r="AO36" s="254">
        <f>SUM(AL3:AN32)</f>
        <v>30955.48</v>
      </c>
      <c r="AP36" s="138"/>
      <c r="AQ36" s="118"/>
      <c r="AR36" s="85" t="s">
        <v>13</v>
      </c>
      <c r="AS36" s="238">
        <f>SUM(AS3:AS33)</f>
        <v>14125.789999999997</v>
      </c>
      <c r="AT36" s="238">
        <f>SUM(AT3:AT33)</f>
        <v>13740.66</v>
      </c>
      <c r="AU36" s="238">
        <f>SUM(AU3:AU33)</f>
        <v>3372.99</v>
      </c>
      <c r="AV36" s="292">
        <f>SUM(AS3:AU33)</f>
        <v>31239.439999999995</v>
      </c>
      <c r="AW36" s="118"/>
      <c r="AX36" s="85" t="s">
        <v>13</v>
      </c>
      <c r="AY36" s="238">
        <f>SUM(AY3:AY33)</f>
        <v>13429.570000000002</v>
      </c>
      <c r="AZ36" s="238">
        <f>SUM(AZ3:AZ33)</f>
        <v>13747.990000000002</v>
      </c>
      <c r="BA36" s="238">
        <f>SUM(BA3:BA33)</f>
        <v>2269.8000000000002</v>
      </c>
      <c r="BB36" s="252">
        <f>SUM(BB3:BB33)</f>
        <v>1339</v>
      </c>
      <c r="BC36" s="292">
        <f>SUM(AY3:AZ32)+BA15+BA16+BC32</f>
        <v>28986.99</v>
      </c>
      <c r="BD36" s="292">
        <f>SUM(BA23:BB32)</f>
        <v>2420.3999999999996</v>
      </c>
      <c r="BE36" s="110"/>
      <c r="BF36" s="116"/>
      <c r="BG36" s="1122" t="s">
        <v>232</v>
      </c>
      <c r="BH36" s="1123"/>
      <c r="BI36" s="1123"/>
      <c r="BJ36" s="1123"/>
      <c r="BK36" s="1124"/>
      <c r="BL36" s="111"/>
      <c r="BM36" s="118"/>
      <c r="BN36" s="85" t="s">
        <v>22</v>
      </c>
      <c r="BO36" s="238">
        <v>13958.07</v>
      </c>
      <c r="BP36" s="238">
        <v>12530.45</v>
      </c>
      <c r="BQ36" s="238">
        <v>3196.72</v>
      </c>
      <c r="BR36" s="238">
        <v>4997.92</v>
      </c>
      <c r="BS36" s="1"/>
      <c r="BT36" s="470">
        <f>SUM(BO3:BP33)</f>
        <v>28891.4</v>
      </c>
      <c r="BU36" s="292">
        <f>SUM(BQ3:BR33)</f>
        <v>8423.6400000000012</v>
      </c>
      <c r="BV36" s="363"/>
      <c r="BW36" s="110"/>
      <c r="BX36" s="116"/>
      <c r="BY36" s="85" t="s">
        <v>5</v>
      </c>
      <c r="BZ36" s="88">
        <f>ABS(BZ34-BZ35)</f>
        <v>934.00000000000182</v>
      </c>
      <c r="CA36" s="88">
        <f>ABS(CA34-CA35)</f>
        <v>2231.2800000000007</v>
      </c>
      <c r="CB36" s="88">
        <f>ABS(CB34-CB35)</f>
        <v>227.30000000000018</v>
      </c>
      <c r="CC36" s="88">
        <f>ABS(CC34-CC35)</f>
        <v>385.89999999999964</v>
      </c>
      <c r="CD36" s="1"/>
      <c r="CE36" s="363"/>
      <c r="CF36" s="363"/>
      <c r="CG36" s="869"/>
      <c r="CH36" s="118"/>
      <c r="CI36" s="85" t="s">
        <v>22</v>
      </c>
      <c r="CJ36" s="238">
        <v>12997.44</v>
      </c>
      <c r="CK36" s="238">
        <v>12611.3</v>
      </c>
      <c r="CL36" s="238">
        <v>4587.8</v>
      </c>
      <c r="CM36" s="238">
        <v>7545.26</v>
      </c>
      <c r="CN36" s="12"/>
      <c r="CO36" s="292">
        <f>SUM(CJ3:CK33)</f>
        <v>28933.9</v>
      </c>
      <c r="CP36" s="292">
        <f>SUM(CL3:CM33)</f>
        <v>12605.26</v>
      </c>
      <c r="CQ36" s="453">
        <f>SUM(CO3:CO33)</f>
        <v>3793.8100000000004</v>
      </c>
    </row>
    <row r="37" spans="1:95" ht="19.5">
      <c r="A37" s="110"/>
      <c r="B37" s="1"/>
      <c r="C37" s="10" t="s">
        <v>4</v>
      </c>
      <c r="D37" s="10">
        <v>15814.87</v>
      </c>
      <c r="E37" s="10">
        <v>15679.25</v>
      </c>
      <c r="F37" s="10"/>
      <c r="G37" s="10"/>
      <c r="H37" s="110"/>
      <c r="I37" s="116"/>
      <c r="J37" s="113" t="s">
        <v>22</v>
      </c>
      <c r="K37" s="66">
        <v>11684.77</v>
      </c>
      <c r="L37" s="66">
        <v>14949.4</v>
      </c>
      <c r="M37" s="10"/>
      <c r="N37" s="10"/>
      <c r="O37" s="111"/>
      <c r="P37" s="118"/>
      <c r="Q37" s="65" t="s">
        <v>22</v>
      </c>
      <c r="R37" s="66">
        <v>17231.86</v>
      </c>
      <c r="S37" s="67">
        <v>14644.26</v>
      </c>
      <c r="T37" s="113"/>
      <c r="U37" s="113">
        <v>1447.4</v>
      </c>
      <c r="V37" s="12"/>
      <c r="W37" s="12"/>
      <c r="X37" s="3">
        <v>43649</v>
      </c>
      <c r="Y37" s="550">
        <v>3</v>
      </c>
      <c r="Z37" s="550"/>
      <c r="AA37" s="120"/>
      <c r="AB37" s="110"/>
      <c r="AC37" s="116"/>
      <c r="AD37" s="174" t="s">
        <v>22</v>
      </c>
      <c r="AE37" s="66">
        <v>19184.04</v>
      </c>
      <c r="AF37" s="67">
        <v>3422.9</v>
      </c>
      <c r="AG37" s="113"/>
      <c r="AH37" s="175">
        <v>10358.68</v>
      </c>
      <c r="AI37" s="138"/>
      <c r="AJ37" s="118"/>
      <c r="AK37" s="85" t="s">
        <v>22</v>
      </c>
      <c r="AL37" s="238">
        <f>3315.16+16</f>
        <v>3331.16</v>
      </c>
      <c r="AM37" s="238">
        <v>15758.81</v>
      </c>
      <c r="AN37" s="238">
        <v>4370.82</v>
      </c>
      <c r="AO37" s="12"/>
      <c r="AP37" s="138"/>
      <c r="AQ37" s="118"/>
      <c r="AR37" s="85" t="s">
        <v>22</v>
      </c>
      <c r="AS37" s="238">
        <v>11831.39</v>
      </c>
      <c r="AT37" s="238">
        <v>12143.31</v>
      </c>
      <c r="AU37" s="238">
        <v>2674.84</v>
      </c>
      <c r="AV37" s="138"/>
      <c r="AW37" s="118"/>
      <c r="AX37" s="85" t="s">
        <v>22</v>
      </c>
      <c r="AY37" s="238">
        <v>10499.12</v>
      </c>
      <c r="AZ37" s="238">
        <v>10580.94</v>
      </c>
      <c r="BA37" s="238">
        <v>1901.5</v>
      </c>
      <c r="BB37" s="238">
        <v>681.74</v>
      </c>
      <c r="BC37" s="12"/>
      <c r="BD37" s="138"/>
      <c r="BE37" s="110"/>
      <c r="BF37" s="116"/>
      <c r="BG37" s="1127" t="s">
        <v>230</v>
      </c>
      <c r="BH37" s="1128"/>
      <c r="BI37" s="1128"/>
      <c r="BJ37" s="1128"/>
      <c r="BK37" s="1129"/>
      <c r="BL37" s="111"/>
      <c r="BM37" s="118"/>
      <c r="BN37" s="85" t="s">
        <v>5</v>
      </c>
      <c r="BO37" s="88">
        <f>ABS(BO35-BO36)</f>
        <v>1054.8100000000013</v>
      </c>
      <c r="BP37" s="88">
        <f>ABS(BP35-BP36)</f>
        <v>1348.0699999999997</v>
      </c>
      <c r="BQ37" s="88">
        <f>ABS(BQ35-BQ36)</f>
        <v>139.09999999999991</v>
      </c>
      <c r="BR37" s="88">
        <f>ABS(BR35-BR36)</f>
        <v>89.900000000000546</v>
      </c>
      <c r="BS37" s="1"/>
      <c r="BT37" s="363"/>
      <c r="BU37" s="363"/>
      <c r="BV37" s="363"/>
      <c r="BW37" s="110"/>
      <c r="BX37" s="116"/>
      <c r="BY37" s="485" t="s">
        <v>233</v>
      </c>
      <c r="BZ37" s="89">
        <f>ROUND(BZ36*1%,2)</f>
        <v>9.34</v>
      </c>
      <c r="CA37" s="89">
        <f>ROUND(CA36*1%,2)</f>
        <v>22.31</v>
      </c>
      <c r="CB37" s="89">
        <f>ROUND(CB36*1%,2)</f>
        <v>2.27</v>
      </c>
      <c r="CC37" s="89">
        <f>ROUND(CC36*1%,2)</f>
        <v>3.86</v>
      </c>
      <c r="CD37" s="1"/>
      <c r="CE37" s="363"/>
      <c r="CF37" s="363"/>
      <c r="CG37" s="869"/>
      <c r="CH37" s="118"/>
      <c r="CI37" s="85" t="s">
        <v>5</v>
      </c>
      <c r="CJ37" s="88">
        <f>ABS(CJ35-CJ36)</f>
        <v>1021.1100000000006</v>
      </c>
      <c r="CK37" s="88">
        <f>ABS(CK35-CK36)</f>
        <v>2304.0500000000011</v>
      </c>
      <c r="CL37" s="88">
        <f>ABS(CL35-CL36)</f>
        <v>213.80000000000018</v>
      </c>
      <c r="CM37" s="88">
        <f>ABS(CM35-CM36)</f>
        <v>258.39999999999964</v>
      </c>
      <c r="CN37" s="1"/>
      <c r="CO37" s="363" t="s">
        <v>305</v>
      </c>
      <c r="CP37" s="363" t="s">
        <v>305</v>
      </c>
      <c r="CQ37" s="869"/>
    </row>
    <row r="38" spans="1:95" ht="19.5" outlineLevel="1">
      <c r="A38" s="110"/>
      <c r="B38" s="1"/>
      <c r="C38" s="10" t="s">
        <v>5</v>
      </c>
      <c r="D38" s="139">
        <f>D36-D37</f>
        <v>440.89999999999964</v>
      </c>
      <c r="E38" s="139">
        <f>E36-E37</f>
        <v>1457.1499999999978</v>
      </c>
      <c r="F38" s="141">
        <f>F36-F37</f>
        <v>0</v>
      </c>
      <c r="G38" s="141">
        <f>G36-G37</f>
        <v>0</v>
      </c>
      <c r="H38" s="110"/>
      <c r="I38" s="116"/>
      <c r="J38" s="113" t="s">
        <v>5</v>
      </c>
      <c r="K38" s="68">
        <f>K36-K37</f>
        <v>568.29999999999927</v>
      </c>
      <c r="L38" s="68">
        <f>L36-L37</f>
        <v>1726.8500000000004</v>
      </c>
      <c r="M38" s="139">
        <f>ABS(M36-M37)</f>
        <v>3880.58</v>
      </c>
      <c r="N38" s="139">
        <f>ABS(N36-N37)</f>
        <v>0</v>
      </c>
      <c r="O38" s="111"/>
      <c r="P38" s="118"/>
      <c r="Q38" s="65" t="s">
        <v>5</v>
      </c>
      <c r="R38" s="68">
        <f>R36-R37</f>
        <v>683.2699999999968</v>
      </c>
      <c r="S38" s="69">
        <f>S36-S37</f>
        <v>1168.090000000002</v>
      </c>
      <c r="T38" s="68">
        <f>ABS(T36-T37)</f>
        <v>0</v>
      </c>
      <c r="U38" s="68">
        <f>ABS(U36-U37)</f>
        <v>84.699999999999818</v>
      </c>
      <c r="V38" s="1"/>
      <c r="W38" s="1"/>
      <c r="X38" s="3">
        <v>43650</v>
      </c>
      <c r="Y38" s="550">
        <v>2.5</v>
      </c>
      <c r="Z38" s="550"/>
      <c r="AA38" s="120"/>
      <c r="AB38" s="110"/>
      <c r="AC38" s="116"/>
      <c r="AD38" s="174" t="s">
        <v>5</v>
      </c>
      <c r="AE38" s="68">
        <f>AE36-AE37</f>
        <v>-70.700000000004366</v>
      </c>
      <c r="AF38" s="69">
        <f>AF36-AF37</f>
        <v>374.09999999999991</v>
      </c>
      <c r="AG38" s="68">
        <f>ABS(AG36-AG37)</f>
        <v>0</v>
      </c>
      <c r="AH38" s="176">
        <f>ABS(AH36-AH37)</f>
        <v>1421.1999999999989</v>
      </c>
      <c r="AI38" s="111"/>
      <c r="AJ38" s="123"/>
      <c r="AK38" s="85" t="s">
        <v>5</v>
      </c>
      <c r="AL38" s="88">
        <f>AL36-AL37</f>
        <v>484.5</v>
      </c>
      <c r="AM38" s="88">
        <f>AM36-AM37</f>
        <v>2389.9499999999989</v>
      </c>
      <c r="AN38" s="88">
        <f>ABS(AN36-AN37)</f>
        <v>417.03999999999996</v>
      </c>
      <c r="AO38" s="1"/>
      <c r="AP38" s="111"/>
      <c r="AQ38" s="123"/>
      <c r="AR38" s="85" t="s">
        <v>5</v>
      </c>
      <c r="AS38" s="88">
        <f>AS36-AS37</f>
        <v>2294.3999999999978</v>
      </c>
      <c r="AT38" s="88">
        <f>AT36-AT37</f>
        <v>1597.3500000000004</v>
      </c>
      <c r="AU38" s="88">
        <f>ABS(AU36-AU37)</f>
        <v>698.14999999999964</v>
      </c>
      <c r="AV38" s="111"/>
      <c r="AW38" s="123"/>
      <c r="AX38" s="85" t="s">
        <v>5</v>
      </c>
      <c r="AY38" s="88">
        <f>AY36-AY37</f>
        <v>2930.4500000000007</v>
      </c>
      <c r="AZ38" s="88">
        <f>AZ36-AZ37</f>
        <v>3167.0500000000011</v>
      </c>
      <c r="BA38" s="88">
        <f>ABS(BA36-BA37)</f>
        <v>368.30000000000018</v>
      </c>
      <c r="BB38" s="88">
        <f>ABS(BB36-BB37)</f>
        <v>657.26</v>
      </c>
      <c r="BC38" s="1"/>
      <c r="BD38" s="111"/>
      <c r="BE38" s="110"/>
      <c r="BF38" s="116"/>
      <c r="BG38" s="85" t="s">
        <v>13</v>
      </c>
      <c r="BH38" s="238">
        <f>SUM(BH3:BH33)</f>
        <v>15031.999999999998</v>
      </c>
      <c r="BI38" s="238">
        <f>SUM(BI3:BI33)</f>
        <v>15745.989999999998</v>
      </c>
      <c r="BJ38" s="238">
        <f>SUM(BJ3:BJ33)</f>
        <v>3136.83</v>
      </c>
      <c r="BK38" s="238">
        <f>SUM(BK3:BK33)</f>
        <v>4076.4500000000007</v>
      </c>
      <c r="BL38" s="111"/>
      <c r="BM38" s="118"/>
      <c r="BN38" s="485" t="s">
        <v>233</v>
      </c>
      <c r="BO38" s="89">
        <f>ROUND(BO37*1%,2)</f>
        <v>10.55</v>
      </c>
      <c r="BP38" s="89">
        <f>ROUND(BP37*1%,2)</f>
        <v>13.48</v>
      </c>
      <c r="BQ38" s="89">
        <f>ROUND(BQ37*1%,2)</f>
        <v>1.39</v>
      </c>
      <c r="BR38" s="471">
        <f>ROUND(BR37*1%,2)</f>
        <v>0.9</v>
      </c>
      <c r="BS38" s="1"/>
      <c r="BT38" s="363"/>
      <c r="BU38" s="363"/>
      <c r="BV38" s="366"/>
      <c r="BW38" s="110"/>
      <c r="BX38" s="116"/>
      <c r="BY38" s="485" t="s">
        <v>234</v>
      </c>
      <c r="BZ38" s="89">
        <f>ROUND(3%*BZ35,2)</f>
        <v>352.14</v>
      </c>
      <c r="CA38" s="89">
        <f>ROUND(3%*CA35,2)</f>
        <v>379.51</v>
      </c>
      <c r="CB38" s="89">
        <f>ROUND(3%*CB35,2)</f>
        <v>72.95</v>
      </c>
      <c r="CC38" s="89">
        <f>ROUND(3%*CC35,2)</f>
        <v>169.31</v>
      </c>
      <c r="CD38" s="1"/>
      <c r="CE38" s="145"/>
      <c r="CF38" s="145"/>
      <c r="CG38" s="405"/>
      <c r="CH38" s="118"/>
      <c r="CI38" s="545" t="s">
        <v>233</v>
      </c>
      <c r="CJ38" s="89">
        <f>ROUND(CJ37*1%,2)</f>
        <v>10.210000000000001</v>
      </c>
      <c r="CK38" s="89">
        <f>ROUND(CK37*1%,2)</f>
        <v>23.04</v>
      </c>
      <c r="CL38" s="89">
        <f>ROUND(CL37*1%,2)</f>
        <v>2.14</v>
      </c>
      <c r="CM38" s="89">
        <f>ROUND(CM37*1%,2)</f>
        <v>2.58</v>
      </c>
      <c r="CN38" s="1"/>
      <c r="CO38" s="363">
        <v>1571.51</v>
      </c>
      <c r="CP38" s="363">
        <v>1081.71</v>
      </c>
      <c r="CQ38" s="869"/>
    </row>
    <row r="39" spans="1:95" ht="19.5" outlineLevel="1">
      <c r="A39" s="110"/>
      <c r="B39" s="1"/>
      <c r="C39" s="10" t="s">
        <v>8</v>
      </c>
      <c r="D39" s="140">
        <f>D38*1%</f>
        <v>4.4089999999999963</v>
      </c>
      <c r="E39" s="140">
        <f>E38*1%</f>
        <v>14.571499999999979</v>
      </c>
      <c r="F39" s="140">
        <f>F38*1%</f>
        <v>0</v>
      </c>
      <c r="G39" s="140">
        <f>G38*1%</f>
        <v>0</v>
      </c>
      <c r="H39" s="110"/>
      <c r="I39" s="116"/>
      <c r="J39" s="113" t="s">
        <v>8</v>
      </c>
      <c r="K39" s="70">
        <f>K38*1%</f>
        <v>5.6829999999999927</v>
      </c>
      <c r="L39" s="70">
        <f>L38*1%</f>
        <v>17.268500000000003</v>
      </c>
      <c r="M39" s="140">
        <f>M38*1%</f>
        <v>38.805799999999998</v>
      </c>
      <c r="N39" s="140">
        <f>N38*1%</f>
        <v>0</v>
      </c>
      <c r="O39" s="138"/>
      <c r="P39" s="118"/>
      <c r="Q39" s="65" t="s">
        <v>74</v>
      </c>
      <c r="R39" s="70">
        <f>R38*1%</f>
        <v>6.832699999999968</v>
      </c>
      <c r="S39" s="71">
        <f>S38*1%</f>
        <v>11.680900000000021</v>
      </c>
      <c r="T39" s="121">
        <f>T38*1%</f>
        <v>0</v>
      </c>
      <c r="U39" s="121">
        <f>U38*1%</f>
        <v>0.8469999999999982</v>
      </c>
      <c r="V39" s="1"/>
      <c r="W39" s="1"/>
      <c r="X39" s="3">
        <v>43651</v>
      </c>
      <c r="Y39" s="550">
        <v>8.5</v>
      </c>
      <c r="Z39" s="550"/>
      <c r="AA39" s="120"/>
      <c r="AB39" s="110"/>
      <c r="AC39" s="116"/>
      <c r="AD39" s="174" t="s">
        <v>74</v>
      </c>
      <c r="AE39" s="70">
        <f>AE38*1%</f>
        <v>-0.7070000000000437</v>
      </c>
      <c r="AF39" s="71">
        <f>AF38*1%</f>
        <v>3.7409999999999992</v>
      </c>
      <c r="AG39" s="121">
        <f>AG38*1%</f>
        <v>0</v>
      </c>
      <c r="AH39" s="187">
        <f>AH38*1%</f>
        <v>14.211999999999989</v>
      </c>
      <c r="AI39" s="111"/>
      <c r="AJ39" s="118"/>
      <c r="AK39" s="85" t="s">
        <v>74</v>
      </c>
      <c r="AL39" s="89">
        <f>AL38*1%</f>
        <v>4.8449999999999998</v>
      </c>
      <c r="AM39" s="89">
        <f>AM38*1%</f>
        <v>23.899499999999989</v>
      </c>
      <c r="AN39" s="89">
        <f>AN38*1%</f>
        <v>4.1703999999999999</v>
      </c>
      <c r="AO39" s="1"/>
      <c r="AP39" s="111"/>
      <c r="AQ39" s="118"/>
      <c r="AR39" s="85" t="s">
        <v>74</v>
      </c>
      <c r="AS39" s="89">
        <f>AS38*1%</f>
        <v>22.943999999999978</v>
      </c>
      <c r="AT39" s="89">
        <f>AT38*1%</f>
        <v>15.973500000000003</v>
      </c>
      <c r="AU39" s="89">
        <f>AU38*1%</f>
        <v>6.9814999999999969</v>
      </c>
      <c r="AV39" s="111"/>
      <c r="AW39" s="118"/>
      <c r="AX39" s="85" t="s">
        <v>74</v>
      </c>
      <c r="AY39" s="89">
        <f>AY38*1%</f>
        <v>29.304500000000008</v>
      </c>
      <c r="AZ39" s="89">
        <f>AZ38*1%</f>
        <v>31.670500000000011</v>
      </c>
      <c r="BA39" s="89">
        <f>BA38*1%</f>
        <v>3.683000000000002</v>
      </c>
      <c r="BB39" s="89">
        <f>BB38*1%</f>
        <v>6.5726000000000004</v>
      </c>
      <c r="BC39" s="1"/>
      <c r="BD39" s="138"/>
      <c r="BE39" s="110"/>
      <c r="BF39" s="116"/>
      <c r="BG39" s="85" t="s">
        <v>22</v>
      </c>
      <c r="BH39" s="238">
        <v>10298.4</v>
      </c>
      <c r="BI39" s="238">
        <v>12604.77</v>
      </c>
      <c r="BJ39" s="238">
        <f>SUM(BJ4:BJ34)</f>
        <v>2968.99</v>
      </c>
      <c r="BK39" s="238">
        <v>3577.15</v>
      </c>
      <c r="BL39" s="111"/>
      <c r="BM39" s="118"/>
      <c r="BN39" s="485" t="s">
        <v>234</v>
      </c>
      <c r="BO39" s="89">
        <f>ROUND(3%*BO36,2)</f>
        <v>418.74</v>
      </c>
      <c r="BP39" s="89">
        <f>ROUND(3%*BP36,2)</f>
        <v>375.91</v>
      </c>
      <c r="BQ39" s="89">
        <f>ROUND(3%*BQ36,2)</f>
        <v>95.9</v>
      </c>
      <c r="BR39" s="471">
        <f>ROUND(3%*BR36,2)</f>
        <v>149.94</v>
      </c>
      <c r="BS39" s="1"/>
      <c r="BT39" s="366"/>
      <c r="BU39" s="145"/>
      <c r="BV39" s="366"/>
      <c r="BW39" s="110"/>
      <c r="BX39" s="116"/>
      <c r="BY39" s="85" t="s">
        <v>7</v>
      </c>
      <c r="BZ39" s="87">
        <v>150</v>
      </c>
      <c r="CA39" s="87">
        <v>50</v>
      </c>
      <c r="CB39" s="87"/>
      <c r="CC39" s="472"/>
      <c r="CD39" s="12"/>
      <c r="CE39" s="366"/>
      <c r="CF39" s="366"/>
      <c r="CG39" s="405"/>
      <c r="CH39" s="118"/>
      <c r="CI39" s="485" t="s">
        <v>234</v>
      </c>
      <c r="CJ39" s="89">
        <f>ROUND(3%*CJ36,2)</f>
        <v>389.92</v>
      </c>
      <c r="CK39" s="89">
        <f>ROUND(3%*CK36,2)</f>
        <v>378.34</v>
      </c>
      <c r="CL39" s="89">
        <f>ROUND(3%*CL36,2)</f>
        <v>137.63</v>
      </c>
      <c r="CM39" s="89">
        <f>ROUND(3%*CM36,2)</f>
        <v>226.36</v>
      </c>
      <c r="CN39" s="1"/>
      <c r="CO39" s="145"/>
      <c r="CP39" s="145"/>
      <c r="CQ39" s="405"/>
    </row>
    <row r="40" spans="1:95" outlineLevel="1">
      <c r="A40" s="110"/>
      <c r="B40" s="1"/>
      <c r="C40" s="10" t="s">
        <v>6</v>
      </c>
      <c r="D40" s="140">
        <f>3%*D37</f>
        <v>474.4461</v>
      </c>
      <c r="E40" s="140">
        <f>3%*E37</f>
        <v>470.3775</v>
      </c>
      <c r="F40" s="140">
        <f>3%*F37</f>
        <v>0</v>
      </c>
      <c r="G40" s="140">
        <f>3%*G37</f>
        <v>0</v>
      </c>
      <c r="H40" s="110"/>
      <c r="I40" s="116"/>
      <c r="J40" s="113" t="s">
        <v>6</v>
      </c>
      <c r="K40" s="70">
        <f>3%*K37</f>
        <v>350.54309999999998</v>
      </c>
      <c r="L40" s="70">
        <f>3%*L37</f>
        <v>448.48199999999997</v>
      </c>
      <c r="M40" s="140">
        <f>3%*M37</f>
        <v>0</v>
      </c>
      <c r="N40" s="140">
        <f>3%*N37</f>
        <v>0</v>
      </c>
      <c r="O40" s="138"/>
      <c r="P40" s="118"/>
      <c r="Q40" s="65" t="s">
        <v>75</v>
      </c>
      <c r="R40" s="70">
        <f>3%*R37</f>
        <v>516.95579999999995</v>
      </c>
      <c r="S40" s="71">
        <f>3%*S37</f>
        <v>439.32779999999997</v>
      </c>
      <c r="T40" s="121">
        <f>3%*T37</f>
        <v>0</v>
      </c>
      <c r="U40" s="121">
        <f>3%*U37</f>
        <v>43.422000000000004</v>
      </c>
      <c r="V40" s="1"/>
      <c r="W40" s="1"/>
      <c r="X40" s="3">
        <v>43652</v>
      </c>
      <c r="Y40" s="550">
        <v>4.5</v>
      </c>
      <c r="Z40" s="550"/>
      <c r="AA40" s="120"/>
      <c r="AB40" s="110"/>
      <c r="AC40" s="116"/>
      <c r="AD40" s="174" t="s">
        <v>75</v>
      </c>
      <c r="AE40" s="70">
        <f>3%*AE37</f>
        <v>575.52120000000002</v>
      </c>
      <c r="AF40" s="71">
        <f>3%*AF37</f>
        <v>102.687</v>
      </c>
      <c r="AG40" s="121">
        <f>3%*AG37</f>
        <v>0</v>
      </c>
      <c r="AH40" s="177">
        <f>3%*AH37</f>
        <v>310.7604</v>
      </c>
      <c r="AI40" s="111"/>
      <c r="AJ40" s="118"/>
      <c r="AK40" s="85" t="s">
        <v>75</v>
      </c>
      <c r="AL40" s="89">
        <f>3%*AL37</f>
        <v>99.934799999999996</v>
      </c>
      <c r="AM40" s="89">
        <f>3%*AM37</f>
        <v>472.76429999999999</v>
      </c>
      <c r="AN40" s="89">
        <f>3%*AN37</f>
        <v>131.12459999999999</v>
      </c>
      <c r="AO40" s="1"/>
      <c r="AP40" s="111"/>
      <c r="AQ40" s="118"/>
      <c r="AR40" s="85" t="s">
        <v>75</v>
      </c>
      <c r="AS40" s="89">
        <f>3%*AS37</f>
        <v>354.94169999999997</v>
      </c>
      <c r="AT40" s="89">
        <f>3%*AT37</f>
        <v>364.29929999999996</v>
      </c>
      <c r="AU40" s="89">
        <f>3%*AU37</f>
        <v>80.245199999999997</v>
      </c>
      <c r="AV40" s="111"/>
      <c r="AW40" s="118"/>
      <c r="AX40" s="85" t="s">
        <v>75</v>
      </c>
      <c r="AY40" s="89">
        <f>3%*AY37</f>
        <v>314.97360000000003</v>
      </c>
      <c r="AZ40" s="89">
        <f>3%*AZ37</f>
        <v>317.4282</v>
      </c>
      <c r="BA40" s="89">
        <f>3%*BA37</f>
        <v>57.044999999999995</v>
      </c>
      <c r="BB40" s="89">
        <f>3%*BB37</f>
        <v>20.452200000000001</v>
      </c>
      <c r="BC40" s="1"/>
      <c r="BD40" s="69"/>
      <c r="BE40" s="110"/>
      <c r="BF40" s="116"/>
      <c r="BG40" s="85" t="s">
        <v>5</v>
      </c>
      <c r="BH40" s="88">
        <f>BH38-BH39</f>
        <v>4733.5999999999985</v>
      </c>
      <c r="BI40" s="88">
        <f>BI38-BI39</f>
        <v>3141.2199999999975</v>
      </c>
      <c r="BJ40" s="88">
        <f>ABS(BJ38-BJ39)</f>
        <v>167.84000000000015</v>
      </c>
      <c r="BK40" s="88">
        <f>ABS(BK38-BK39)</f>
        <v>499.30000000000064</v>
      </c>
      <c r="BL40" s="138"/>
      <c r="BM40" s="118"/>
      <c r="BN40" s="85" t="s">
        <v>7</v>
      </c>
      <c r="BO40" s="87">
        <v>50</v>
      </c>
      <c r="BP40" s="87">
        <v>50</v>
      </c>
      <c r="BQ40" s="87"/>
      <c r="BR40" s="472"/>
      <c r="BS40" s="12"/>
      <c r="BT40" s="366"/>
      <c r="BU40" s="145"/>
      <c r="BV40" s="366"/>
      <c r="BW40" s="110"/>
      <c r="BX40" s="116"/>
      <c r="BY40" s="85" t="s">
        <v>244</v>
      </c>
      <c r="BZ40" s="87">
        <f>ROUND(20*BZ33,2)</f>
        <v>260</v>
      </c>
      <c r="CA40" s="87">
        <f>ROUND(20*CA33,2)</f>
        <v>300</v>
      </c>
      <c r="CB40" s="488">
        <f>ROUND(23*CB33,2)</f>
        <v>207</v>
      </c>
      <c r="CC40" s="88">
        <f>ROUND(23*CC33,2)</f>
        <v>414</v>
      </c>
      <c r="CD40" s="12"/>
      <c r="CE40" s="128"/>
      <c r="CF40" s="145"/>
      <c r="CG40" s="531"/>
      <c r="CH40" s="118"/>
      <c r="CI40" s="85" t="s">
        <v>7</v>
      </c>
      <c r="CJ40" s="87">
        <v>100</v>
      </c>
      <c r="CK40" s="87">
        <v>50</v>
      </c>
      <c r="CL40" s="87"/>
      <c r="CM40" s="472"/>
      <c r="CN40" s="12"/>
      <c r="CO40" s="366"/>
      <c r="CP40" s="366"/>
      <c r="CQ40" s="405"/>
    </row>
    <row r="41" spans="1:95" ht="19.5" outlineLevel="1">
      <c r="A41" s="110"/>
      <c r="B41" s="1"/>
      <c r="C41" s="10" t="s">
        <v>7</v>
      </c>
      <c r="D41" s="141">
        <v>50</v>
      </c>
      <c r="E41" s="141">
        <v>50</v>
      </c>
      <c r="F41" s="141">
        <v>50</v>
      </c>
      <c r="G41" s="141">
        <v>50</v>
      </c>
      <c r="H41" s="110"/>
      <c r="I41" s="116"/>
      <c r="J41" s="113" t="s">
        <v>7</v>
      </c>
      <c r="K41" s="72">
        <v>50</v>
      </c>
      <c r="L41" s="72">
        <v>50</v>
      </c>
      <c r="M41" s="141">
        <v>50</v>
      </c>
      <c r="N41" s="141">
        <v>50</v>
      </c>
      <c r="O41" s="111"/>
      <c r="P41" s="118"/>
      <c r="Q41" s="65" t="s">
        <v>7</v>
      </c>
      <c r="R41" s="72">
        <v>50</v>
      </c>
      <c r="S41" s="73">
        <v>50</v>
      </c>
      <c r="T41" s="72">
        <v>50</v>
      </c>
      <c r="U41" s="72"/>
      <c r="V41" s="1"/>
      <c r="W41" s="1"/>
      <c r="X41" s="3">
        <v>43653</v>
      </c>
      <c r="Y41" s="41">
        <v>8.5</v>
      </c>
      <c r="Z41" s="5">
        <v>1025.5999999999999</v>
      </c>
      <c r="AA41" s="122">
        <v>1027.0999999999999</v>
      </c>
      <c r="AB41" s="110"/>
      <c r="AC41" s="116"/>
      <c r="AD41" s="174" t="s">
        <v>7</v>
      </c>
      <c r="AE41" s="72">
        <v>50</v>
      </c>
      <c r="AF41" s="73">
        <v>50</v>
      </c>
      <c r="AG41" s="72">
        <v>50</v>
      </c>
      <c r="AH41" s="178"/>
      <c r="AI41" s="111"/>
      <c r="AJ41" s="118"/>
      <c r="AK41" s="85" t="s">
        <v>7</v>
      </c>
      <c r="AL41" s="87"/>
      <c r="AM41" s="87">
        <v>50</v>
      </c>
      <c r="AN41" s="87"/>
      <c r="AO41" s="1"/>
      <c r="AP41" s="138"/>
      <c r="AQ41" s="118"/>
      <c r="AR41" s="85" t="s">
        <v>7</v>
      </c>
      <c r="AS41" s="87">
        <v>180</v>
      </c>
      <c r="AT41" s="87">
        <v>50</v>
      </c>
      <c r="AU41" s="87"/>
      <c r="AV41" s="111"/>
      <c r="AW41" s="118"/>
      <c r="AX41" s="85" t="s">
        <v>7</v>
      </c>
      <c r="AY41" s="87">
        <v>150</v>
      </c>
      <c r="AZ41" s="87">
        <v>50</v>
      </c>
      <c r="BA41" s="87"/>
      <c r="BB41" s="87"/>
      <c r="BC41" s="1"/>
      <c r="BD41" s="138"/>
      <c r="BE41" s="110"/>
      <c r="BF41" s="116"/>
      <c r="BG41" s="85" t="s">
        <v>233</v>
      </c>
      <c r="BH41" s="89">
        <f>ROUND(BH40*1%,2)</f>
        <v>47.34</v>
      </c>
      <c r="BI41" s="89">
        <f>ROUND(BI40*1%,2)</f>
        <v>31.41</v>
      </c>
      <c r="BJ41" s="89">
        <f>ROUND(BJ40*1%,2)</f>
        <v>1.68</v>
      </c>
      <c r="BK41" s="471">
        <f>ROUND(BK40*1%,2)</f>
        <v>4.99</v>
      </c>
      <c r="BL41" s="138"/>
      <c r="BM41" s="118"/>
      <c r="BN41" s="486" t="s">
        <v>245</v>
      </c>
      <c r="BO41" s="87">
        <v>100</v>
      </c>
      <c r="BP41" s="87"/>
      <c r="BQ41" s="87"/>
      <c r="BR41" s="472"/>
      <c r="BS41" s="12"/>
      <c r="BT41" s="366"/>
      <c r="BU41" s="366"/>
      <c r="BV41" s="145"/>
      <c r="BW41" s="110"/>
      <c r="BX41" s="75"/>
      <c r="BY41" s="239" t="s">
        <v>94</v>
      </c>
      <c r="BZ41" s="240">
        <v>337.71</v>
      </c>
      <c r="CA41" s="241">
        <v>180.88</v>
      </c>
      <c r="CB41" s="87"/>
      <c r="CC41" s="87">
        <v>257.08999999999997</v>
      </c>
      <c r="CD41" s="1"/>
      <c r="CE41" s="145"/>
      <c r="CF41" s="366"/>
      <c r="CG41" s="405"/>
      <c r="CH41" s="118"/>
      <c r="CI41" s="85" t="s">
        <v>244</v>
      </c>
      <c r="CJ41" s="87">
        <f>ROUND(20*CJ34,2)</f>
        <v>300</v>
      </c>
      <c r="CK41" s="87">
        <f>ROUND(20*CK34,2)</f>
        <v>320</v>
      </c>
      <c r="CL41" s="488">
        <f>ROUND(23*CL34,2)</f>
        <v>276</v>
      </c>
      <c r="CM41" s="88">
        <f>ROUND(23*CM34,2)</f>
        <v>437</v>
      </c>
      <c r="CN41" s="12"/>
      <c r="CO41" s="128"/>
      <c r="CP41" s="145"/>
      <c r="CQ41" s="531"/>
    </row>
    <row r="42" spans="1:95" ht="15.75" outlineLevel="1" thickBot="1">
      <c r="A42" s="110"/>
      <c r="B42" s="1"/>
      <c r="C42" s="10" t="s">
        <v>14</v>
      </c>
      <c r="D42" s="141">
        <f>20*D35</f>
        <v>320</v>
      </c>
      <c r="E42" s="141">
        <f>20*E35</f>
        <v>300</v>
      </c>
      <c r="F42" s="141">
        <f>20*F35</f>
        <v>0</v>
      </c>
      <c r="G42" s="141">
        <f>20*G35</f>
        <v>0</v>
      </c>
      <c r="H42" s="110"/>
      <c r="I42" s="116"/>
      <c r="J42" s="113" t="s">
        <v>14</v>
      </c>
      <c r="K42" s="72">
        <f>20*K35</f>
        <v>200</v>
      </c>
      <c r="L42" s="72">
        <f>20*L35</f>
        <v>320</v>
      </c>
      <c r="M42" s="141">
        <f>20*M35</f>
        <v>80</v>
      </c>
      <c r="N42" s="141">
        <f>20*N35</f>
        <v>0</v>
      </c>
      <c r="O42" s="73"/>
      <c r="P42" s="118"/>
      <c r="Q42" s="65" t="s">
        <v>14</v>
      </c>
      <c r="R42" s="72">
        <f>20*R35</f>
        <v>320</v>
      </c>
      <c r="S42" s="73">
        <f>20*S35</f>
        <v>280</v>
      </c>
      <c r="T42" s="72">
        <f>20*T35</f>
        <v>0</v>
      </c>
      <c r="U42" s="72"/>
      <c r="V42" s="1"/>
      <c r="W42" s="1"/>
      <c r="X42" s="3">
        <v>43664</v>
      </c>
      <c r="Y42" s="550">
        <v>2</v>
      </c>
      <c r="Z42" s="550"/>
      <c r="AA42" s="120"/>
      <c r="AB42" s="110"/>
      <c r="AC42" s="116"/>
      <c r="AD42" s="174" t="s">
        <v>14</v>
      </c>
      <c r="AE42" s="72">
        <f>20*AE35</f>
        <v>360</v>
      </c>
      <c r="AF42" s="73">
        <f>20*AF35</f>
        <v>80</v>
      </c>
      <c r="AG42" s="72">
        <f>20*AG35</f>
        <v>0</v>
      </c>
      <c r="AH42" s="178">
        <f>20*AH35</f>
        <v>220</v>
      </c>
      <c r="AI42" s="111"/>
      <c r="AJ42" s="118"/>
      <c r="AK42" s="85" t="s">
        <v>14</v>
      </c>
      <c r="AL42" s="87">
        <f>20*(AL34-AL35)+(10*AL35)</f>
        <v>80</v>
      </c>
      <c r="AM42" s="87">
        <f>20*(AM34-AM35)+(10*AM35)</f>
        <v>330</v>
      </c>
      <c r="AN42" s="87">
        <f>20*(AN34-AN35)+(10*AN35)+40</f>
        <v>130</v>
      </c>
      <c r="AO42" s="1"/>
      <c r="AP42" s="73"/>
      <c r="AQ42" s="118"/>
      <c r="AR42" s="85" t="s">
        <v>14</v>
      </c>
      <c r="AS42" s="87">
        <f>20*(AS34-AS35)+(10*AS35)</f>
        <v>280</v>
      </c>
      <c r="AT42" s="87">
        <f>20*(AT34-AT35)+(10*AT35)</f>
        <v>280</v>
      </c>
      <c r="AU42" s="87">
        <f>(4*20)+10</f>
        <v>90</v>
      </c>
      <c r="AV42" s="111"/>
      <c r="AW42" s="118"/>
      <c r="AX42" s="85" t="s">
        <v>14</v>
      </c>
      <c r="AY42" s="87">
        <f>20*(AY34-AY35)+(10*AY35)</f>
        <v>280</v>
      </c>
      <c r="AZ42" s="87">
        <f>20*(AZ34-AZ35)+(10*AZ35)</f>
        <v>290</v>
      </c>
      <c r="BA42" s="87">
        <f>20*(BA34-BA35)+(10*BA35)</f>
        <v>110</v>
      </c>
      <c r="BB42" s="87">
        <f>20*(BB34-BB35)+(10*BB35)</f>
        <v>120</v>
      </c>
      <c r="BC42" s="1"/>
      <c r="BD42" s="69"/>
      <c r="BE42" s="110"/>
      <c r="BF42" s="75"/>
      <c r="BG42" s="85" t="s">
        <v>234</v>
      </c>
      <c r="BH42" s="89">
        <f>ROUND(3%*BH39,2)</f>
        <v>308.95</v>
      </c>
      <c r="BI42" s="89">
        <f>ROUND(3%*BI39,2)</f>
        <v>378.14</v>
      </c>
      <c r="BJ42" s="89">
        <f>ROUND(3%*BJ39,2)</f>
        <v>89.07</v>
      </c>
      <c r="BK42" s="471">
        <f>ROUND(3%*BK39,2)</f>
        <v>107.31</v>
      </c>
      <c r="BL42" s="111"/>
      <c r="BM42" s="118"/>
      <c r="BN42" s="85" t="s">
        <v>244</v>
      </c>
      <c r="BO42" s="87">
        <f>ROUND(20*BO34,2)</f>
        <v>300</v>
      </c>
      <c r="BP42" s="87">
        <f>ROUND(20*BP34,2)</f>
        <v>300</v>
      </c>
      <c r="BQ42" s="488">
        <f>ROUND(23*BQ34,2)</f>
        <v>276</v>
      </c>
      <c r="BR42" s="88">
        <f>ROUND(23*BR34,2)</f>
        <v>414</v>
      </c>
      <c r="BS42" s="12"/>
      <c r="BT42" s="128"/>
      <c r="BU42" s="145"/>
      <c r="BV42" s="366"/>
      <c r="BW42" s="110"/>
      <c r="BX42" s="116"/>
      <c r="BY42" s="242" t="s">
        <v>26</v>
      </c>
      <c r="BZ42" s="243"/>
      <c r="CA42" s="240">
        <v>100</v>
      </c>
      <c r="CB42" s="87"/>
      <c r="CC42" s="87"/>
      <c r="CD42" s="1"/>
      <c r="CE42" s="283"/>
      <c r="CF42" s="366"/>
      <c r="CG42" s="405"/>
      <c r="CH42" s="123"/>
      <c r="CI42" s="239" t="s">
        <v>94</v>
      </c>
      <c r="CJ42" s="240">
        <v>337.71</v>
      </c>
      <c r="CK42" s="241">
        <v>180.88</v>
      </c>
      <c r="CL42" s="87"/>
      <c r="CM42" s="87">
        <v>257.08999999999997</v>
      </c>
      <c r="CN42" s="1"/>
      <c r="CO42" s="145"/>
      <c r="CP42" s="366"/>
      <c r="CQ42" s="405"/>
    </row>
    <row r="43" spans="1:95" ht="15.75" thickBot="1">
      <c r="A43" s="110"/>
      <c r="B43" s="1131" t="s">
        <v>15</v>
      </c>
      <c r="C43" s="1132"/>
      <c r="D43" s="6">
        <f>D41+D40+D39+D42</f>
        <v>848.85509999999999</v>
      </c>
      <c r="E43" s="6">
        <f>E41+E40+E39+E42</f>
        <v>834.94900000000007</v>
      </c>
      <c r="F43" s="6">
        <f>F41+F40+F39+F42</f>
        <v>50</v>
      </c>
      <c r="G43" s="6">
        <f>G41+G40+G39+G42</f>
        <v>50</v>
      </c>
      <c r="H43" s="110"/>
      <c r="I43" s="116"/>
      <c r="J43" s="115" t="s">
        <v>26</v>
      </c>
      <c r="K43" s="75">
        <v>298.10000000000002</v>
      </c>
      <c r="L43" s="142">
        <f>160.36+130</f>
        <v>290.36</v>
      </c>
      <c r="M43" s="141"/>
      <c r="N43" s="141"/>
      <c r="O43" s="111"/>
      <c r="P43" s="123"/>
      <c r="Q43" s="74" t="s">
        <v>94</v>
      </c>
      <c r="R43" s="75">
        <v>298.10000000000002</v>
      </c>
      <c r="S43" s="76">
        <f>160.36</f>
        <v>160.36000000000001</v>
      </c>
      <c r="T43" s="72"/>
      <c r="U43" s="68"/>
      <c r="V43" s="12"/>
      <c r="W43" s="1"/>
      <c r="X43" s="3">
        <v>43665</v>
      </c>
      <c r="Y43" s="41">
        <v>2</v>
      </c>
      <c r="Z43" s="550">
        <v>506.5</v>
      </c>
      <c r="AA43" s="120">
        <v>420.3</v>
      </c>
      <c r="AB43" s="147"/>
      <c r="AC43" s="75"/>
      <c r="AD43" s="192" t="s">
        <v>94</v>
      </c>
      <c r="AE43" s="190">
        <v>300</v>
      </c>
      <c r="AF43" s="76">
        <f>160.36</f>
        <v>160.36000000000001</v>
      </c>
      <c r="AG43" s="72"/>
      <c r="AH43" s="178"/>
      <c r="AI43" s="138"/>
      <c r="AJ43" s="123"/>
      <c r="AK43" s="239" t="s">
        <v>94</v>
      </c>
      <c r="AL43" s="240"/>
      <c r="AM43" s="241"/>
      <c r="AN43" s="87"/>
      <c r="AO43" s="12"/>
      <c r="AP43" s="111"/>
      <c r="AQ43" s="123"/>
      <c r="AR43" s="239" t="s">
        <v>94</v>
      </c>
      <c r="AS43" s="240">
        <v>298.10000000000002</v>
      </c>
      <c r="AT43" s="241">
        <v>160.36000000000001</v>
      </c>
      <c r="AU43" s="87"/>
      <c r="AV43" s="138"/>
      <c r="AW43" s="123"/>
      <c r="AX43" s="239" t="s">
        <v>94</v>
      </c>
      <c r="AY43" s="240">
        <v>298.10000000000002</v>
      </c>
      <c r="AZ43" s="241">
        <v>160.36000000000001</v>
      </c>
      <c r="BA43" s="87"/>
      <c r="BB43" s="87"/>
      <c r="BC43" s="12"/>
      <c r="BD43" s="111"/>
      <c r="BE43" s="110"/>
      <c r="BF43" s="116"/>
      <c r="BG43" s="85" t="s">
        <v>7</v>
      </c>
      <c r="BH43" s="87">
        <v>150</v>
      </c>
      <c r="BI43" s="87">
        <v>50</v>
      </c>
      <c r="BJ43" s="87"/>
      <c r="BK43" s="472"/>
      <c r="BL43" s="111"/>
      <c r="BM43" s="123"/>
      <c r="BN43" s="239" t="s">
        <v>94</v>
      </c>
      <c r="BO43" s="240">
        <v>298.10000000000002</v>
      </c>
      <c r="BP43" s="241">
        <v>160.36000000000001</v>
      </c>
      <c r="BQ43" s="87"/>
      <c r="BR43" s="87"/>
      <c r="BS43" s="1"/>
      <c r="BT43" s="145"/>
      <c r="BU43" s="366"/>
      <c r="BV43" s="366"/>
      <c r="BW43" s="110"/>
      <c r="BX43" s="116"/>
      <c r="BY43" s="245" t="s">
        <v>77</v>
      </c>
      <c r="BZ43" s="455">
        <f>BZ37+BZ38+BZ39+BZ40-BZ41</f>
        <v>433.77000000000004</v>
      </c>
      <c r="CA43" s="455">
        <f>CA37+CA38+CA39+CA40-CA41-CA42</f>
        <v>470.93999999999994</v>
      </c>
      <c r="CB43" s="455">
        <f>CB37+CB38+CB40</f>
        <v>282.22000000000003</v>
      </c>
      <c r="CC43" s="455">
        <f>CC37+CC38+CC39+CC40-CC41-CC42</f>
        <v>330.0800000000001</v>
      </c>
      <c r="CD43" s="1"/>
      <c r="CE43" s="366"/>
      <c r="CF43" s="366"/>
      <c r="CG43" s="405"/>
      <c r="CH43" s="118"/>
      <c r="CI43" s="242" t="s">
        <v>48</v>
      </c>
      <c r="CJ43" s="243"/>
      <c r="CK43" s="240">
        <v>120</v>
      </c>
      <c r="CL43" s="87"/>
      <c r="CM43" s="87">
        <v>90</v>
      </c>
      <c r="CN43" s="1"/>
      <c r="CO43" s="283"/>
      <c r="CP43" s="366"/>
      <c r="CQ43" s="405"/>
    </row>
    <row r="44" spans="1:95" ht="15.75" thickBot="1">
      <c r="A44" s="110"/>
      <c r="B44" s="1"/>
      <c r="C44" s="11"/>
      <c r="D44" s="1"/>
      <c r="E44" s="11"/>
      <c r="F44" s="1"/>
      <c r="G44" s="1"/>
      <c r="H44" s="110"/>
      <c r="I44" s="32"/>
      <c r="J44" s="33" t="s">
        <v>15</v>
      </c>
      <c r="K44" s="34">
        <f>K41+K40+K39+K42-K43</f>
        <v>308.12609999999995</v>
      </c>
      <c r="L44" s="27">
        <f>L41+L40+L39+L42-L43+1</f>
        <v>546.39049999999997</v>
      </c>
      <c r="M44" s="6">
        <f>M41+M40+M39+M42-M43</f>
        <v>168.8058</v>
      </c>
      <c r="N44" s="6">
        <f>N41+N40+N39+N42-N43</f>
        <v>50</v>
      </c>
      <c r="O44" s="138"/>
      <c r="P44" s="123"/>
      <c r="Q44" s="1133" t="s">
        <v>79</v>
      </c>
      <c r="R44" s="1134"/>
      <c r="S44" s="77">
        <v>140</v>
      </c>
      <c r="T44" s="68">
        <f>S39+S40+S41+S42</f>
        <v>781.00869999999998</v>
      </c>
      <c r="U44" s="72"/>
      <c r="V44" s="12"/>
      <c r="W44" s="1"/>
      <c r="X44" s="3">
        <v>43672</v>
      </c>
      <c r="Y44" s="550">
        <v>8.5</v>
      </c>
      <c r="Z44" s="550"/>
      <c r="AA44" s="120"/>
      <c r="AB44" s="147"/>
      <c r="AC44" s="75"/>
      <c r="AD44" s="179" t="s">
        <v>111</v>
      </c>
      <c r="AE44" s="191">
        <v>298.10000000000002</v>
      </c>
      <c r="AF44" s="77"/>
      <c r="AG44" s="68">
        <f>AF39+AF40+AF41+AF42</f>
        <v>236.428</v>
      </c>
      <c r="AH44" s="178"/>
      <c r="AI44" s="138"/>
      <c r="AJ44" s="123"/>
      <c r="AK44" s="242" t="s">
        <v>26</v>
      </c>
      <c r="AL44" s="243"/>
      <c r="AM44" s="244">
        <f>160+140</f>
        <v>300</v>
      </c>
      <c r="AN44" s="87"/>
      <c r="AO44" s="12"/>
      <c r="AP44" s="111"/>
      <c r="AQ44" s="123"/>
      <c r="AR44" s="242" t="s">
        <v>26</v>
      </c>
      <c r="AS44" s="243"/>
      <c r="AT44" s="18">
        <v>139.65</v>
      </c>
      <c r="AU44" s="87"/>
      <c r="AV44" s="138"/>
      <c r="AW44" s="123"/>
      <c r="AX44" s="242" t="s">
        <v>26</v>
      </c>
      <c r="AY44" s="243"/>
      <c r="AZ44" s="240">
        <v>150</v>
      </c>
      <c r="BA44" s="87"/>
      <c r="BB44" s="87"/>
      <c r="BC44" s="12"/>
      <c r="BD44" s="111"/>
      <c r="BE44" s="110"/>
      <c r="BF44" s="116"/>
      <c r="BG44" s="85" t="s">
        <v>229</v>
      </c>
      <c r="BH44" s="87">
        <f>ROUND((20*(14))+(3%*BH21)+(3%*BH29)+(3%*BH33)+30,2)</f>
        <v>434.22</v>
      </c>
      <c r="BI44" s="87">
        <f>ROUND((20*(BI34))+(3%*BI32),2)</f>
        <v>365.04</v>
      </c>
      <c r="BJ44" s="88" t="e">
        <f>ROUND((20*(BJ34-#REF!)+((5.5*20)/11)+((2*20)/11)),2)</f>
        <v>#REF!</v>
      </c>
      <c r="BK44" s="473">
        <f>16*20</f>
        <v>320</v>
      </c>
      <c r="BL44" s="111"/>
      <c r="BM44" s="118"/>
      <c r="BN44" s="242" t="s">
        <v>26</v>
      </c>
      <c r="BO44" s="243"/>
      <c r="BP44" s="240">
        <v>150</v>
      </c>
      <c r="BQ44" s="87"/>
      <c r="BR44" s="87">
        <v>300</v>
      </c>
      <c r="BS44" s="1"/>
      <c r="BT44" s="283"/>
      <c r="BU44" s="366"/>
      <c r="BV44" s="366"/>
      <c r="BW44" s="110"/>
      <c r="BX44" s="116"/>
      <c r="BY44" s="286" t="s">
        <v>45</v>
      </c>
      <c r="BZ44" s="287">
        <f>BZ37+BZ38+BZ39+BZ40</f>
        <v>771.48</v>
      </c>
      <c r="CA44" s="287">
        <f>CA37+CA38+CA39+CA40</f>
        <v>751.81999999999994</v>
      </c>
      <c r="CB44" s="287">
        <f>CB37+CB38+CB39+CB40</f>
        <v>282.22000000000003</v>
      </c>
      <c r="CC44" s="287">
        <f>CC37+CC38+CC39+CC40</f>
        <v>587.17000000000007</v>
      </c>
      <c r="CD44" s="1"/>
      <c r="CE44" s="461"/>
      <c r="CF44" s="366"/>
      <c r="CG44" s="405"/>
      <c r="CH44" s="118"/>
      <c r="CI44" s="242" t="s">
        <v>277</v>
      </c>
      <c r="CJ44" s="243"/>
      <c r="CK44" s="240">
        <v>128</v>
      </c>
      <c r="CL44" s="87"/>
      <c r="CM44" s="87"/>
      <c r="CN44" s="1"/>
      <c r="CO44" s="283"/>
      <c r="CP44" s="366"/>
      <c r="CQ44" s="405"/>
    </row>
    <row r="45" spans="1:95" ht="15.75" thickBot="1">
      <c r="A45" s="110"/>
      <c r="B45" s="1"/>
      <c r="C45" s="11"/>
      <c r="D45" s="1"/>
      <c r="E45" s="11"/>
      <c r="F45" s="1"/>
      <c r="G45" s="1"/>
      <c r="H45" s="110"/>
      <c r="I45" s="1"/>
      <c r="J45" s="11" t="s">
        <v>45</v>
      </c>
      <c r="K45" s="12">
        <f>K44+K43</f>
        <v>606.22609999999997</v>
      </c>
      <c r="L45" s="12">
        <f>L44+L43</f>
        <v>836.75049999999999</v>
      </c>
      <c r="M45" s="12">
        <f>M44+M43</f>
        <v>168.8058</v>
      </c>
      <c r="N45" s="12">
        <f>N44+N43</f>
        <v>50</v>
      </c>
      <c r="O45" s="138"/>
      <c r="P45" s="124"/>
      <c r="Q45" s="61" t="s">
        <v>77</v>
      </c>
      <c r="R45" s="60">
        <f>R41+R40+R39+R42-R43</f>
        <v>595.68849999999986</v>
      </c>
      <c r="S45" s="59">
        <f>S46-S43-S44</f>
        <v>480.64869999999996</v>
      </c>
      <c r="T45" s="45">
        <f>T41+T40+T39+T42-T43</f>
        <v>50</v>
      </c>
      <c r="U45" s="45">
        <f>U40+U39+AE47</f>
        <v>44.269000000000005</v>
      </c>
      <c r="V45" s="12"/>
      <c r="W45" s="12"/>
      <c r="X45" s="3">
        <v>43675</v>
      </c>
      <c r="Y45" s="550">
        <v>3</v>
      </c>
      <c r="Z45" s="550"/>
      <c r="AA45" s="120"/>
      <c r="AB45" s="110"/>
      <c r="AC45" s="32"/>
      <c r="AD45" s="180" t="s">
        <v>77</v>
      </c>
      <c r="AE45" s="60">
        <f>AE39+AE40+AE41+AE42-AE43-AE44</f>
        <v>386.71420000000001</v>
      </c>
      <c r="AF45" s="206">
        <f>ROUND(AF39+AF40+AF41+AF42-AF43,0)</f>
        <v>76</v>
      </c>
      <c r="AG45" s="45">
        <f>AG41+AG40+AG39+AG42-AG43</f>
        <v>50</v>
      </c>
      <c r="AH45" s="186">
        <f>AH39+AH40+AH41+AH42</f>
        <v>544.97239999999999</v>
      </c>
      <c r="AI45" s="138"/>
      <c r="AJ45" s="124"/>
      <c r="AK45" s="245" t="s">
        <v>77</v>
      </c>
      <c r="AL45" s="246">
        <f>AL39+AL40+AL41+AL42-AL44-AL43</f>
        <v>184.77979999999999</v>
      </c>
      <c r="AM45" s="246">
        <f>AM39+AM40+AM41+AM42-AM44</f>
        <v>576.66380000000004</v>
      </c>
      <c r="AN45" s="246">
        <f>AN39+AN40+AN41+AN42</f>
        <v>265.29499999999996</v>
      </c>
      <c r="AO45" s="170"/>
      <c r="AP45" s="385"/>
      <c r="AQ45" s="124"/>
      <c r="AR45" s="245" t="s">
        <v>77</v>
      </c>
      <c r="AS45" s="246">
        <f>AS39+AS40+AS41+AS42-AS44-AS43</f>
        <v>539.78569999999991</v>
      </c>
      <c r="AT45" s="246">
        <f>AT39+AT40+AT41+AT42-AT44-AT43</f>
        <v>410.26279999999997</v>
      </c>
      <c r="AU45" s="285">
        <f>AU39+AU40+AU41+AU42</f>
        <v>177.22669999999999</v>
      </c>
      <c r="AV45" s="385"/>
      <c r="AW45" s="124"/>
      <c r="AX45" s="245" t="s">
        <v>77</v>
      </c>
      <c r="AY45" s="246">
        <f>AY46-AY43</f>
        <v>476.17809999999997</v>
      </c>
      <c r="AZ45" s="246">
        <f>AZ39+AZ40+AZ41+AZ42-AZ43-AZ44</f>
        <v>378.73869999999999</v>
      </c>
      <c r="BA45" s="246">
        <f>BA39+BA40+BA41+BA42</f>
        <v>170.72800000000001</v>
      </c>
      <c r="BB45" s="246">
        <f>BB39+BB40+BB41+BB42</f>
        <v>147.0248</v>
      </c>
      <c r="BC45" s="170"/>
      <c r="BD45" s="385"/>
      <c r="BE45" s="110"/>
      <c r="BF45" s="116"/>
      <c r="BG45" s="239" t="s">
        <v>94</v>
      </c>
      <c r="BH45" s="240">
        <v>298.10000000000002</v>
      </c>
      <c r="BI45" s="241">
        <v>160.36000000000001</v>
      </c>
      <c r="BJ45" s="87"/>
      <c r="BK45" s="87"/>
      <c r="BL45" s="111"/>
      <c r="BM45" s="118"/>
      <c r="BN45" s="245" t="s">
        <v>77</v>
      </c>
      <c r="BO45" s="487">
        <v>482</v>
      </c>
      <c r="BP45" s="455">
        <f>BP38+BP39+BP40+BP42-BP43-BP44</f>
        <v>429.03000000000009</v>
      </c>
      <c r="BQ45" s="487">
        <f>ROUNDUP(BQ38+BQ39+BQ42,0)</f>
        <v>374</v>
      </c>
      <c r="BR45" s="455">
        <f>ROUNDUP(BR38+BR39+BR42-BR44,0)</f>
        <v>265</v>
      </c>
      <c r="BS45" s="1"/>
      <c r="BT45" s="366"/>
      <c r="BU45" s="366"/>
      <c r="BV45" s="366"/>
      <c r="BW45" s="110"/>
      <c r="BX45" s="116"/>
      <c r="BY45" s="198"/>
      <c r="BZ45" s="533"/>
      <c r="CA45" s="461"/>
      <c r="CB45" s="12"/>
      <c r="CC45" s="12"/>
      <c r="CD45" s="1"/>
      <c r="CE45" s="128"/>
      <c r="CF45" s="504"/>
      <c r="CG45" s="1067"/>
      <c r="CH45" s="118"/>
      <c r="CI45" s="245" t="s">
        <v>77</v>
      </c>
      <c r="CJ45" s="455">
        <f>CJ38+CJ39+CJ40+CJ41-CJ42</f>
        <v>462.42</v>
      </c>
      <c r="CK45" s="455">
        <f>CK38+CK39+CK40+CK41-CK42-CK43-CK44</f>
        <v>342.5</v>
      </c>
      <c r="CL45" s="455">
        <f>CL38+CL39+CL41</f>
        <v>415.77</v>
      </c>
      <c r="CM45" s="455">
        <f>CM38+CM39+CM40+CM41-CM42-CM43</f>
        <v>318.85000000000008</v>
      </c>
      <c r="CN45" s="12"/>
      <c r="CO45" s="366"/>
      <c r="CP45" s="366"/>
      <c r="CQ45" s="405"/>
    </row>
    <row r="46" spans="1:95" ht="15.75" thickBot="1">
      <c r="A46" s="110"/>
      <c r="B46" s="1"/>
      <c r="C46" s="11"/>
      <c r="D46" s="1"/>
      <c r="E46" s="11"/>
      <c r="F46" s="1"/>
      <c r="G46" s="1"/>
      <c r="H46" s="110"/>
      <c r="I46" s="1"/>
      <c r="J46" s="11"/>
      <c r="K46" s="12"/>
      <c r="L46" s="12"/>
      <c r="M46" s="1"/>
      <c r="N46" s="1"/>
      <c r="O46" s="111"/>
      <c r="P46" s="110"/>
      <c r="Q46" s="78" t="s">
        <v>45</v>
      </c>
      <c r="R46" s="79">
        <f>R45+R43</f>
        <v>893.78849999999989</v>
      </c>
      <c r="S46" s="80">
        <f>S39+S40+S41+S42</f>
        <v>781.00869999999998</v>
      </c>
      <c r="T46" s="75">
        <f>T45+T43</f>
        <v>50</v>
      </c>
      <c r="U46" s="75"/>
      <c r="V46" s="12"/>
      <c r="W46" s="1"/>
      <c r="X46" s="3">
        <v>43676</v>
      </c>
      <c r="Y46" s="550">
        <v>8.5</v>
      </c>
      <c r="Z46" s="550"/>
      <c r="AA46" s="120"/>
      <c r="AB46" s="110"/>
      <c r="AC46" s="1"/>
      <c r="AD46" s="181" t="s">
        <v>45</v>
      </c>
      <c r="AE46" s="182">
        <f>AE45+AE43+AE44</f>
        <v>984.81420000000003</v>
      </c>
      <c r="AF46" s="183">
        <f>AF43+AF45</f>
        <v>236.36</v>
      </c>
      <c r="AG46" s="184"/>
      <c r="AH46" s="185"/>
      <c r="AI46" s="138"/>
      <c r="AJ46" s="147"/>
      <c r="AK46" s="144"/>
      <c r="AL46" s="366"/>
      <c r="AM46" s="1"/>
      <c r="AN46" s="1"/>
      <c r="AO46" s="1"/>
      <c r="AP46" s="111"/>
      <c r="AQ46" s="125"/>
      <c r="AR46" s="286" t="s">
        <v>45</v>
      </c>
      <c r="AS46" s="22">
        <f>540+AS43</f>
        <v>838.1</v>
      </c>
      <c r="AT46" s="287">
        <f>410+AT44+AT43</f>
        <v>710.01</v>
      </c>
      <c r="AU46" s="1"/>
      <c r="AV46" s="385"/>
      <c r="AW46" s="125"/>
      <c r="AX46" s="286" t="s">
        <v>45</v>
      </c>
      <c r="AY46" s="287">
        <f>AY41+AY42+AY40+AY39</f>
        <v>774.27809999999999</v>
      </c>
      <c r="AZ46" s="287">
        <f>AZ41+AZ42+AZ40+AZ39</f>
        <v>689.09870000000012</v>
      </c>
      <c r="BA46" s="287">
        <f>BA41+BA42+BA40+BA39</f>
        <v>170.72799999999998</v>
      </c>
      <c r="BB46" s="287">
        <f>BB41+BB42+BB40+BB39</f>
        <v>147.0248</v>
      </c>
      <c r="BC46" s="170"/>
      <c r="BD46" s="138"/>
      <c r="BE46" s="110"/>
      <c r="BF46" s="116"/>
      <c r="BG46" s="242" t="s">
        <v>26</v>
      </c>
      <c r="BH46" s="243"/>
      <c r="BI46" s="240">
        <v>140</v>
      </c>
      <c r="BJ46" s="87"/>
      <c r="BK46" s="87">
        <v>300</v>
      </c>
      <c r="BL46" s="111"/>
      <c r="BM46" s="118"/>
      <c r="BN46" s="286" t="s">
        <v>45</v>
      </c>
      <c r="BO46" s="287">
        <f>BO38+BO39+BO40+BO41+BO42</f>
        <v>879.29</v>
      </c>
      <c r="BP46" s="287">
        <f>BP38+BP39+BP40+BP42</f>
        <v>739.3900000000001</v>
      </c>
      <c r="BQ46" s="287"/>
      <c r="BR46" s="287">
        <f>ROUNDUP(BR38+BR42+BR39,0)</f>
        <v>565</v>
      </c>
      <c r="BS46" s="1"/>
      <c r="BT46" s="366"/>
      <c r="BU46" s="366"/>
      <c r="BV46" s="1"/>
      <c r="BW46" s="110"/>
      <c r="BX46" s="1"/>
      <c r="BY46" s="1"/>
      <c r="BZ46" s="1"/>
      <c r="CA46" s="1"/>
      <c r="CB46" s="1"/>
      <c r="CC46" s="1"/>
      <c r="CD46" s="1"/>
      <c r="CE46" s="1"/>
      <c r="CF46" s="1"/>
      <c r="CG46" s="111"/>
      <c r="CH46" s="118"/>
      <c r="CI46" s="286" t="s">
        <v>45</v>
      </c>
      <c r="CJ46" s="287">
        <f>CJ38+CJ39+CJ40+CJ41</f>
        <v>800.13</v>
      </c>
      <c r="CK46" s="287">
        <f>CK38+CK39+CK40+CK41</f>
        <v>771.38</v>
      </c>
      <c r="CL46" s="287">
        <f>CL38+CL39+CL40+CL41</f>
        <v>415.77</v>
      </c>
      <c r="CM46" s="287">
        <f>CM38+CM39+CM40+CM41</f>
        <v>665.94</v>
      </c>
      <c r="CN46" s="12"/>
      <c r="CO46" s="461"/>
      <c r="CP46" s="366"/>
      <c r="CQ46" s="405"/>
    </row>
    <row r="47" spans="1:95">
      <c r="A47" s="110"/>
      <c r="B47" s="1"/>
      <c r="C47" s="11"/>
      <c r="D47" s="1"/>
      <c r="E47" s="11"/>
      <c r="F47" s="1"/>
      <c r="G47" s="1"/>
      <c r="H47" s="110"/>
      <c r="I47" s="1"/>
      <c r="J47" s="11"/>
      <c r="K47" s="1"/>
      <c r="L47" s="11"/>
      <c r="M47" s="12"/>
      <c r="N47" s="1"/>
      <c r="O47" s="111"/>
      <c r="P47" s="125"/>
      <c r="Q47" s="126" t="s">
        <v>78</v>
      </c>
      <c r="R47" s="12">
        <f>R45-400</f>
        <v>195.68849999999986</v>
      </c>
      <c r="S47" s="127"/>
      <c r="T47" s="1"/>
      <c r="U47" s="12"/>
      <c r="V47" s="1"/>
      <c r="W47" s="1"/>
      <c r="X47" s="366"/>
      <c r="Y47" s="128"/>
      <c r="Z47" s="366"/>
      <c r="AA47" s="111"/>
      <c r="AB47" s="110"/>
      <c r="AC47" s="383"/>
      <c r="AD47" s="384"/>
      <c r="AE47" s="145"/>
      <c r="AF47" s="145"/>
      <c r="AG47" s="1"/>
      <c r="AH47" s="1"/>
      <c r="AI47" s="385"/>
      <c r="AJ47" s="147"/>
      <c r="AK47" s="366"/>
      <c r="AL47" s="128"/>
      <c r="AM47" s="1"/>
      <c r="AN47" s="1"/>
      <c r="AO47" s="1"/>
      <c r="AP47" s="111"/>
      <c r="AQ47" s="110"/>
      <c r="AR47" s="1"/>
      <c r="AS47" s="1"/>
      <c r="AT47" s="1"/>
      <c r="AU47" s="1"/>
      <c r="AV47" s="111"/>
      <c r="AW47" s="110"/>
      <c r="AX47" s="198"/>
      <c r="AY47" s="533"/>
      <c r="AZ47" s="232"/>
      <c r="BA47" s="1"/>
      <c r="BB47" s="1"/>
      <c r="BC47" s="12"/>
      <c r="BD47" s="138"/>
      <c r="BE47" s="147"/>
      <c r="BF47" s="75"/>
      <c r="BG47" s="245" t="s">
        <v>77</v>
      </c>
      <c r="BH47" s="455">
        <f>BH41+BH42+BH43+BH44-BH45</f>
        <v>642.41</v>
      </c>
      <c r="BI47" s="246">
        <f>BI41+BI42+BI43+BI44-(BI45+BI46)</f>
        <v>524.23</v>
      </c>
      <c r="BJ47" s="455" t="e">
        <f>BJ41+BJ42+BJ43+BJ44</f>
        <v>#REF!</v>
      </c>
      <c r="BK47" s="246">
        <f>BK41+BK42+BK44+16.36+12.53+10-BK46</f>
        <v>171.19</v>
      </c>
      <c r="BL47" s="138"/>
      <c r="BM47" s="110"/>
      <c r="BN47" s="1"/>
      <c r="BO47" s="1"/>
      <c r="BP47" s="1"/>
      <c r="BQ47" s="1"/>
      <c r="BR47" s="1"/>
      <c r="BS47" s="1"/>
      <c r="BT47" s="1"/>
      <c r="BU47" s="1"/>
      <c r="BV47" s="1"/>
      <c r="BW47" s="110"/>
      <c r="BX47" s="1"/>
      <c r="BY47" s="1"/>
      <c r="BZ47" s="1"/>
      <c r="CA47" s="1"/>
      <c r="CB47" s="1"/>
      <c r="CC47" s="1"/>
      <c r="CD47" s="1"/>
      <c r="CE47" s="1"/>
      <c r="CF47" s="1"/>
      <c r="CG47" s="111"/>
      <c r="CH47" s="110"/>
      <c r="CI47" s="1"/>
      <c r="CJ47" s="1"/>
      <c r="CK47" s="1"/>
      <c r="CL47" s="1"/>
      <c r="CM47" s="1"/>
      <c r="CN47" s="1"/>
      <c r="CO47" s="1"/>
      <c r="CP47" s="1"/>
      <c r="CQ47" s="111"/>
    </row>
    <row r="48" spans="1:95" ht="15.75" thickBot="1">
      <c r="A48" s="129"/>
      <c r="B48" s="130"/>
      <c r="C48" s="131"/>
      <c r="D48" s="130"/>
      <c r="E48" s="131"/>
      <c r="F48" s="1"/>
      <c r="G48" s="1"/>
      <c r="H48" s="110"/>
      <c r="I48" s="1"/>
      <c r="J48" s="1"/>
      <c r="K48" s="130"/>
      <c r="L48" s="130"/>
      <c r="M48" s="130"/>
      <c r="N48" s="130"/>
      <c r="O48" s="132"/>
      <c r="P48" s="129"/>
      <c r="Q48" s="585" t="s">
        <v>77</v>
      </c>
      <c r="R48" s="586">
        <v>196</v>
      </c>
      <c r="S48" s="586"/>
      <c r="T48" s="587"/>
      <c r="U48" s="588"/>
      <c r="V48" s="587"/>
      <c r="W48" s="130"/>
      <c r="X48" s="584"/>
      <c r="Y48" s="584"/>
      <c r="Z48" s="435"/>
      <c r="AA48" s="132"/>
      <c r="AB48" s="129"/>
      <c r="AC48" s="130"/>
      <c r="AD48" s="589"/>
      <c r="AE48" s="590"/>
      <c r="AF48" s="590"/>
      <c r="AG48" s="587"/>
      <c r="AH48" s="130"/>
      <c r="AI48" s="591"/>
      <c r="AJ48" s="592"/>
      <c r="AK48" s="584"/>
      <c r="AL48" s="584"/>
      <c r="AM48" s="130"/>
      <c r="AN48" s="130"/>
      <c r="AO48" s="130"/>
      <c r="AP48" s="132"/>
      <c r="AQ48" s="129"/>
      <c r="AR48" s="130"/>
      <c r="AS48" s="130"/>
      <c r="AT48" s="130"/>
      <c r="AU48" s="130"/>
      <c r="AV48" s="132"/>
      <c r="AW48" s="129"/>
      <c r="AX48" s="130"/>
      <c r="AY48" s="130"/>
      <c r="AZ48" s="131"/>
      <c r="BA48" s="587"/>
      <c r="BB48" s="587"/>
      <c r="BC48" s="588"/>
      <c r="BD48" s="132"/>
      <c r="BE48" s="592"/>
      <c r="BF48" s="79"/>
      <c r="BG48" s="596" t="s">
        <v>45</v>
      </c>
      <c r="BH48" s="597">
        <f>BH47+BH45</f>
        <v>940.51</v>
      </c>
      <c r="BI48" s="597">
        <f>(ROUND(BI47,0))+BI45+BI46</f>
        <v>824.36</v>
      </c>
      <c r="BJ48" s="597" t="e">
        <f>(ROUND(BJ47,0))+BJ45+BJ46</f>
        <v>#REF!</v>
      </c>
      <c r="BK48" s="597">
        <f>(ROUND(BK47,0))+BK45+BK46</f>
        <v>471</v>
      </c>
      <c r="BL48" s="591"/>
      <c r="BM48" s="110"/>
      <c r="BN48" s="1"/>
      <c r="BO48" s="1"/>
      <c r="BP48" s="1"/>
      <c r="BQ48" s="1"/>
      <c r="BR48" s="1"/>
      <c r="BS48" s="1"/>
      <c r="BT48" s="1"/>
      <c r="BU48" s="1"/>
      <c r="BV48" s="130"/>
      <c r="BW48" s="110"/>
      <c r="BX48" s="1"/>
      <c r="BY48" s="1"/>
      <c r="BZ48" s="1"/>
      <c r="CA48" s="1"/>
      <c r="CB48" s="1"/>
      <c r="CC48" s="1"/>
      <c r="CD48" s="1"/>
      <c r="CE48" s="1"/>
      <c r="CF48" s="1"/>
      <c r="CG48" s="111"/>
      <c r="CH48" s="110"/>
      <c r="CI48" s="1"/>
      <c r="CJ48" s="1"/>
      <c r="CK48" s="1"/>
      <c r="CL48" s="1"/>
      <c r="CM48" s="1"/>
      <c r="CN48" s="1"/>
      <c r="CO48" s="1"/>
      <c r="CP48" s="1"/>
      <c r="CQ48" s="111"/>
    </row>
    <row r="49" spans="3:95" ht="15.75" thickBot="1">
      <c r="C49" s="1130" t="s">
        <v>166</v>
      </c>
      <c r="D49" s="1130"/>
      <c r="E49" s="2" t="s">
        <v>189</v>
      </c>
      <c r="F49" s="445" t="s">
        <v>167</v>
      </c>
      <c r="G49" s="535"/>
      <c r="H49" s="535"/>
      <c r="I49" s="535"/>
      <c r="J49" s="536"/>
      <c r="K49" s="366" t="s">
        <v>198</v>
      </c>
      <c r="L49" s="439"/>
      <c r="N49" s="500" t="s">
        <v>249</v>
      </c>
      <c r="O49" s="500"/>
      <c r="P49" s="1"/>
      <c r="Q49" s="1"/>
      <c r="R49" s="11"/>
      <c r="S49" s="1"/>
      <c r="T49" s="12"/>
      <c r="U49" s="1"/>
      <c r="V49" s="1"/>
      <c r="W49" s="72"/>
      <c r="X49" s="72"/>
      <c r="Y49" s="366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32"/>
      <c r="BG49" s="1"/>
      <c r="BH49" s="1"/>
      <c r="BI49" s="1"/>
      <c r="BJ49" s="1"/>
      <c r="BK49" s="1"/>
      <c r="BL49" s="170"/>
      <c r="BM49" s="129"/>
      <c r="BN49" s="130"/>
      <c r="BO49" s="130"/>
      <c r="BP49" s="130"/>
      <c r="BQ49" s="130"/>
      <c r="BR49" s="130"/>
      <c r="BS49" s="130"/>
      <c r="BT49" s="130"/>
      <c r="BU49" s="130"/>
      <c r="BW49" s="129"/>
      <c r="BX49" s="130"/>
      <c r="BY49" s="130"/>
      <c r="BZ49" s="130"/>
      <c r="CA49" s="130"/>
      <c r="CB49" s="130"/>
      <c r="CC49" s="130"/>
      <c r="CD49" s="130"/>
      <c r="CE49" s="130"/>
      <c r="CF49" s="130"/>
      <c r="CG49" s="132"/>
      <c r="CH49" s="129"/>
      <c r="CI49" s="130"/>
      <c r="CJ49" s="130"/>
      <c r="CK49" s="130"/>
      <c r="CL49" s="130"/>
      <c r="CM49" s="130"/>
      <c r="CN49" s="130"/>
      <c r="CO49" s="130"/>
      <c r="CP49" s="130"/>
      <c r="CQ49" s="132"/>
    </row>
    <row r="50" spans="3:95">
      <c r="C50" s="2" t="s">
        <v>164</v>
      </c>
      <c r="E50" s="2"/>
      <c r="F50" s="210"/>
      <c r="G50" s="92" t="s">
        <v>168</v>
      </c>
      <c r="H50" s="92" t="s">
        <v>169</v>
      </c>
      <c r="I50" s="92" t="s">
        <v>204</v>
      </c>
      <c r="J50" s="494" t="s">
        <v>203</v>
      </c>
      <c r="K50" s="366" t="s">
        <v>166</v>
      </c>
      <c r="L50" s="439"/>
      <c r="N50" s="598" t="s">
        <v>192</v>
      </c>
      <c r="O50" s="599">
        <v>3501.9999999999995</v>
      </c>
      <c r="P50" s="1"/>
      <c r="Q50" s="234"/>
      <c r="R50" s="234"/>
      <c r="S50" s="444"/>
      <c r="T50" s="1"/>
      <c r="U50" s="1"/>
      <c r="V50" s="1"/>
      <c r="W50" s="366"/>
      <c r="X50" s="68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383"/>
      <c r="BG50" s="1"/>
      <c r="BH50" s="1"/>
      <c r="BI50" s="1"/>
      <c r="BJ50" s="1"/>
      <c r="BK50" s="1"/>
      <c r="BL50" s="170"/>
      <c r="BM50" s="366"/>
    </row>
    <row r="51" spans="3:95">
      <c r="C51" s="2" t="s">
        <v>9</v>
      </c>
      <c r="D51" s="8">
        <f>H36</f>
        <v>33392.170000000006</v>
      </c>
      <c r="E51" s="189"/>
      <c r="F51" s="497" t="s">
        <v>18</v>
      </c>
      <c r="G51" s="495">
        <v>2502.15</v>
      </c>
      <c r="H51" s="495">
        <v>660.88</v>
      </c>
      <c r="I51" s="495">
        <v>1841.27</v>
      </c>
      <c r="J51" s="496"/>
      <c r="K51" s="144" t="s">
        <v>164</v>
      </c>
      <c r="L51" s="436"/>
      <c r="N51" s="598" t="s">
        <v>199</v>
      </c>
      <c r="O51" s="564">
        <v>3192.5899999999997</v>
      </c>
      <c r="P51" s="1"/>
      <c r="Q51" s="234"/>
      <c r="R51" s="234"/>
      <c r="S51" s="301"/>
      <c r="T51" s="1"/>
      <c r="U51" s="1"/>
      <c r="V51" s="1"/>
      <c r="W51" s="72"/>
      <c r="X51" s="68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366"/>
    </row>
    <row r="52" spans="3:95">
      <c r="C52" s="2" t="s">
        <v>18</v>
      </c>
      <c r="D52" s="8">
        <f>O36</f>
        <v>32809.9</v>
      </c>
      <c r="E52" s="189"/>
      <c r="F52" s="497" t="s">
        <v>19</v>
      </c>
      <c r="G52" s="495">
        <v>3130.41</v>
      </c>
      <c r="H52" s="495">
        <v>965.66</v>
      </c>
      <c r="I52" s="495">
        <v>2164.75</v>
      </c>
      <c r="J52" s="496"/>
      <c r="K52" s="492" t="s">
        <v>163</v>
      </c>
      <c r="L52" s="96">
        <v>2420.3999999999996</v>
      </c>
      <c r="N52" s="600" t="s">
        <v>209</v>
      </c>
      <c r="O52" s="601">
        <v>2936.18</v>
      </c>
      <c r="P52" s="1"/>
      <c r="Q52" s="1"/>
      <c r="R52" s="11"/>
      <c r="S52" s="1"/>
      <c r="T52" s="1"/>
      <c r="U52" s="1"/>
      <c r="V52" s="1"/>
      <c r="W52" s="72"/>
      <c r="X52" s="6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366"/>
    </row>
    <row r="53" spans="3:95">
      <c r="C53" s="2" t="s">
        <v>19</v>
      </c>
      <c r="D53" s="8">
        <f>V36</f>
        <v>35259.58</v>
      </c>
      <c r="E53" s="189"/>
      <c r="F53" s="497" t="s">
        <v>20</v>
      </c>
      <c r="G53" s="568">
        <v>1180.2600000000002</v>
      </c>
      <c r="H53" s="568">
        <v>632.44000000000005</v>
      </c>
      <c r="I53" s="568">
        <v>547.82000000000005</v>
      </c>
      <c r="J53" s="496"/>
      <c r="K53" s="492" t="s">
        <v>192</v>
      </c>
      <c r="L53" s="438">
        <v>7629.6900000000023</v>
      </c>
      <c r="N53" s="602" t="s">
        <v>210</v>
      </c>
      <c r="O53" s="603" t="e">
        <f>#REF!</f>
        <v>#REF!</v>
      </c>
      <c r="P53" s="1"/>
      <c r="Q53" s="1"/>
      <c r="R53" s="11"/>
      <c r="S53" s="1"/>
      <c r="T53" s="1"/>
      <c r="U53" s="1"/>
      <c r="V53" s="1"/>
      <c r="W53" s="72"/>
      <c r="X53" s="7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366"/>
    </row>
    <row r="54" spans="3:95">
      <c r="C54" s="2" t="s">
        <v>20</v>
      </c>
      <c r="D54">
        <v>34690.219999999994</v>
      </c>
      <c r="E54" s="189"/>
      <c r="F54" s="497" t="s">
        <v>248</v>
      </c>
      <c r="G54" s="568">
        <v>2026.4</v>
      </c>
      <c r="H54" s="568">
        <v>868.92</v>
      </c>
      <c r="I54" s="568">
        <v>1157.48</v>
      </c>
      <c r="J54" s="496"/>
      <c r="K54" s="492" t="s">
        <v>199</v>
      </c>
      <c r="L54" s="438">
        <v>8423.6400000000012</v>
      </c>
      <c r="N54" s="602" t="s">
        <v>211</v>
      </c>
      <c r="O54" s="666">
        <v>2465.2500000000005</v>
      </c>
      <c r="P54" s="1"/>
      <c r="Q54" s="1"/>
      <c r="R54" s="11"/>
      <c r="S54" s="1"/>
      <c r="T54" s="1"/>
      <c r="U54" s="1"/>
      <c r="V54" s="1"/>
      <c r="W54" s="72"/>
      <c r="X54" s="68"/>
      <c r="Y54" s="366"/>
      <c r="Z54" s="366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3:95">
      <c r="C55" s="2" t="s">
        <v>148</v>
      </c>
      <c r="D55">
        <v>30955.48</v>
      </c>
      <c r="E55" s="189"/>
      <c r="F55" s="497" t="s">
        <v>162</v>
      </c>
      <c r="G55" s="571">
        <v>2927.79</v>
      </c>
      <c r="H55" s="572">
        <v>1147.08</v>
      </c>
      <c r="I55" s="568">
        <v>1780.71</v>
      </c>
      <c r="J55" s="496"/>
      <c r="K55" s="493" t="s">
        <v>209</v>
      </c>
      <c r="L55" s="438">
        <v>8639.7199999999993</v>
      </c>
      <c r="N55" s="2" t="s">
        <v>9</v>
      </c>
      <c r="O55" s="232">
        <v>1936.8</v>
      </c>
      <c r="P55" s="1"/>
      <c r="Q55" s="1"/>
      <c r="R55" s="11"/>
      <c r="S55" s="1"/>
      <c r="T55" s="1"/>
      <c r="U55" s="1"/>
      <c r="V55" s="1"/>
      <c r="W55" s="72"/>
      <c r="X55" s="143"/>
      <c r="Y55" s="366"/>
      <c r="Z55" s="366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3:95">
      <c r="C56" s="2" t="s">
        <v>162</v>
      </c>
      <c r="D56">
        <v>31239.439999999995</v>
      </c>
      <c r="E56" s="189"/>
      <c r="F56" s="497" t="s">
        <v>163</v>
      </c>
      <c r="G56" s="568">
        <f>H56+I56</f>
        <v>2494.3200000000002</v>
      </c>
      <c r="H56" s="568">
        <v>1035.6500000000001</v>
      </c>
      <c r="I56" s="568">
        <v>1458.67</v>
      </c>
      <c r="J56" s="565">
        <v>199.36</v>
      </c>
      <c r="K56" s="539" t="s">
        <v>210</v>
      </c>
      <c r="L56" s="438">
        <v>12605.26</v>
      </c>
      <c r="N56" s="2" t="s">
        <v>18</v>
      </c>
      <c r="O56" s="168">
        <v>3770.63</v>
      </c>
      <c r="P56" s="1"/>
      <c r="Q56" s="1"/>
      <c r="R56" s="1"/>
      <c r="S56" s="1"/>
      <c r="T56" s="1"/>
      <c r="U56" s="1"/>
      <c r="V56" s="1"/>
      <c r="Y56" s="366"/>
      <c r="Z56" s="366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F56" s="1"/>
      <c r="BL56" s="1"/>
      <c r="BM56" s="1"/>
    </row>
    <row r="57" spans="3:95">
      <c r="C57" s="2" t="s">
        <v>163</v>
      </c>
      <c r="D57" s="8">
        <v>28986.99</v>
      </c>
      <c r="E57" s="189"/>
      <c r="F57" s="497" t="s">
        <v>192</v>
      </c>
      <c r="G57" s="568">
        <f>H57+I57</f>
        <v>2957.59</v>
      </c>
      <c r="H57" s="568">
        <v>918.57</v>
      </c>
      <c r="I57" s="568">
        <v>2039.02</v>
      </c>
      <c r="J57" s="575">
        <v>703.01</v>
      </c>
      <c r="K57" s="539" t="s">
        <v>211</v>
      </c>
      <c r="L57" s="475">
        <v>11425.189999999999</v>
      </c>
      <c r="N57" s="2" t="s">
        <v>19</v>
      </c>
      <c r="O57" s="871">
        <f>'ЗП июЛь'!M35</f>
        <v>1736.5160000000001</v>
      </c>
      <c r="P57" s="1"/>
      <c r="Q57" s="1"/>
      <c r="R57" s="1"/>
      <c r="S57" s="1"/>
      <c r="T57" s="1"/>
      <c r="U57" s="1"/>
      <c r="V57" s="1"/>
      <c r="Y57" s="366"/>
      <c r="Z57" s="366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F57" s="1"/>
      <c r="BL57" s="1"/>
      <c r="BM57" s="1"/>
    </row>
    <row r="58" spans="3:95">
      <c r="C58" s="2" t="s">
        <v>192</v>
      </c>
      <c r="D58" s="86">
        <v>31654.69</v>
      </c>
      <c r="E58" s="2"/>
      <c r="F58" s="497" t="s">
        <v>199</v>
      </c>
      <c r="G58" s="568">
        <f>H58+I58</f>
        <v>2533.39</v>
      </c>
      <c r="H58" s="568">
        <v>899.78</v>
      </c>
      <c r="I58" s="568">
        <v>1633.61</v>
      </c>
      <c r="J58" s="566">
        <v>529.24</v>
      </c>
      <c r="K58" s="2" t="s">
        <v>9</v>
      </c>
      <c r="L58" s="168">
        <v>13612.520000000002</v>
      </c>
      <c r="N58" s="127"/>
      <c r="O58" s="540"/>
      <c r="P58" s="1"/>
      <c r="Q58" s="1"/>
      <c r="R58" s="1"/>
      <c r="S58" s="1"/>
      <c r="T58" s="1"/>
      <c r="U58" s="1"/>
      <c r="V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M58" s="1"/>
    </row>
    <row r="59" spans="3:95">
      <c r="C59" s="2" t="s">
        <v>199</v>
      </c>
      <c r="D59" s="168">
        <v>28891.4</v>
      </c>
      <c r="E59" s="2"/>
      <c r="F59" s="497" t="s">
        <v>209</v>
      </c>
      <c r="G59" s="568">
        <f>H59+I59</f>
        <v>2379.6400000000003</v>
      </c>
      <c r="H59" s="568">
        <v>815.26</v>
      </c>
      <c r="I59" s="568">
        <v>1564.38</v>
      </c>
      <c r="J59" s="566">
        <v>500.24</v>
      </c>
      <c r="K59" s="2" t="s">
        <v>18</v>
      </c>
      <c r="L59" s="168">
        <v>14474.099999999999</v>
      </c>
      <c r="N59" s="1"/>
      <c r="O59" s="1"/>
      <c r="P59" s="1"/>
      <c r="Q59" s="1"/>
      <c r="R59" s="1"/>
      <c r="S59" s="1"/>
      <c r="T59" s="1"/>
      <c r="U59" s="1"/>
      <c r="V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3:95" ht="15.75" thickBot="1">
      <c r="C60" s="11" t="s">
        <v>209</v>
      </c>
      <c r="D60" s="538">
        <v>28339.37</v>
      </c>
      <c r="E60" s="2"/>
      <c r="F60" s="537" t="s">
        <v>210</v>
      </c>
      <c r="G60" s="569">
        <f>H60+I60</f>
        <v>2905.91</v>
      </c>
      <c r="H60" s="570">
        <v>1117.0999999999999</v>
      </c>
      <c r="I60" s="569">
        <v>1788.81</v>
      </c>
      <c r="J60" s="567">
        <v>1191.06</v>
      </c>
      <c r="K60" s="2" t="s">
        <v>19</v>
      </c>
      <c r="L60" s="667">
        <v>17170.439999999999</v>
      </c>
      <c r="N60" s="1"/>
      <c r="O60" s="1"/>
      <c r="P60" s="1"/>
      <c r="Q60" s="1"/>
      <c r="R60" s="1"/>
      <c r="S60" s="1"/>
      <c r="T60" s="1"/>
      <c r="U60" s="1"/>
      <c r="V60" s="1"/>
      <c r="AW60" s="1"/>
      <c r="AX60" s="1"/>
      <c r="AY60" s="1"/>
      <c r="AZ60" s="1"/>
      <c r="BA60" s="1"/>
      <c r="BB60" s="1"/>
      <c r="BC60" s="1"/>
      <c r="BD60" s="1"/>
    </row>
    <row r="61" spans="3:95" ht="15.75" thickBot="1">
      <c r="C61" s="2" t="s">
        <v>210</v>
      </c>
      <c r="D61" s="145">
        <v>28933.9</v>
      </c>
      <c r="E61" s="2"/>
      <c r="F61" s="537" t="s">
        <v>311</v>
      </c>
      <c r="G61" s="605" t="s">
        <v>258</v>
      </c>
      <c r="H61" s="568">
        <v>999.89</v>
      </c>
      <c r="I61" t="s">
        <v>258</v>
      </c>
      <c r="J61" t="s">
        <v>258</v>
      </c>
      <c r="K61" s="144" t="s">
        <v>20</v>
      </c>
      <c r="L61">
        <v>17084.789999999997</v>
      </c>
      <c r="N61" s="1"/>
      <c r="O61" s="1"/>
      <c r="P61" s="1"/>
      <c r="Q61" s="1"/>
      <c r="R61" s="1"/>
      <c r="S61" s="1"/>
      <c r="T61" s="1"/>
      <c r="U61" s="1"/>
      <c r="V61" s="1"/>
    </row>
    <row r="62" spans="3:95">
      <c r="C62" s="144" t="s">
        <v>211</v>
      </c>
      <c r="D62" s="145">
        <v>23375.089999999997</v>
      </c>
      <c r="E62" s="2"/>
      <c r="F62" s="497" t="s">
        <v>9</v>
      </c>
      <c r="H62" s="730">
        <v>1134.25</v>
      </c>
      <c r="K62" s="2" t="s">
        <v>148</v>
      </c>
      <c r="L62">
        <v>16010.099999999999</v>
      </c>
    </row>
    <row r="63" spans="3:95">
      <c r="C63" s="2" t="s">
        <v>9</v>
      </c>
      <c r="D63" s="729">
        <v>22761.37</v>
      </c>
      <c r="E63" s="2"/>
      <c r="F63" s="2" t="s">
        <v>18</v>
      </c>
      <c r="H63" s="730">
        <v>1275.26</v>
      </c>
      <c r="K63" s="2" t="s">
        <v>162</v>
      </c>
      <c r="L63" s="8">
        <v>18487.2</v>
      </c>
    </row>
    <row r="64" spans="3:95">
      <c r="C64" s="2" t="s">
        <v>18</v>
      </c>
      <c r="D64" s="168">
        <v>23251.61</v>
      </c>
      <c r="E64" s="2"/>
      <c r="F64" s="2" t="s">
        <v>19</v>
      </c>
      <c r="K64" s="144" t="s">
        <v>163</v>
      </c>
      <c r="L64">
        <v>18961.969999999998</v>
      </c>
    </row>
    <row r="65" spans="3:12" ht="15.75" thickBot="1">
      <c r="C65" s="2" t="s">
        <v>19</v>
      </c>
      <c r="D65" s="667">
        <v>30633.54</v>
      </c>
      <c r="E65" s="2"/>
      <c r="K65" s="144" t="s">
        <v>192</v>
      </c>
      <c r="L65" s="735">
        <v>20708.280000000002</v>
      </c>
    </row>
    <row r="66" spans="3:12" ht="15.75" thickTop="1">
      <c r="C66" s="2" t="s">
        <v>20</v>
      </c>
      <c r="D66">
        <v>28716.309999999994</v>
      </c>
      <c r="E66" s="2"/>
      <c r="I66" s="1"/>
      <c r="J66" s="12"/>
      <c r="K66" s="961" t="s">
        <v>192</v>
      </c>
      <c r="L66" s="962">
        <v>20708.280000000002</v>
      </c>
    </row>
    <row r="67" spans="3:12">
      <c r="C67" s="2" t="s">
        <v>148</v>
      </c>
      <c r="D67">
        <v>26800.16</v>
      </c>
      <c r="E67" s="2"/>
      <c r="I67" s="12"/>
      <c r="J67" s="12"/>
      <c r="K67" s="379" t="s">
        <v>199</v>
      </c>
      <c r="L67" s="621">
        <v>16124.6</v>
      </c>
    </row>
    <row r="68" spans="3:12">
      <c r="C68" s="2" t="s">
        <v>162</v>
      </c>
      <c r="D68" s="8">
        <v>25796.490000000005</v>
      </c>
      <c r="E68" s="2"/>
      <c r="K68" s="2" t="s">
        <v>209</v>
      </c>
      <c r="L68" s="8">
        <v>6808.7</v>
      </c>
    </row>
    <row r="69" spans="3:12" ht="15.75" thickBot="1">
      <c r="C69" s="2" t="s">
        <v>163</v>
      </c>
      <c r="D69">
        <v>26221.170000000002</v>
      </c>
      <c r="E69" s="2"/>
      <c r="H69" s="12"/>
      <c r="I69" s="12"/>
      <c r="K69" t="s">
        <v>210</v>
      </c>
      <c r="L69" s="8">
        <f>март!I99</f>
        <v>5182</v>
      </c>
    </row>
    <row r="70" spans="3:12" ht="15.75" thickBot="1">
      <c r="C70" s="2" t="s">
        <v>192</v>
      </c>
      <c r="D70">
        <v>25688.519999999993</v>
      </c>
      <c r="E70" s="2"/>
      <c r="H70" s="292">
        <v>26221.170000000002</v>
      </c>
      <c r="I70" s="292">
        <v>18961.969999999998</v>
      </c>
    </row>
    <row r="71" spans="3:12">
      <c r="C71" s="2" t="s">
        <v>199</v>
      </c>
      <c r="E71" s="2"/>
    </row>
    <row r="72" spans="3:12">
      <c r="C72" s="2" t="s">
        <v>209</v>
      </c>
      <c r="E72" s="2"/>
    </row>
    <row r="73" spans="3:12">
      <c r="C73" s="2" t="s">
        <v>210</v>
      </c>
      <c r="E73" s="2"/>
    </row>
    <row r="74" spans="3:12">
      <c r="E74" s="2"/>
    </row>
    <row r="75" spans="3:12">
      <c r="E75" s="2"/>
    </row>
    <row r="76" spans="3:12">
      <c r="E76" s="2"/>
    </row>
    <row r="77" spans="3:12">
      <c r="E77" s="2"/>
    </row>
    <row r="78" spans="3:12">
      <c r="E78" s="2"/>
    </row>
    <row r="79" spans="3:12">
      <c r="E79" s="2"/>
    </row>
    <row r="80" spans="3:12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mergeCells count="22">
    <mergeCell ref="CK1:CL1"/>
    <mergeCell ref="CF1:CG1"/>
    <mergeCell ref="BO1:BQ1"/>
    <mergeCell ref="AP29:AP34"/>
    <mergeCell ref="AL1:AN1"/>
    <mergeCell ref="AP12:AP13"/>
    <mergeCell ref="T1:V1"/>
    <mergeCell ref="AV10:AV12"/>
    <mergeCell ref="AV19:AV25"/>
    <mergeCell ref="AR1:AT1"/>
    <mergeCell ref="AG1:AI1"/>
    <mergeCell ref="AL11:AL24"/>
    <mergeCell ref="C49:D49"/>
    <mergeCell ref="B43:C43"/>
    <mergeCell ref="D1:E1"/>
    <mergeCell ref="K1:L1"/>
    <mergeCell ref="Q44:R44"/>
    <mergeCell ref="BG35:BK35"/>
    <mergeCell ref="BG36:BK36"/>
    <mergeCell ref="BG1:BI1"/>
    <mergeCell ref="BG37:BK37"/>
    <mergeCell ref="AY1:BA1"/>
  </mergeCells>
  <conditionalFormatting sqref="B4:G34">
    <cfRule type="expression" dxfId="97" priority="43">
      <formula>$B4=7</formula>
    </cfRule>
    <cfRule type="expression" dxfId="96" priority="44">
      <formula>$B4=6</formula>
    </cfRule>
  </conditionalFormatting>
  <conditionalFormatting sqref="P4:U34">
    <cfRule type="expression" dxfId="95" priority="39">
      <formula>$B4=7</formula>
    </cfRule>
    <cfRule type="expression" dxfId="94" priority="40">
      <formula>$B4=6</formula>
    </cfRule>
  </conditionalFormatting>
  <conditionalFormatting sqref="I4:N34">
    <cfRule type="expression" dxfId="93" priority="41">
      <formula>$B4=7</formula>
    </cfRule>
    <cfRule type="expression" dxfId="92" priority="42">
      <formula>$B4=6</formula>
    </cfRule>
  </conditionalFormatting>
  <conditionalFormatting sqref="AC4:AH34">
    <cfRule type="expression" dxfId="91" priority="37">
      <formula>$B4=7</formula>
    </cfRule>
    <cfRule type="expression" dxfId="90" priority="38">
      <formula>$B4=6</formula>
    </cfRule>
  </conditionalFormatting>
  <conditionalFormatting sqref="AJ3:AN3 AM12:AN27 AM30:AN33 AM28 AL4:AN11 AJ4:AK33">
    <cfRule type="expression" dxfId="89" priority="35">
      <formula>$B3=7</formula>
    </cfRule>
    <cfRule type="expression" dxfId="88" priority="36">
      <formula>$B3=6</formula>
    </cfRule>
  </conditionalFormatting>
  <conditionalFormatting sqref="AL31">
    <cfRule type="expression" dxfId="87" priority="33">
      <formula>$B31=7</formula>
    </cfRule>
    <cfRule type="expression" dxfId="86" priority="34">
      <formula>$B31=6</formula>
    </cfRule>
  </conditionalFormatting>
  <conditionalFormatting sqref="AN28">
    <cfRule type="expression" dxfId="85" priority="31">
      <formula>$B28=7</formula>
    </cfRule>
    <cfRule type="expression" dxfId="84" priority="32">
      <formula>$B28=6</formula>
    </cfRule>
  </conditionalFormatting>
  <conditionalFormatting sqref="AL30">
    <cfRule type="expression" dxfId="83" priority="29">
      <formula>$B30=7</formula>
    </cfRule>
    <cfRule type="expression" dxfId="82" priority="30">
      <formula>$B30=6</formula>
    </cfRule>
  </conditionalFormatting>
  <conditionalFormatting sqref="AQ3:AU3 AT31:AU32 AT12:AU27 AU30 AU33 AS4:AU11 AQ4:AR33">
    <cfRule type="expression" dxfId="81" priority="27">
      <formula>$B3=7</formula>
    </cfRule>
    <cfRule type="expression" dxfId="80" priority="28">
      <formula>$B3=6</formula>
    </cfRule>
  </conditionalFormatting>
  <conditionalFormatting sqref="AS31">
    <cfRule type="expression" dxfId="79" priority="25">
      <formula>$B31=7</formula>
    </cfRule>
    <cfRule type="expression" dxfId="78" priority="26">
      <formula>$B31=6</formula>
    </cfRule>
  </conditionalFormatting>
  <conditionalFormatting sqref="AS30">
    <cfRule type="expression" dxfId="77" priority="23">
      <formula>$B30=7</formula>
    </cfRule>
    <cfRule type="expression" dxfId="76" priority="24">
      <formula>$B30=6</formula>
    </cfRule>
  </conditionalFormatting>
  <conditionalFormatting sqref="AS14:AS15">
    <cfRule type="expression" dxfId="75" priority="21">
      <formula>$B14=7</formula>
    </cfRule>
    <cfRule type="expression" dxfId="74" priority="22">
      <formula>$B14=6</formula>
    </cfRule>
  </conditionalFormatting>
  <conditionalFormatting sqref="AS21:AS22">
    <cfRule type="expression" dxfId="73" priority="19">
      <formula>$B21=7</formula>
    </cfRule>
    <cfRule type="expression" dxfId="72" priority="20">
      <formula>$B21=6</formula>
    </cfRule>
  </conditionalFormatting>
  <conditionalFormatting sqref="AS28:AS29">
    <cfRule type="expression" dxfId="71" priority="17">
      <formula>$B28=7</formula>
    </cfRule>
    <cfRule type="expression" dxfId="70" priority="18">
      <formula>$B28=6</formula>
    </cfRule>
  </conditionalFormatting>
  <conditionalFormatting sqref="AT28:AT29">
    <cfRule type="expression" dxfId="69" priority="15">
      <formula>$B28=7</formula>
    </cfRule>
    <cfRule type="expression" dxfId="68" priority="16">
      <formula>$B28=6</formula>
    </cfRule>
  </conditionalFormatting>
  <conditionalFormatting sqref="AU28:AU29">
    <cfRule type="expression" dxfId="67" priority="13">
      <formula>$B28=7</formula>
    </cfRule>
    <cfRule type="expression" dxfId="66" priority="14">
      <formula>$B28=6</formula>
    </cfRule>
  </conditionalFormatting>
  <conditionalFormatting sqref="AT30">
    <cfRule type="expression" dxfId="65" priority="11">
      <formula>$B30=7</formula>
    </cfRule>
    <cfRule type="expression" dxfId="64" priority="12">
      <formula>$B30=6</formula>
    </cfRule>
  </conditionalFormatting>
  <conditionalFormatting sqref="BA33:BB33 AW33:AX33 AW30:BB32 AW27:BA29 AW3:BB22 AW24:BB26 AW23:BA23">
    <cfRule type="expression" dxfId="63" priority="9">
      <formula>$B3=7</formula>
    </cfRule>
    <cfRule type="expression" dxfId="62" priority="10">
      <formula>$B3=6</formula>
    </cfRule>
  </conditionalFormatting>
  <conditionalFormatting sqref="BJ33:BK33 BH27:BJ29 BF3:BK3 BH23:BJ23 BH4:BK22 BH24:BK26 BF4:BG33 BH30:BK32">
    <cfRule type="expression" dxfId="61" priority="7">
      <formula>$B3=7</formula>
    </cfRule>
    <cfRule type="expression" dxfId="60" priority="8">
      <formula>$B3=6</formula>
    </cfRule>
  </conditionalFormatting>
  <conditionalFormatting sqref="BQ33:BR33 BO27:BQ29 BM3:BR3 BO23:BQ23 BO24:BR26 BO30:BR32 BM4:BN33 BO4:BR22">
    <cfRule type="expression" dxfId="59" priority="5">
      <formula>$B2=7</formula>
    </cfRule>
    <cfRule type="expression" dxfId="58" priority="6">
      <formula>$B2=6</formula>
    </cfRule>
  </conditionalFormatting>
  <conditionalFormatting sqref="CB32:CC32 BX2:CC2 BZ22:CB22 BZ23:CC25 BZ29:CC31 BZ3:CC3 BZ5:CC21 CB4:CC4 BZ4 BZ26:CB28 BX3:BY32">
    <cfRule type="expression" dxfId="57" priority="3">
      <formula>$B2=7</formula>
    </cfRule>
    <cfRule type="expression" dxfId="56" priority="4">
      <formula>$B2=6</formula>
    </cfRule>
  </conditionalFormatting>
  <conditionalFormatting sqref="CL33:CM33 CH3:CM3 CJ30:CM32 CJ4:CM4 CL5:CM5 CJ5 CJ27:CL29 CH4:CI33 CJ6:CM26">
    <cfRule type="expression" dxfId="55" priority="1">
      <formula>$B3=7</formula>
    </cfRule>
    <cfRule type="expression" dxfId="54" priority="2">
      <formula>$B3=6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7"/>
  <sheetViews>
    <sheetView topLeftCell="B485" zoomScale="40" zoomScaleNormal="40" zoomScaleSheetLayoutView="85" workbookViewId="0">
      <selection activeCell="X466" sqref="X466"/>
    </sheetView>
  </sheetViews>
  <sheetFormatPr defaultRowHeight="15"/>
  <cols>
    <col min="1" max="1" width="11.5703125" style="35" customWidth="1"/>
    <col min="2" max="2" width="15.140625" style="35" customWidth="1"/>
    <col min="3" max="3" width="10.5703125" style="35" customWidth="1"/>
    <col min="4" max="5" width="9.140625" style="35"/>
    <col min="6" max="6" width="11.42578125" style="35" customWidth="1"/>
    <col min="7" max="7" width="11" customWidth="1"/>
    <col min="8" max="8" width="6.28515625" customWidth="1"/>
    <col min="9" max="9" width="10.28515625" customWidth="1"/>
    <col min="10" max="10" width="11" customWidth="1"/>
    <col min="11" max="11" width="10.7109375" customWidth="1"/>
    <col min="12" max="12" width="10.28515625" customWidth="1"/>
    <col min="13" max="13" width="14.42578125" customWidth="1"/>
    <col min="14" max="14" width="10.140625" style="1" bestFit="1" customWidth="1"/>
    <col min="15" max="15" width="14.85546875" customWidth="1"/>
  </cols>
  <sheetData>
    <row r="1" spans="1:17">
      <c r="A1" s="1208" t="s">
        <v>28</v>
      </c>
      <c r="B1" s="1209"/>
      <c r="C1" s="1209"/>
      <c r="D1" s="1209"/>
      <c r="E1" s="1209"/>
      <c r="F1" s="1209"/>
      <c r="G1" s="1210"/>
      <c r="H1" s="394"/>
      <c r="I1" s="1183" t="s">
        <v>43</v>
      </c>
      <c r="J1" s="1183"/>
      <c r="K1" s="1183"/>
      <c r="L1" s="1183"/>
      <c r="M1" s="1184"/>
      <c r="N1" s="1209" t="s">
        <v>60</v>
      </c>
      <c r="O1" s="1209"/>
      <c r="P1" s="108"/>
      <c r="Q1" s="109"/>
    </row>
    <row r="2" spans="1:17" ht="19.5" customHeight="1">
      <c r="A2" s="395" t="s">
        <v>2</v>
      </c>
      <c r="B2" s="367" t="s">
        <v>34</v>
      </c>
      <c r="C2" s="36" t="s">
        <v>35</v>
      </c>
      <c r="D2" s="36" t="s">
        <v>38</v>
      </c>
      <c r="E2" s="36" t="s">
        <v>42</v>
      </c>
      <c r="F2" s="371" t="s">
        <v>36</v>
      </c>
      <c r="G2" s="1" t="s">
        <v>37</v>
      </c>
      <c r="H2" s="43"/>
      <c r="I2" s="40"/>
      <c r="J2" s="368" t="s">
        <v>41</v>
      </c>
      <c r="K2" s="368" t="s">
        <v>38</v>
      </c>
      <c r="L2" s="368" t="s">
        <v>42</v>
      </c>
      <c r="M2" s="100" t="s">
        <v>44</v>
      </c>
      <c r="O2" s="1"/>
      <c r="P2" s="282" t="s">
        <v>58</v>
      </c>
      <c r="Q2" s="396" t="s">
        <v>65</v>
      </c>
    </row>
    <row r="3" spans="1:17">
      <c r="A3" s="397">
        <v>43647</v>
      </c>
      <c r="B3" s="369" t="s">
        <v>97</v>
      </c>
      <c r="C3" s="37">
        <v>1364.15</v>
      </c>
      <c r="D3" s="37">
        <v>500</v>
      </c>
      <c r="E3" s="37">
        <f>C3-D3</f>
        <v>864.15000000000009</v>
      </c>
      <c r="F3" s="368" t="s">
        <v>91</v>
      </c>
      <c r="G3" s="150" t="e">
        <f>#REF!</f>
        <v>#REF!</v>
      </c>
      <c r="H3" s="43"/>
      <c r="I3" s="368" t="s">
        <v>39</v>
      </c>
      <c r="J3" s="368">
        <v>1841.27</v>
      </c>
      <c r="K3" s="368">
        <v>900</v>
      </c>
      <c r="L3" s="368">
        <f>J3-K3</f>
        <v>941.27</v>
      </c>
      <c r="M3" s="101">
        <v>43651</v>
      </c>
      <c r="N3" s="99">
        <v>43647</v>
      </c>
      <c r="O3" s="368" t="s">
        <v>30</v>
      </c>
      <c r="P3" s="368">
        <v>764.4</v>
      </c>
      <c r="Q3" s="111"/>
    </row>
    <row r="4" spans="1:17">
      <c r="A4" s="398"/>
      <c r="B4" s="369" t="s">
        <v>33</v>
      </c>
      <c r="C4" s="38">
        <v>756.48</v>
      </c>
      <c r="D4" s="46">
        <f>500+256.48</f>
        <v>756.48</v>
      </c>
      <c r="E4" s="37">
        <f t="shared" ref="E4:E9" si="0">C4-D4</f>
        <v>0</v>
      </c>
      <c r="F4" s="368" t="str">
        <f t="shared" ref="F4:F21" si="1">IF(C4=0,"",IF(C4-D4=0,"оплачено",""))</f>
        <v>оплачено</v>
      </c>
      <c r="G4" s="1" t="e">
        <f>#REF!</f>
        <v>#REF!</v>
      </c>
      <c r="H4" s="43"/>
      <c r="I4" s="368" t="s">
        <v>40</v>
      </c>
      <c r="J4" s="368">
        <v>660.88</v>
      </c>
      <c r="K4" s="368">
        <v>300</v>
      </c>
      <c r="L4" s="368">
        <f>J4-K4</f>
        <v>360.88</v>
      </c>
      <c r="M4" s="101">
        <v>43651</v>
      </c>
      <c r="N4" s="99">
        <v>43656</v>
      </c>
      <c r="O4" s="368" t="s">
        <v>30</v>
      </c>
      <c r="P4" s="368">
        <v>634.79999999999995</v>
      </c>
      <c r="Q4" s="111"/>
    </row>
    <row r="5" spans="1:17">
      <c r="A5" s="399" t="s">
        <v>70</v>
      </c>
      <c r="B5" s="54" t="s">
        <v>27</v>
      </c>
      <c r="C5" s="55">
        <v>1040.7</v>
      </c>
      <c r="D5" s="56">
        <v>1040.7</v>
      </c>
      <c r="E5" s="57">
        <f t="shared" si="0"/>
        <v>0</v>
      </c>
      <c r="F5" s="58" t="str">
        <f t="shared" si="1"/>
        <v>оплачено</v>
      </c>
      <c r="G5" s="1">
        <v>1628</v>
      </c>
      <c r="H5" s="43"/>
      <c r="I5" s="1"/>
      <c r="J5" s="92">
        <f>SUM(J3:J4)</f>
        <v>2502.15</v>
      </c>
      <c r="K5" s="1"/>
      <c r="L5" s="1">
        <f>SUM(L3:L4)</f>
        <v>1302.1500000000001</v>
      </c>
      <c r="M5" s="44"/>
      <c r="N5" s="99">
        <v>43661</v>
      </c>
      <c r="O5" s="368" t="s">
        <v>55</v>
      </c>
      <c r="P5" s="368">
        <v>575.25</v>
      </c>
      <c r="Q5" s="111"/>
    </row>
    <row r="6" spans="1:17">
      <c r="A6" s="400"/>
      <c r="B6" s="369" t="s">
        <v>29</v>
      </c>
      <c r="C6" s="39">
        <v>234.3</v>
      </c>
      <c r="D6" s="47">
        <v>234.3</v>
      </c>
      <c r="E6" s="37">
        <f t="shared" si="0"/>
        <v>0</v>
      </c>
      <c r="F6" s="368" t="str">
        <f t="shared" si="1"/>
        <v>оплачено</v>
      </c>
      <c r="G6" s="106">
        <v>354.5</v>
      </c>
      <c r="H6" s="1"/>
      <c r="I6" s="150"/>
      <c r="J6" s="1"/>
      <c r="K6" s="1"/>
      <c r="L6" s="1"/>
      <c r="M6" s="44"/>
      <c r="N6" s="370"/>
      <c r="O6" s="53" t="s">
        <v>64</v>
      </c>
      <c r="P6" s="53">
        <v>1182.9000000000001</v>
      </c>
      <c r="Q6" s="111"/>
    </row>
    <row r="7" spans="1:17" ht="15" customHeight="1">
      <c r="A7" s="1211">
        <v>43648</v>
      </c>
      <c r="B7" s="42" t="s">
        <v>31</v>
      </c>
      <c r="C7" s="41">
        <v>745.23</v>
      </c>
      <c r="D7" s="48"/>
      <c r="E7" s="50">
        <f t="shared" si="0"/>
        <v>745.23</v>
      </c>
      <c r="F7" s="41" t="s">
        <v>61</v>
      </c>
      <c r="G7" s="106">
        <v>1162</v>
      </c>
      <c r="H7" s="1192" t="s">
        <v>16</v>
      </c>
      <c r="I7" s="1174" t="s">
        <v>17</v>
      </c>
      <c r="J7" s="1174" t="s">
        <v>21</v>
      </c>
      <c r="K7" s="1174"/>
      <c r="L7" s="1176" t="s">
        <v>93</v>
      </c>
      <c r="M7" s="1178" t="s">
        <v>95</v>
      </c>
      <c r="N7" s="370"/>
      <c r="O7" s="53" t="s">
        <v>66</v>
      </c>
      <c r="P7" s="53">
        <v>554.70000000000005</v>
      </c>
      <c r="Q7" s="111"/>
    </row>
    <row r="8" spans="1:17" ht="23.25" customHeight="1">
      <c r="A8" s="1212"/>
      <c r="B8" s="368" t="s">
        <v>32</v>
      </c>
      <c r="C8" s="368">
        <v>229.95</v>
      </c>
      <c r="D8" s="49">
        <v>229.95</v>
      </c>
      <c r="E8" s="37">
        <f t="shared" si="0"/>
        <v>0</v>
      </c>
      <c r="F8" s="368" t="str">
        <f t="shared" si="1"/>
        <v>оплачено</v>
      </c>
      <c r="G8" s="106">
        <v>378</v>
      </c>
      <c r="H8" s="1192"/>
      <c r="I8" s="1174"/>
      <c r="J8" s="372" t="s">
        <v>21</v>
      </c>
      <c r="K8" s="372" t="s">
        <v>25</v>
      </c>
      <c r="L8" s="1176"/>
      <c r="M8" s="1178"/>
      <c r="N8" s="370"/>
      <c r="O8" s="53" t="s">
        <v>67</v>
      </c>
      <c r="P8" s="368">
        <f>292.5/2</f>
        <v>146.25</v>
      </c>
      <c r="Q8" s="111"/>
    </row>
    <row r="9" spans="1:17">
      <c r="A9" s="401">
        <v>43655</v>
      </c>
      <c r="B9" s="42" t="s">
        <v>31</v>
      </c>
      <c r="C9" s="41">
        <v>418.54</v>
      </c>
      <c r="D9" s="48"/>
      <c r="E9" s="50">
        <f t="shared" si="0"/>
        <v>418.54</v>
      </c>
      <c r="F9" s="41" t="s">
        <v>61</v>
      </c>
      <c r="G9" s="106"/>
      <c r="H9" s="105" t="s">
        <v>18</v>
      </c>
      <c r="I9" s="94">
        <v>32809.9</v>
      </c>
      <c r="J9" s="94">
        <v>1675.7199999999998</v>
      </c>
      <c r="K9" s="98">
        <v>1047.01</v>
      </c>
      <c r="L9" s="96">
        <v>52152</v>
      </c>
      <c r="M9" s="104">
        <f>82159.79-I9-J9-K9+L9</f>
        <v>98779.159999999989</v>
      </c>
      <c r="N9" s="99">
        <v>43669</v>
      </c>
      <c r="O9" s="368" t="s">
        <v>55</v>
      </c>
      <c r="P9" s="53">
        <v>1798</v>
      </c>
      <c r="Q9" s="111"/>
    </row>
    <row r="10" spans="1:17">
      <c r="A10" s="401">
        <v>43656</v>
      </c>
      <c r="B10" s="369" t="s">
        <v>149</v>
      </c>
      <c r="C10" s="368">
        <v>211.4</v>
      </c>
      <c r="D10" s="368">
        <v>211.4</v>
      </c>
      <c r="E10" s="37">
        <f t="shared" ref="E10:E21" si="2">C10-D10</f>
        <v>0</v>
      </c>
      <c r="F10" s="368" t="str">
        <f t="shared" si="1"/>
        <v>оплачено</v>
      </c>
      <c r="G10" s="106"/>
      <c r="H10" s="105" t="s">
        <v>19</v>
      </c>
      <c r="I10" s="94">
        <v>35259.579999999994</v>
      </c>
      <c r="J10" s="95">
        <v>1363.3000000000002</v>
      </c>
      <c r="K10" s="94">
        <v>1176.05</v>
      </c>
      <c r="L10" s="97">
        <v>40465.950000000004</v>
      </c>
      <c r="M10" s="96">
        <f>M9-I10-J10-K10+L10</f>
        <v>101446.18</v>
      </c>
      <c r="N10" s="370"/>
      <c r="O10" s="53" t="s">
        <v>82</v>
      </c>
      <c r="P10" s="53">
        <v>550</v>
      </c>
      <c r="Q10" s="111"/>
    </row>
    <row r="11" spans="1:17">
      <c r="A11" s="402">
        <v>43657</v>
      </c>
      <c r="B11" s="369" t="s">
        <v>71</v>
      </c>
      <c r="C11" s="368">
        <v>264.07</v>
      </c>
      <c r="D11" s="49">
        <v>264.07</v>
      </c>
      <c r="E11" s="37">
        <f t="shared" si="2"/>
        <v>0</v>
      </c>
      <c r="F11" s="368" t="str">
        <f t="shared" si="1"/>
        <v>оплачено</v>
      </c>
      <c r="G11" s="106"/>
      <c r="H11" s="1"/>
      <c r="I11" s="5" t="e">
        <f>#REF!</f>
        <v>#REF!</v>
      </c>
      <c r="J11" s="13">
        <v>1209.3000000000002</v>
      </c>
      <c r="K11" s="49">
        <v>1213.33</v>
      </c>
      <c r="L11" s="49">
        <v>19306</v>
      </c>
      <c r="M11" s="102"/>
      <c r="N11" s="370"/>
      <c r="O11" s="53" t="s">
        <v>83</v>
      </c>
      <c r="P11" s="53">
        <v>1800</v>
      </c>
      <c r="Q11" s="111"/>
    </row>
    <row r="12" spans="1:17">
      <c r="A12" s="402">
        <v>43658</v>
      </c>
      <c r="B12" s="369" t="s">
        <v>62</v>
      </c>
      <c r="C12" s="368">
        <v>543.64</v>
      </c>
      <c r="D12" s="368">
        <v>543.64</v>
      </c>
      <c r="E12" s="37">
        <f t="shared" si="2"/>
        <v>0</v>
      </c>
      <c r="F12" s="368" t="str">
        <f t="shared" si="1"/>
        <v>оплачено</v>
      </c>
      <c r="G12" s="12">
        <f>C10+C15</f>
        <v>378</v>
      </c>
      <c r="H12" s="43"/>
      <c r="I12" s="150"/>
      <c r="J12" s="1"/>
      <c r="K12" s="157"/>
      <c r="L12" s="150"/>
      <c r="M12" s="102"/>
      <c r="N12" s="370"/>
      <c r="O12" s="53" t="s">
        <v>84</v>
      </c>
      <c r="P12" s="53">
        <v>2400</v>
      </c>
      <c r="Q12" s="111"/>
    </row>
    <row r="13" spans="1:17">
      <c r="A13" s="402">
        <v>43663</v>
      </c>
      <c r="B13" s="42" t="s">
        <v>31</v>
      </c>
      <c r="C13" s="41">
        <v>497.17</v>
      </c>
      <c r="D13" s="41"/>
      <c r="E13" s="50">
        <f t="shared" si="2"/>
        <v>497.17</v>
      </c>
      <c r="F13" s="41" t="s">
        <v>61</v>
      </c>
      <c r="G13" s="1"/>
      <c r="H13" s="43"/>
      <c r="I13" s="1"/>
      <c r="J13" s="150"/>
      <c r="K13" s="157"/>
      <c r="L13" s="150"/>
      <c r="M13" s="102"/>
      <c r="N13" s="370"/>
      <c r="O13" s="53" t="s">
        <v>85</v>
      </c>
      <c r="P13" s="53">
        <v>40</v>
      </c>
      <c r="Q13" s="111"/>
    </row>
    <row r="14" spans="1:17">
      <c r="A14" s="401">
        <v>43666</v>
      </c>
      <c r="B14" s="368" t="s">
        <v>63</v>
      </c>
      <c r="C14" s="368">
        <v>178.15</v>
      </c>
      <c r="D14" s="368">
        <v>178.15</v>
      </c>
      <c r="E14" s="37">
        <f t="shared" si="2"/>
        <v>0</v>
      </c>
      <c r="F14" s="368" t="str">
        <f t="shared" si="1"/>
        <v>оплачено</v>
      </c>
      <c r="G14" s="1"/>
      <c r="H14" s="43"/>
      <c r="I14" s="1"/>
      <c r="J14" s="1"/>
      <c r="K14" s="158"/>
      <c r="L14" s="150"/>
      <c r="M14" s="44"/>
      <c r="N14" s="370"/>
      <c r="O14" s="53" t="s">
        <v>86</v>
      </c>
      <c r="P14" s="368">
        <f>1074/2</f>
        <v>537</v>
      </c>
      <c r="Q14" s="111"/>
    </row>
    <row r="15" spans="1:17">
      <c r="A15" s="401">
        <v>43668</v>
      </c>
      <c r="B15" s="368" t="s">
        <v>149</v>
      </c>
      <c r="C15" s="5">
        <v>166.6</v>
      </c>
      <c r="D15" s="5">
        <v>166.6</v>
      </c>
      <c r="E15" s="37">
        <f t="shared" si="2"/>
        <v>0</v>
      </c>
      <c r="F15" s="368" t="str">
        <f t="shared" si="1"/>
        <v>оплачено</v>
      </c>
      <c r="G15" s="1"/>
      <c r="H15" s="43"/>
      <c r="I15" s="1"/>
      <c r="J15" s="1"/>
      <c r="K15" s="1"/>
      <c r="L15" s="1"/>
      <c r="M15" s="102"/>
      <c r="N15" s="370"/>
      <c r="O15" s="53" t="s">
        <v>87</v>
      </c>
      <c r="P15" s="368">
        <v>165</v>
      </c>
      <c r="Q15" s="111"/>
    </row>
    <row r="16" spans="1:17">
      <c r="A16" s="401">
        <v>43661</v>
      </c>
      <c r="B16" s="368" t="s">
        <v>69</v>
      </c>
      <c r="C16" s="368">
        <v>293.3</v>
      </c>
      <c r="D16" s="368">
        <v>293.3</v>
      </c>
      <c r="E16" s="37">
        <f t="shared" si="2"/>
        <v>0</v>
      </c>
      <c r="F16" s="368" t="str">
        <f t="shared" si="1"/>
        <v>оплачено</v>
      </c>
      <c r="G16" s="1"/>
      <c r="H16" s="43"/>
      <c r="I16" s="1"/>
      <c r="J16" s="1"/>
      <c r="K16" s="1"/>
      <c r="L16" s="1"/>
      <c r="M16" s="44"/>
      <c r="N16" s="370"/>
      <c r="O16" s="53" t="s">
        <v>88</v>
      </c>
      <c r="P16" s="368">
        <f>594.3/2</f>
        <v>297.14999999999998</v>
      </c>
      <c r="Q16" s="111"/>
    </row>
    <row r="17" spans="1:17">
      <c r="A17" s="401">
        <v>43669</v>
      </c>
      <c r="B17" s="368" t="s">
        <v>71</v>
      </c>
      <c r="C17" s="368">
        <v>306.07</v>
      </c>
      <c r="D17" s="368">
        <v>306.07</v>
      </c>
      <c r="E17" s="37">
        <f t="shared" si="2"/>
        <v>0</v>
      </c>
      <c r="F17" s="368" t="str">
        <f t="shared" si="1"/>
        <v>оплачено</v>
      </c>
      <c r="G17" s="1"/>
      <c r="H17" s="43"/>
      <c r="I17" s="1"/>
      <c r="J17" s="1"/>
      <c r="K17" s="1"/>
      <c r="L17" s="1"/>
      <c r="M17" s="103"/>
      <c r="N17" s="370"/>
      <c r="O17" s="53" t="s">
        <v>92</v>
      </c>
      <c r="P17" s="368">
        <v>1200</v>
      </c>
      <c r="Q17" s="111"/>
    </row>
    <row r="18" spans="1:17">
      <c r="A18" s="401">
        <v>43671</v>
      </c>
      <c r="B18" s="368" t="s">
        <v>69</v>
      </c>
      <c r="C18" s="368">
        <v>297.16000000000003</v>
      </c>
      <c r="D18" s="368">
        <v>297.16000000000003</v>
      </c>
      <c r="E18" s="37">
        <f t="shared" si="2"/>
        <v>0</v>
      </c>
      <c r="F18" s="368" t="str">
        <f t="shared" si="1"/>
        <v>оплачено</v>
      </c>
      <c r="G18" s="1"/>
      <c r="H18" s="43">
        <v>1</v>
      </c>
      <c r="I18" s="1161" t="s">
        <v>47</v>
      </c>
      <c r="J18" s="1161"/>
      <c r="K18" s="368">
        <v>288.75</v>
      </c>
      <c r="L18" s="1" t="s">
        <v>56</v>
      </c>
      <c r="M18" s="44"/>
      <c r="N18" s="81">
        <v>43677</v>
      </c>
      <c r="O18" s="82" t="s">
        <v>27</v>
      </c>
      <c r="P18" s="157">
        <v>500</v>
      </c>
      <c r="Q18" s="403">
        <v>994</v>
      </c>
    </row>
    <row r="19" spans="1:17">
      <c r="A19" s="395"/>
      <c r="B19" s="368" t="s">
        <v>80</v>
      </c>
      <c r="C19" s="368">
        <v>1180.9000000000001</v>
      </c>
      <c r="D19" s="368">
        <v>1180.9000000000001</v>
      </c>
      <c r="E19" s="37">
        <f t="shared" si="2"/>
        <v>0</v>
      </c>
      <c r="F19" s="368" t="str">
        <f t="shared" si="1"/>
        <v>оплачено</v>
      </c>
      <c r="G19" s="1"/>
      <c r="H19" s="43">
        <v>2</v>
      </c>
      <c r="I19" s="1161" t="s">
        <v>51</v>
      </c>
      <c r="J19" s="1161"/>
      <c r="K19" s="368">
        <v>64.349999999999994</v>
      </c>
      <c r="L19" s="1" t="s">
        <v>56</v>
      </c>
      <c r="M19" s="44"/>
      <c r="O19" s="1"/>
      <c r="P19" s="92">
        <f>SUM(P3:P18)</f>
        <v>13145.449999999999</v>
      </c>
      <c r="Q19" s="111"/>
    </row>
    <row r="20" spans="1:17">
      <c r="A20" s="395" t="s">
        <v>90</v>
      </c>
      <c r="B20" s="368" t="s">
        <v>89</v>
      </c>
      <c r="C20" s="368">
        <v>1570</v>
      </c>
      <c r="D20" s="368">
        <v>1570</v>
      </c>
      <c r="E20" s="37">
        <f t="shared" si="2"/>
        <v>0</v>
      </c>
      <c r="F20" s="368" t="str">
        <f t="shared" si="1"/>
        <v>оплачено</v>
      </c>
      <c r="G20" s="1"/>
      <c r="H20" s="43">
        <v>3</v>
      </c>
      <c r="I20" s="1161" t="s">
        <v>52</v>
      </c>
      <c r="J20" s="1161"/>
      <c r="K20" s="368">
        <v>10</v>
      </c>
      <c r="L20" s="1" t="s">
        <v>56</v>
      </c>
      <c r="M20" s="44"/>
      <c r="O20" s="1"/>
      <c r="P20" s="1"/>
      <c r="Q20" s="111"/>
    </row>
    <row r="21" spans="1:17">
      <c r="A21" s="401">
        <v>43677</v>
      </c>
      <c r="B21" s="368" t="s">
        <v>97</v>
      </c>
      <c r="C21" s="93">
        <v>526.5</v>
      </c>
      <c r="D21" s="93">
        <v>526.5</v>
      </c>
      <c r="E21" s="37">
        <f t="shared" si="2"/>
        <v>0</v>
      </c>
      <c r="F21" s="368" t="str">
        <f t="shared" si="1"/>
        <v>оплачено</v>
      </c>
      <c r="G21" s="1"/>
      <c r="H21" s="43">
        <v>4</v>
      </c>
      <c r="I21" s="1161" t="s">
        <v>53</v>
      </c>
      <c r="J21" s="1161"/>
      <c r="K21" s="368">
        <v>5</v>
      </c>
      <c r="L21" s="1" t="s">
        <v>56</v>
      </c>
      <c r="M21" s="102"/>
      <c r="O21" s="1"/>
      <c r="P21" s="1"/>
      <c r="Q21" s="111"/>
    </row>
    <row r="22" spans="1:17">
      <c r="A22" s="110"/>
      <c r="B22" s="1"/>
      <c r="C22" s="404">
        <f>SUM(C3:C21)-C7-C9-C13</f>
        <v>9163.369999999999</v>
      </c>
      <c r="D22" s="1"/>
      <c r="E22" s="1"/>
      <c r="F22" s="1"/>
      <c r="G22" s="1"/>
      <c r="H22" s="43">
        <v>5</v>
      </c>
      <c r="I22" s="1161" t="s">
        <v>54</v>
      </c>
      <c r="J22" s="1161"/>
      <c r="K22" s="368">
        <v>4</v>
      </c>
      <c r="L22" s="1" t="s">
        <v>56</v>
      </c>
      <c r="M22" s="102"/>
      <c r="O22" s="1"/>
      <c r="P22" s="1"/>
      <c r="Q22" s="111"/>
    </row>
    <row r="23" spans="1:17">
      <c r="A23" s="110"/>
      <c r="B23" s="1"/>
      <c r="C23" s="1"/>
      <c r="D23" s="1"/>
      <c r="E23" s="1"/>
      <c r="F23" s="150"/>
      <c r="G23" s="1"/>
      <c r="H23" s="43">
        <v>6</v>
      </c>
      <c r="I23" s="1161" t="s">
        <v>49</v>
      </c>
      <c r="J23" s="1161"/>
      <c r="K23" s="368">
        <v>332.56</v>
      </c>
      <c r="L23" s="1" t="s">
        <v>56</v>
      </c>
      <c r="M23" s="102"/>
      <c r="O23" s="1"/>
      <c r="P23" s="1"/>
      <c r="Q23" s="111"/>
    </row>
    <row r="24" spans="1:17">
      <c r="A24" s="110"/>
      <c r="B24" s="1"/>
      <c r="C24" s="1"/>
      <c r="D24" s="1"/>
      <c r="E24" s="1"/>
      <c r="F24" s="1"/>
      <c r="G24" s="1"/>
      <c r="H24" s="43">
        <v>7</v>
      </c>
      <c r="I24" s="1191" t="s">
        <v>48</v>
      </c>
      <c r="J24" s="1188"/>
      <c r="K24" s="368">
        <v>458.46</v>
      </c>
      <c r="L24" s="150" t="s">
        <v>56</v>
      </c>
      <c r="M24" s="102"/>
      <c r="O24" s="1"/>
      <c r="P24" s="1"/>
      <c r="Q24" s="111"/>
    </row>
    <row r="25" spans="1:17">
      <c r="A25" s="110"/>
      <c r="B25" s="1"/>
      <c r="C25" s="1"/>
      <c r="D25" s="1"/>
      <c r="E25" s="1"/>
      <c r="F25" s="1"/>
      <c r="G25" s="1"/>
      <c r="H25" s="43">
        <v>8</v>
      </c>
      <c r="I25" s="1191" t="s">
        <v>57</v>
      </c>
      <c r="J25" s="1188"/>
      <c r="K25" s="368">
        <v>4.58</v>
      </c>
      <c r="L25" s="1" t="s">
        <v>56</v>
      </c>
      <c r="M25" s="44" t="s">
        <v>76</v>
      </c>
      <c r="O25" s="1"/>
      <c r="P25" s="1"/>
      <c r="Q25" s="111"/>
    </row>
    <row r="26" spans="1:17" s="35" customFormat="1">
      <c r="A26" s="110"/>
      <c r="B26" s="1"/>
      <c r="C26" s="150"/>
      <c r="D26" s="1"/>
      <c r="E26" s="1"/>
      <c r="F26" s="12"/>
      <c r="G26" s="1"/>
      <c r="H26" s="43">
        <v>9</v>
      </c>
      <c r="I26" s="1145" t="s">
        <v>59</v>
      </c>
      <c r="J26" s="1145"/>
      <c r="K26" s="368">
        <v>1041.98</v>
      </c>
      <c r="L26" s="1" t="s">
        <v>56</v>
      </c>
      <c r="M26" s="44"/>
      <c r="N26" s="1"/>
      <c r="O26" s="1"/>
      <c r="P26" s="1"/>
      <c r="Q26" s="111"/>
    </row>
    <row r="27" spans="1:17" s="35" customFormat="1">
      <c r="A27" s="110"/>
      <c r="B27" s="1"/>
      <c r="C27" s="1"/>
      <c r="D27" s="1"/>
      <c r="E27" s="1"/>
      <c r="F27" s="1"/>
      <c r="G27" s="1"/>
      <c r="H27" s="43">
        <v>10</v>
      </c>
      <c r="I27" s="1143" t="s">
        <v>68</v>
      </c>
      <c r="J27" s="1144"/>
      <c r="K27" s="368">
        <f>83.73+187.98</f>
        <v>271.70999999999998</v>
      </c>
      <c r="L27" s="1" t="s">
        <v>56</v>
      </c>
      <c r="M27" s="44"/>
      <c r="N27" s="1"/>
      <c r="O27" s="1"/>
      <c r="P27" s="1"/>
      <c r="Q27" s="111"/>
    </row>
    <row r="28" spans="1:17" s="35" customFormat="1">
      <c r="A28" s="110"/>
      <c r="B28" s="1"/>
      <c r="C28" s="1"/>
      <c r="D28" s="1"/>
      <c r="E28" s="1"/>
      <c r="F28" s="12"/>
      <c r="G28" s="12"/>
      <c r="H28" s="43">
        <v>11</v>
      </c>
      <c r="I28" s="1143" t="s">
        <v>81</v>
      </c>
      <c r="J28" s="1144"/>
      <c r="K28" s="53">
        <v>1730.44</v>
      </c>
      <c r="L28" s="1" t="s">
        <v>56</v>
      </c>
      <c r="M28" s="44"/>
      <c r="N28" s="1"/>
      <c r="O28" s="1"/>
      <c r="P28" s="1"/>
      <c r="Q28" s="111"/>
    </row>
    <row r="29" spans="1:17">
      <c r="A29" s="110"/>
      <c r="B29" s="1"/>
      <c r="C29" s="1"/>
      <c r="D29" s="1"/>
      <c r="E29" s="150"/>
      <c r="F29" s="1"/>
      <c r="G29" s="1"/>
      <c r="H29" s="43"/>
      <c r="I29" s="1" t="s">
        <v>50</v>
      </c>
      <c r="J29" s="1"/>
      <c r="K29" s="92">
        <f>SUM(K18:K28)</f>
        <v>4211.83</v>
      </c>
      <c r="L29" s="1"/>
      <c r="M29" s="44"/>
      <c r="O29" s="1"/>
      <c r="P29" s="1"/>
      <c r="Q29" s="111"/>
    </row>
    <row r="30" spans="1:17">
      <c r="A30" s="110"/>
      <c r="B30" s="1"/>
      <c r="C30" s="1"/>
      <c r="D30" s="1"/>
      <c r="E30" s="1"/>
      <c r="F30" s="1"/>
      <c r="G30" s="1"/>
      <c r="H30" s="43"/>
      <c r="I30" s="1"/>
      <c r="J30" s="1"/>
      <c r="K30" s="1"/>
      <c r="L30" s="1"/>
      <c r="M30" s="102"/>
      <c r="O30" s="1"/>
      <c r="P30" s="1"/>
      <c r="Q30" s="111"/>
    </row>
    <row r="31" spans="1:17">
      <c r="A31" s="110"/>
      <c r="B31" s="1"/>
      <c r="C31" s="1"/>
      <c r="D31" s="1"/>
      <c r="E31" s="1"/>
      <c r="F31" s="1"/>
      <c r="G31" s="1"/>
      <c r="H31" s="43"/>
      <c r="I31" s="1"/>
      <c r="J31" s="1"/>
      <c r="K31" s="1"/>
      <c r="L31" s="1"/>
      <c r="M31" s="44"/>
      <c r="O31" s="1"/>
      <c r="P31" s="1"/>
      <c r="Q31" s="111"/>
    </row>
    <row r="32" spans="1:17">
      <c r="A32" s="110"/>
      <c r="B32" s="1"/>
      <c r="C32" s="1"/>
      <c r="D32" s="1"/>
      <c r="E32" s="1"/>
      <c r="F32" s="1"/>
      <c r="G32" s="1"/>
      <c r="H32" s="43"/>
      <c r="I32" s="1"/>
      <c r="J32" s="1"/>
      <c r="K32" s="1"/>
      <c r="L32" s="1"/>
      <c r="M32" s="44"/>
      <c r="O32" s="1"/>
      <c r="P32" s="1"/>
      <c r="Q32" s="111"/>
    </row>
    <row r="33" spans="1:20" ht="15.75" thickBot="1">
      <c r="A33" s="110"/>
      <c r="B33" s="1"/>
      <c r="C33" s="1"/>
      <c r="D33" s="1"/>
      <c r="E33" s="1"/>
      <c r="F33" s="1"/>
      <c r="G33" s="1"/>
      <c r="H33" s="43"/>
      <c r="I33" s="1"/>
      <c r="J33" s="1"/>
      <c r="K33" s="1"/>
      <c r="L33" s="1"/>
      <c r="M33" s="44"/>
      <c r="O33" s="1"/>
      <c r="P33" s="1"/>
      <c r="Q33" s="111"/>
    </row>
    <row r="34" spans="1:20">
      <c r="A34" s="107"/>
      <c r="B34" s="108"/>
      <c r="C34" s="108"/>
      <c r="D34" s="108"/>
      <c r="E34" s="108"/>
      <c r="F34" s="108"/>
      <c r="G34" s="108"/>
      <c r="H34" s="108"/>
      <c r="I34" s="1193" t="s">
        <v>195</v>
      </c>
      <c r="J34" s="1193"/>
      <c r="K34" s="1193"/>
      <c r="L34" s="108"/>
      <c r="M34" s="108"/>
      <c r="N34" s="108"/>
      <c r="O34" s="108"/>
      <c r="P34" s="108"/>
      <c r="Q34" s="108"/>
      <c r="R34" s="108"/>
      <c r="S34" s="109"/>
    </row>
    <row r="35" spans="1:20">
      <c r="A35" s="430"/>
      <c r="B35" s="374"/>
      <c r="C35" s="374"/>
      <c r="D35" s="374"/>
      <c r="E35" s="374"/>
      <c r="F35" s="374"/>
      <c r="G35" s="374"/>
      <c r="H35" s="366"/>
      <c r="I35" s="1194"/>
      <c r="J35" s="1194"/>
      <c r="K35" s="1194"/>
      <c r="L35" s="374"/>
      <c r="M35" s="374"/>
      <c r="N35" s="1204"/>
      <c r="O35" s="1204"/>
      <c r="P35" s="366"/>
      <c r="Q35" s="366"/>
      <c r="R35" s="366"/>
      <c r="S35" s="405"/>
      <c r="T35" s="51"/>
    </row>
    <row r="36" spans="1:20" ht="15.75" thickBot="1">
      <c r="A36" s="406"/>
      <c r="B36" s="365"/>
      <c r="C36" s="374"/>
      <c r="D36" s="374"/>
      <c r="E36" s="374"/>
      <c r="F36" s="365"/>
      <c r="G36" s="366"/>
      <c r="H36" s="366"/>
      <c r="I36" s="366"/>
      <c r="J36" s="366"/>
      <c r="K36" s="366"/>
      <c r="L36" s="366"/>
      <c r="M36" s="366"/>
      <c r="N36" s="366"/>
      <c r="O36" s="366"/>
      <c r="P36" s="294"/>
      <c r="Q36" s="294"/>
      <c r="R36" s="366"/>
      <c r="S36" s="405"/>
      <c r="T36" s="51"/>
    </row>
    <row r="37" spans="1:20">
      <c r="A37" s="1205" t="s">
        <v>28</v>
      </c>
      <c r="B37" s="1199"/>
      <c r="C37" s="1199"/>
      <c r="D37" s="1199"/>
      <c r="E37" s="1199"/>
      <c r="F37" s="1199"/>
      <c r="G37" s="1199"/>
      <c r="H37" s="107"/>
      <c r="I37" s="1183" t="s">
        <v>103</v>
      </c>
      <c r="J37" s="1183"/>
      <c r="K37" s="1183"/>
      <c r="L37" s="1183"/>
      <c r="M37" s="1206"/>
      <c r="N37" s="1199" t="s">
        <v>60</v>
      </c>
      <c r="O37" s="1199"/>
      <c r="P37" s="1"/>
      <c r="Q37" s="1"/>
      <c r="R37" s="1"/>
      <c r="S37" s="111"/>
      <c r="T37" s="51"/>
    </row>
    <row r="38" spans="1:20">
      <c r="A38" s="395" t="s">
        <v>2</v>
      </c>
      <c r="B38" s="367" t="s">
        <v>34</v>
      </c>
      <c r="C38" s="36" t="s">
        <v>35</v>
      </c>
      <c r="D38" s="36" t="s">
        <v>38</v>
      </c>
      <c r="E38" s="36" t="s">
        <v>42</v>
      </c>
      <c r="F38" s="371" t="s">
        <v>36</v>
      </c>
      <c r="G38" s="369" t="s">
        <v>37</v>
      </c>
      <c r="H38" s="110"/>
      <c r="I38" s="40"/>
      <c r="J38" s="368" t="s">
        <v>104</v>
      </c>
      <c r="K38" s="368" t="s">
        <v>38</v>
      </c>
      <c r="L38" s="368" t="s">
        <v>42</v>
      </c>
      <c r="M38" s="120" t="s">
        <v>44</v>
      </c>
      <c r="N38" s="153" t="s">
        <v>2</v>
      </c>
      <c r="O38" s="53" t="s">
        <v>34</v>
      </c>
      <c r="P38" s="151" t="s">
        <v>58</v>
      </c>
      <c r="Q38" s="151" t="s">
        <v>65</v>
      </c>
      <c r="R38" s="366" t="s">
        <v>100</v>
      </c>
      <c r="S38" s="405" t="s">
        <v>40</v>
      </c>
      <c r="T38" s="51"/>
    </row>
    <row r="39" spans="1:20">
      <c r="A39" s="407">
        <v>43680</v>
      </c>
      <c r="B39" s="148" t="s">
        <v>31</v>
      </c>
      <c r="C39" s="149">
        <v>1213.06</v>
      </c>
      <c r="D39" s="215"/>
      <c r="E39" s="149">
        <f t="shared" ref="E39:E46" si="3">C39-D39</f>
        <v>1213.06</v>
      </c>
      <c r="F39" s="41" t="s">
        <v>61</v>
      </c>
      <c r="G39" s="152">
        <v>1809</v>
      </c>
      <c r="H39" s="110"/>
      <c r="I39" s="368" t="s">
        <v>39</v>
      </c>
      <c r="J39" s="368">
        <v>2164.75</v>
      </c>
      <c r="K39" s="368">
        <v>2164.75</v>
      </c>
      <c r="L39" s="159">
        <f>J39-K39</f>
        <v>0</v>
      </c>
      <c r="M39" s="155">
        <v>43699</v>
      </c>
      <c r="N39" s="154">
        <v>43684</v>
      </c>
      <c r="O39" s="368" t="s">
        <v>98</v>
      </c>
      <c r="P39" s="368">
        <v>1301</v>
      </c>
      <c r="Q39" s="368">
        <v>2442</v>
      </c>
      <c r="R39" s="366">
        <v>300</v>
      </c>
      <c r="S39" s="405">
        <v>390</v>
      </c>
      <c r="T39" s="51"/>
    </row>
    <row r="40" spans="1:20">
      <c r="A40" s="408">
        <v>43684</v>
      </c>
      <c r="B40" s="162" t="s">
        <v>32</v>
      </c>
      <c r="C40" s="98">
        <v>799.35</v>
      </c>
      <c r="D40" s="98">
        <v>799.35</v>
      </c>
      <c r="E40" s="159">
        <f t="shared" si="3"/>
        <v>0</v>
      </c>
      <c r="F40" s="162" t="str">
        <f t="shared" ref="F40:F50" si="4">IF(C40=0,"",IF(C40-D40=0,"оплачено",""))</f>
        <v>оплачено</v>
      </c>
      <c r="G40" s="163">
        <v>1314</v>
      </c>
      <c r="H40" s="110"/>
      <c r="I40" s="368" t="s">
        <v>40</v>
      </c>
      <c r="J40" s="368">
        <v>965.66</v>
      </c>
      <c r="K40" s="368">
        <v>965.66</v>
      </c>
      <c r="L40" s="160">
        <f>J40-K40</f>
        <v>0</v>
      </c>
      <c r="M40" s="155">
        <v>43699</v>
      </c>
      <c r="N40" s="154">
        <v>43686</v>
      </c>
      <c r="O40" s="368" t="s">
        <v>99</v>
      </c>
      <c r="P40" s="368">
        <v>436.55</v>
      </c>
      <c r="Q40" s="368">
        <v>964.5</v>
      </c>
      <c r="R40" s="1"/>
      <c r="S40" s="111"/>
      <c r="T40" s="51"/>
    </row>
    <row r="41" spans="1:20">
      <c r="A41" s="408">
        <v>43684</v>
      </c>
      <c r="B41" s="163" t="s">
        <v>29</v>
      </c>
      <c r="C41" s="98">
        <v>276.45</v>
      </c>
      <c r="D41" s="98">
        <v>276.45</v>
      </c>
      <c r="E41" s="159">
        <f>C41-D41</f>
        <v>0</v>
      </c>
      <c r="F41" s="162" t="str">
        <f t="shared" si="4"/>
        <v>оплачено</v>
      </c>
      <c r="G41" s="163">
        <v>480</v>
      </c>
      <c r="H41" s="110"/>
      <c r="I41" s="1"/>
      <c r="J41" s="92">
        <f>SUM(J39:J40)</f>
        <v>3130.41</v>
      </c>
      <c r="K41" s="1"/>
      <c r="L41" s="1"/>
      <c r="M41" s="111"/>
      <c r="N41" s="154">
        <v>43688</v>
      </c>
      <c r="O41" s="368" t="s">
        <v>102</v>
      </c>
      <c r="P41" s="368">
        <v>506.2</v>
      </c>
      <c r="Q41" s="368">
        <v>937</v>
      </c>
      <c r="R41" s="1"/>
      <c r="S41" s="111"/>
      <c r="T41" s="51"/>
    </row>
    <row r="42" spans="1:20">
      <c r="A42" s="408">
        <v>43684</v>
      </c>
      <c r="B42" s="163" t="s">
        <v>29</v>
      </c>
      <c r="C42" s="98">
        <v>102.3</v>
      </c>
      <c r="D42" s="98">
        <v>102.3</v>
      </c>
      <c r="E42" s="159">
        <f t="shared" ref="E42:E51" si="5">C42-D42</f>
        <v>0</v>
      </c>
      <c r="F42" s="162" t="str">
        <f>IF(C42=0,"",IF(C42-D42=0,"оплачено",""))</f>
        <v>оплачено</v>
      </c>
      <c r="G42" s="163">
        <v>157.5</v>
      </c>
      <c r="H42" s="110"/>
      <c r="I42" s="150"/>
      <c r="J42" s="1"/>
      <c r="K42" s="1"/>
      <c r="L42" s="1"/>
      <c r="M42" s="111"/>
      <c r="N42" s="154">
        <v>43693</v>
      </c>
      <c r="O42" s="368" t="s">
        <v>102</v>
      </c>
      <c r="P42" s="53">
        <v>465.45</v>
      </c>
      <c r="Q42" s="368">
        <v>721</v>
      </c>
      <c r="R42" s="1"/>
      <c r="S42" s="111"/>
      <c r="T42" s="51"/>
    </row>
    <row r="43" spans="1:20">
      <c r="A43" s="407">
        <v>43691</v>
      </c>
      <c r="B43" s="188" t="s">
        <v>107</v>
      </c>
      <c r="C43" s="146">
        <v>840.86</v>
      </c>
      <c r="D43" s="214"/>
      <c r="E43" s="149">
        <f t="shared" si="3"/>
        <v>840.86</v>
      </c>
      <c r="F43" s="41" t="s">
        <v>61</v>
      </c>
      <c r="G43" s="165">
        <v>1291</v>
      </c>
      <c r="H43" s="1207" t="s">
        <v>16</v>
      </c>
      <c r="I43" s="1174" t="s">
        <v>17</v>
      </c>
      <c r="J43" s="1174" t="s">
        <v>21</v>
      </c>
      <c r="K43" s="1174"/>
      <c r="L43" s="1176" t="s">
        <v>93</v>
      </c>
      <c r="M43" s="1200" t="s">
        <v>95</v>
      </c>
      <c r="N43" s="154">
        <v>43693</v>
      </c>
      <c r="O43" s="53" t="s">
        <v>66</v>
      </c>
      <c r="P43" s="53">
        <v>1500</v>
      </c>
      <c r="Q43" s="368">
        <v>2517.5</v>
      </c>
      <c r="R43" s="1"/>
      <c r="S43" s="111"/>
      <c r="T43" s="51"/>
    </row>
    <row r="44" spans="1:20" ht="24">
      <c r="A44" s="408">
        <v>43694</v>
      </c>
      <c r="B44" s="171" t="s">
        <v>106</v>
      </c>
      <c r="C44" s="161">
        <v>398.78</v>
      </c>
      <c r="D44" s="161">
        <v>398.78</v>
      </c>
      <c r="E44" s="159">
        <f t="shared" si="3"/>
        <v>0</v>
      </c>
      <c r="F44" s="162" t="str">
        <f>IF(C44=0,"",IF(C44-D44=0,"оплачено",""))</f>
        <v>оплачено</v>
      </c>
      <c r="G44" s="162">
        <v>612</v>
      </c>
      <c r="H44" s="1192"/>
      <c r="I44" s="1174"/>
      <c r="J44" s="372" t="s">
        <v>21</v>
      </c>
      <c r="K44" s="372" t="s">
        <v>25</v>
      </c>
      <c r="L44" s="1176"/>
      <c r="M44" s="1200"/>
      <c r="N44" s="52">
        <v>43694</v>
      </c>
      <c r="O44" s="368" t="s">
        <v>99</v>
      </c>
      <c r="P44" s="368">
        <v>561.28</v>
      </c>
      <c r="Q44" s="368">
        <v>1260</v>
      </c>
      <c r="R44" s="166">
        <v>134.71</v>
      </c>
      <c r="S44" s="111"/>
      <c r="T44" s="51"/>
    </row>
    <row r="45" spans="1:20">
      <c r="A45" s="409">
        <v>43696</v>
      </c>
      <c r="B45" s="161" t="s">
        <v>101</v>
      </c>
      <c r="C45" s="161">
        <v>376.2</v>
      </c>
      <c r="D45" s="161">
        <v>376.2</v>
      </c>
      <c r="E45" s="159">
        <f t="shared" si="3"/>
        <v>0</v>
      </c>
      <c r="F45" s="162" t="str">
        <f>IF(C45=0,"",IF(C45-D45=0,"оплачено",""))</f>
        <v>оплачено</v>
      </c>
      <c r="G45" s="162">
        <v>556</v>
      </c>
      <c r="H45" s="105" t="s">
        <v>18</v>
      </c>
      <c r="I45" s="94">
        <v>32809.9</v>
      </c>
      <c r="J45" s="94">
        <v>1675.7199999999998</v>
      </c>
      <c r="K45" s="98">
        <v>1047.01</v>
      </c>
      <c r="L45" s="96">
        <v>52152</v>
      </c>
      <c r="M45" s="96">
        <f>82159.79-I45-J45-K45+L45</f>
        <v>98779.159999999989</v>
      </c>
      <c r="N45" s="203">
        <v>43701</v>
      </c>
      <c r="O45" s="368" t="s">
        <v>102</v>
      </c>
      <c r="P45" s="53">
        <v>642.65</v>
      </c>
      <c r="Q45" s="368">
        <v>1151.5</v>
      </c>
      <c r="R45" s="1"/>
      <c r="S45" s="111"/>
      <c r="T45" s="51"/>
    </row>
    <row r="46" spans="1:20">
      <c r="A46" s="410">
        <v>43699</v>
      </c>
      <c r="B46" s="171" t="s">
        <v>105</v>
      </c>
      <c r="C46" s="161">
        <v>198.3</v>
      </c>
      <c r="D46" s="161">
        <v>198.3</v>
      </c>
      <c r="E46" s="159">
        <f t="shared" si="3"/>
        <v>0</v>
      </c>
      <c r="F46" s="162" t="str">
        <f>IF(C46=0,"",IF(C46-D46=0,"оплачено",""))</f>
        <v>оплачено</v>
      </c>
      <c r="G46" s="162">
        <v>322.5</v>
      </c>
      <c r="H46" s="105" t="s">
        <v>19</v>
      </c>
      <c r="I46" s="94">
        <v>35259.579999999994</v>
      </c>
      <c r="J46" s="95">
        <v>1363.3000000000002</v>
      </c>
      <c r="K46" s="94">
        <v>1176.05</v>
      </c>
      <c r="L46" s="97">
        <v>40465.950000000004</v>
      </c>
      <c r="M46" s="96">
        <f>M45-I46-J46-K46+L46</f>
        <v>101446.18</v>
      </c>
      <c r="N46" s="1201" t="s">
        <v>35</v>
      </c>
      <c r="O46" s="1202"/>
      <c r="P46" s="212">
        <f>SUM(P39:P45)</f>
        <v>5413.1299999999992</v>
      </c>
      <c r="Q46" s="212">
        <f>SUM(Q39:Q45)</f>
        <v>9993.5</v>
      </c>
      <c r="R46" s="1"/>
      <c r="S46" s="111"/>
      <c r="T46" s="51"/>
    </row>
    <row r="47" spans="1:20" ht="30">
      <c r="A47" s="411">
        <v>43699</v>
      </c>
      <c r="B47" s="193" t="s">
        <v>108</v>
      </c>
      <c r="C47" s="167">
        <v>329.84</v>
      </c>
      <c r="D47" s="167">
        <v>329.84</v>
      </c>
      <c r="E47" s="159">
        <f t="shared" si="5"/>
        <v>0</v>
      </c>
      <c r="F47" s="162" t="str">
        <f t="shared" si="4"/>
        <v>оплачено</v>
      </c>
      <c r="G47" s="162"/>
      <c r="H47" s="370" t="s">
        <v>20</v>
      </c>
      <c r="I47" s="5" t="e">
        <f>#REF!</f>
        <v>#REF!</v>
      </c>
      <c r="J47" s="13">
        <v>1209.3000000000002</v>
      </c>
      <c r="K47" s="49">
        <v>1213.33</v>
      </c>
      <c r="L47" s="49">
        <v>19306</v>
      </c>
      <c r="M47" s="96" t="e">
        <f>M46-I47-J47-K47+L47</f>
        <v>#REF!</v>
      </c>
      <c r="N47" s="7"/>
      <c r="O47" s="213"/>
      <c r="P47" s="213"/>
      <c r="Q47" s="7"/>
      <c r="R47" s="1"/>
      <c r="S47" s="111"/>
      <c r="T47" s="51"/>
    </row>
    <row r="48" spans="1:20">
      <c r="A48" s="411">
        <v>43700</v>
      </c>
      <c r="B48" s="172" t="s">
        <v>109</v>
      </c>
      <c r="C48" s="161">
        <v>315.89999999999998</v>
      </c>
      <c r="D48" s="161">
        <v>315.89999999999998</v>
      </c>
      <c r="E48" s="159">
        <f t="shared" si="5"/>
        <v>0</v>
      </c>
      <c r="F48" s="162" t="str">
        <f t="shared" si="4"/>
        <v>оплачено</v>
      </c>
      <c r="G48" s="163">
        <v>438</v>
      </c>
      <c r="H48" s="110"/>
      <c r="I48" s="150"/>
      <c r="J48" s="150"/>
      <c r="K48" s="1"/>
      <c r="L48" s="150"/>
      <c r="M48" s="150"/>
      <c r="O48" s="366"/>
      <c r="P48" s="366"/>
      <c r="Q48" s="1"/>
      <c r="R48" s="1"/>
      <c r="S48" s="111"/>
      <c r="T48" s="51"/>
    </row>
    <row r="49" spans="1:20" ht="15.75" thickBot="1">
      <c r="A49" s="410">
        <v>43703</v>
      </c>
      <c r="B49" s="172" t="s">
        <v>112</v>
      </c>
      <c r="C49" s="161">
        <v>1141.31</v>
      </c>
      <c r="D49" s="161">
        <v>1141.31</v>
      </c>
      <c r="E49" s="159">
        <f t="shared" si="5"/>
        <v>0</v>
      </c>
      <c r="F49" s="162" t="str">
        <f t="shared" si="4"/>
        <v>оплачено</v>
      </c>
      <c r="G49" s="163">
        <v>2148.5</v>
      </c>
      <c r="H49" s="110"/>
      <c r="I49" s="1"/>
      <c r="J49" s="83"/>
      <c r="K49" s="1"/>
      <c r="L49" s="150"/>
      <c r="M49" s="150"/>
      <c r="O49" s="366"/>
      <c r="P49" s="366"/>
      <c r="Q49" s="1"/>
      <c r="R49" s="1"/>
      <c r="S49" s="111"/>
      <c r="T49" s="51"/>
    </row>
    <row r="50" spans="1:20">
      <c r="A50" s="410">
        <v>43707</v>
      </c>
      <c r="B50" s="194" t="s">
        <v>113</v>
      </c>
      <c r="C50" s="164">
        <v>94.08</v>
      </c>
      <c r="D50" s="164">
        <v>94.08</v>
      </c>
      <c r="E50" s="159">
        <f t="shared" si="5"/>
        <v>0</v>
      </c>
      <c r="F50" s="162" t="str">
        <f t="shared" si="4"/>
        <v>оплачено</v>
      </c>
      <c r="G50" s="163">
        <v>184</v>
      </c>
      <c r="H50" s="1203" t="s">
        <v>122</v>
      </c>
      <c r="I50" s="1196"/>
      <c r="J50" s="208" t="s">
        <v>121</v>
      </c>
      <c r="K50" s="150"/>
      <c r="L50" s="150"/>
      <c r="M50" s="1"/>
      <c r="O50" s="366"/>
      <c r="P50" s="1"/>
      <c r="Q50" s="1"/>
      <c r="R50" s="1"/>
      <c r="S50" s="111"/>
      <c r="T50" s="51"/>
    </row>
    <row r="51" spans="1:20" ht="15.75" thickBot="1">
      <c r="A51" s="412">
        <v>43699</v>
      </c>
      <c r="B51" s="195" t="s">
        <v>114</v>
      </c>
      <c r="C51" s="196">
        <v>653.34</v>
      </c>
      <c r="D51" s="196"/>
      <c r="E51" s="149">
        <f t="shared" si="5"/>
        <v>653.34</v>
      </c>
      <c r="F51" s="41" t="s">
        <v>61</v>
      </c>
      <c r="G51" s="197"/>
      <c r="H51" s="210"/>
      <c r="I51" s="92">
        <v>18</v>
      </c>
      <c r="J51" s="209">
        <f>G39+G40+G41+G42+Q39+Q40+Q41+Q42+Q43+Q44+G44+G45+G46+G43+G48+Q45+G49+G50</f>
        <v>19306</v>
      </c>
      <c r="K51" s="1"/>
      <c r="L51" s="150"/>
      <c r="M51" s="150"/>
      <c r="O51" s="366"/>
      <c r="P51" s="1"/>
      <c r="Q51" s="1"/>
      <c r="R51" s="1"/>
      <c r="S51" s="111"/>
      <c r="T51" s="51"/>
    </row>
    <row r="52" spans="1:20">
      <c r="A52" s="413"/>
      <c r="B52" s="201" t="s">
        <v>35</v>
      </c>
      <c r="C52" s="202">
        <f>SUM(C39:C51)</f>
        <v>6739.77</v>
      </c>
      <c r="D52" s="201"/>
      <c r="E52" s="216"/>
      <c r="F52" s="217"/>
      <c r="G52" s="218">
        <f>SUM(G39:G51)</f>
        <v>9312.5</v>
      </c>
      <c r="H52" s="1"/>
      <c r="I52" s="1"/>
      <c r="J52" s="1"/>
      <c r="K52" s="1"/>
      <c r="L52" s="150"/>
      <c r="M52" s="1"/>
      <c r="O52" s="366"/>
      <c r="P52" s="1"/>
      <c r="Q52" s="1"/>
      <c r="R52" s="1"/>
      <c r="S52" s="111"/>
      <c r="T52" s="51"/>
    </row>
    <row r="53" spans="1:20">
      <c r="A53" s="414"/>
      <c r="B53" s="199"/>
      <c r="C53" s="199"/>
      <c r="D53" s="199"/>
      <c r="E53" s="84">
        <f>C43+C51</f>
        <v>1494.2</v>
      </c>
      <c r="F53" s="200">
        <v>1180.2600000000002</v>
      </c>
      <c r="G53" s="200"/>
      <c r="H53" s="1"/>
      <c r="I53" s="1"/>
      <c r="J53" s="1"/>
      <c r="K53" s="1"/>
      <c r="L53" s="1"/>
      <c r="M53" s="211"/>
      <c r="O53" s="366"/>
      <c r="P53" s="1"/>
      <c r="Q53" s="1"/>
      <c r="R53" s="1"/>
      <c r="S53" s="111"/>
      <c r="T53" s="51"/>
    </row>
    <row r="54" spans="1:20">
      <c r="A54" s="415"/>
      <c r="B54" s="199"/>
      <c r="C54" s="199"/>
      <c r="D54" s="199"/>
      <c r="E54" s="84"/>
      <c r="F54" s="230">
        <f>E53-F53</f>
        <v>313.93999999999983</v>
      </c>
      <c r="G54" s="200"/>
      <c r="H54" s="1">
        <v>1</v>
      </c>
      <c r="I54" s="1161" t="s">
        <v>47</v>
      </c>
      <c r="J54" s="1161"/>
      <c r="K54" s="368">
        <v>288.75</v>
      </c>
      <c r="L54" s="1" t="s">
        <v>56</v>
      </c>
      <c r="M54" s="1"/>
      <c r="N54" s="81"/>
      <c r="O54" s="128"/>
      <c r="P54" s="157"/>
      <c r="Q54" s="157"/>
      <c r="R54" s="1"/>
      <c r="S54" s="111"/>
      <c r="T54" s="51"/>
    </row>
    <row r="55" spans="1:20">
      <c r="A55" s="415"/>
      <c r="B55" s="199"/>
      <c r="C55" s="199"/>
      <c r="D55" s="199"/>
      <c r="E55" s="84"/>
      <c r="F55" s="200"/>
      <c r="G55" s="200"/>
      <c r="H55" s="1">
        <v>2</v>
      </c>
      <c r="I55" s="1161" t="s">
        <v>51</v>
      </c>
      <c r="J55" s="1161"/>
      <c r="K55" s="368">
        <v>64.349999999999994</v>
      </c>
      <c r="L55" s="1" t="s">
        <v>56</v>
      </c>
      <c r="M55" s="1"/>
      <c r="O55" s="1"/>
      <c r="P55" s="366"/>
      <c r="Q55" s="1"/>
      <c r="R55" s="1"/>
      <c r="S55" s="111"/>
      <c r="T55" s="51"/>
    </row>
    <row r="56" spans="1:20">
      <c r="A56" s="416"/>
      <c r="B56" s="366"/>
      <c r="C56" s="84"/>
      <c r="D56" s="366"/>
      <c r="E56" s="84"/>
      <c r="F56" s="1"/>
      <c r="G56" s="1"/>
      <c r="H56" s="1">
        <v>3</v>
      </c>
      <c r="I56" s="1161" t="s">
        <v>52</v>
      </c>
      <c r="J56" s="1161"/>
      <c r="K56" s="368">
        <v>10</v>
      </c>
      <c r="L56" s="1"/>
      <c r="M56" s="1"/>
      <c r="O56" s="1"/>
      <c r="P56" s="1"/>
      <c r="Q56" s="1"/>
      <c r="R56" s="1"/>
      <c r="S56" s="111"/>
      <c r="T56" s="51"/>
    </row>
    <row r="57" spans="1:20">
      <c r="A57" s="110"/>
      <c r="B57" s="1"/>
      <c r="C57" s="84"/>
      <c r="D57" s="1"/>
      <c r="E57" s="84"/>
      <c r="F57" s="1"/>
      <c r="G57" s="1"/>
      <c r="H57" s="1">
        <v>4</v>
      </c>
      <c r="I57" s="1161" t="s">
        <v>53</v>
      </c>
      <c r="J57" s="1161"/>
      <c r="K57" s="368">
        <v>5</v>
      </c>
      <c r="L57" s="1"/>
      <c r="M57" s="150"/>
      <c r="O57" s="1"/>
      <c r="P57" s="1"/>
      <c r="Q57" s="1"/>
      <c r="R57" s="1"/>
      <c r="S57" s="111"/>
      <c r="T57" s="51"/>
    </row>
    <row r="58" spans="1:20">
      <c r="A58" s="110"/>
      <c r="B58" s="1"/>
      <c r="C58" s="1"/>
      <c r="D58" s="1"/>
      <c r="E58" s="1"/>
      <c r="F58" s="1"/>
      <c r="G58" s="1"/>
      <c r="H58" s="1">
        <v>5</v>
      </c>
      <c r="I58" s="1161" t="s">
        <v>54</v>
      </c>
      <c r="J58" s="1161"/>
      <c r="K58" s="368">
        <v>4</v>
      </c>
      <c r="L58" s="1"/>
      <c r="M58" s="150"/>
      <c r="O58" s="1"/>
      <c r="P58" s="1"/>
      <c r="Q58" s="1"/>
      <c r="R58" s="1"/>
      <c r="S58" s="111"/>
      <c r="T58" s="51"/>
    </row>
    <row r="59" spans="1:20">
      <c r="A59" s="110"/>
      <c r="B59" s="1"/>
      <c r="C59" s="1"/>
      <c r="D59" s="1"/>
      <c r="E59" s="1"/>
      <c r="F59" s="1"/>
      <c r="G59" s="1"/>
      <c r="H59" s="1">
        <v>6</v>
      </c>
      <c r="I59" s="1161" t="s">
        <v>49</v>
      </c>
      <c r="J59" s="1161"/>
      <c r="K59" s="368">
        <v>332.56</v>
      </c>
      <c r="L59" s="1" t="s">
        <v>110</v>
      </c>
      <c r="M59" s="150"/>
      <c r="O59" s="1"/>
      <c r="P59" s="1"/>
      <c r="Q59" s="1"/>
      <c r="R59" s="1"/>
      <c r="S59" s="111"/>
      <c r="T59" s="51"/>
    </row>
    <row r="60" spans="1:20">
      <c r="A60" s="110"/>
      <c r="B60" s="1"/>
      <c r="C60" s="1"/>
      <c r="D60" s="1"/>
      <c r="E60" s="1"/>
      <c r="F60" s="1"/>
      <c r="G60" s="1"/>
      <c r="H60" s="1">
        <v>7</v>
      </c>
      <c r="I60" s="1191" t="s">
        <v>48</v>
      </c>
      <c r="J60" s="1188"/>
      <c r="K60" s="368">
        <v>458.46</v>
      </c>
      <c r="L60" s="150"/>
      <c r="M60" s="150"/>
      <c r="O60" s="1"/>
      <c r="P60" s="1"/>
      <c r="Q60" s="1"/>
      <c r="R60" s="1"/>
      <c r="S60" s="111"/>
      <c r="T60" s="51"/>
    </row>
    <row r="61" spans="1:20">
      <c r="A61" s="110"/>
      <c r="B61" s="1"/>
      <c r="C61" s="1"/>
      <c r="D61" s="1"/>
      <c r="E61" s="1"/>
      <c r="F61" s="12"/>
      <c r="G61" s="1"/>
      <c r="H61" s="1">
        <v>8</v>
      </c>
      <c r="I61" s="1191" t="s">
        <v>57</v>
      </c>
      <c r="J61" s="1188"/>
      <c r="K61" s="368">
        <v>4.58</v>
      </c>
      <c r="L61" s="1"/>
      <c r="M61" s="1" t="s">
        <v>76</v>
      </c>
      <c r="O61" s="1"/>
      <c r="P61" s="1"/>
      <c r="Q61" s="1"/>
      <c r="R61" s="1"/>
      <c r="S61" s="111"/>
      <c r="T61" s="51"/>
    </row>
    <row r="62" spans="1:20">
      <c r="A62" s="110"/>
      <c r="B62" s="1"/>
      <c r="C62" s="1"/>
      <c r="D62" s="1"/>
      <c r="E62" s="1"/>
      <c r="F62" s="1"/>
      <c r="G62" s="1"/>
      <c r="H62" s="1">
        <v>9</v>
      </c>
      <c r="I62" s="1145" t="s">
        <v>59</v>
      </c>
      <c r="J62" s="1145"/>
      <c r="K62" s="368">
        <v>1041.98</v>
      </c>
      <c r="L62" s="1"/>
      <c r="M62" s="1"/>
      <c r="O62" s="1"/>
      <c r="P62" s="1"/>
      <c r="Q62" s="1"/>
      <c r="R62" s="1"/>
      <c r="S62" s="111"/>
      <c r="T62" s="51"/>
    </row>
    <row r="63" spans="1:20">
      <c r="A63" s="110"/>
      <c r="B63" s="1"/>
      <c r="C63" s="1"/>
      <c r="D63" s="1"/>
      <c r="E63" s="1"/>
      <c r="F63" s="1"/>
      <c r="G63" s="12"/>
      <c r="H63" s="1">
        <v>10</v>
      </c>
      <c r="I63" s="1143" t="s">
        <v>68</v>
      </c>
      <c r="J63" s="1144"/>
      <c r="K63" s="368">
        <f>83.73+187.98</f>
        <v>271.70999999999998</v>
      </c>
      <c r="L63" s="1" t="s">
        <v>56</v>
      </c>
      <c r="M63" s="1"/>
      <c r="O63" s="1"/>
      <c r="P63" s="1"/>
      <c r="Q63" s="1"/>
      <c r="R63" s="1"/>
      <c r="S63" s="111"/>
      <c r="T63" s="51"/>
    </row>
    <row r="64" spans="1:20">
      <c r="A64" s="110"/>
      <c r="B64" s="1"/>
      <c r="C64" s="1"/>
      <c r="D64" s="1"/>
      <c r="E64" s="150"/>
      <c r="F64" s="1"/>
      <c r="G64" s="1"/>
      <c r="H64" s="1">
        <v>11</v>
      </c>
      <c r="I64" s="1143" t="s">
        <v>81</v>
      </c>
      <c r="J64" s="1144"/>
      <c r="K64" s="53">
        <v>1730.44</v>
      </c>
      <c r="L64" s="1" t="s">
        <v>56</v>
      </c>
      <c r="M64" s="1"/>
      <c r="O64" s="1"/>
      <c r="P64" s="1"/>
      <c r="Q64" s="1"/>
      <c r="R64" s="1"/>
      <c r="S64" s="111"/>
      <c r="T64" s="51"/>
    </row>
    <row r="65" spans="1:19" ht="15.75" thickBot="1">
      <c r="A65" s="110"/>
      <c r="B65" s="1"/>
      <c r="C65" s="1"/>
      <c r="D65" s="1"/>
      <c r="E65" s="1"/>
      <c r="F65" s="1"/>
      <c r="G65" s="1"/>
      <c r="H65" s="1"/>
      <c r="I65" s="1" t="s">
        <v>50</v>
      </c>
      <c r="J65" s="1"/>
      <c r="K65" s="92">
        <f>SUM(K54:K64)</f>
        <v>4211.83</v>
      </c>
      <c r="L65" s="1"/>
      <c r="M65" s="1"/>
      <c r="O65" s="1"/>
      <c r="P65" s="1"/>
      <c r="Q65" s="1"/>
      <c r="R65" s="1"/>
      <c r="S65" s="111"/>
    </row>
    <row r="66" spans="1:19" ht="15.75" thickBot="1">
      <c r="A66" s="107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>
        <v>18</v>
      </c>
      <c r="P66" s="108"/>
      <c r="Q66" s="108"/>
      <c r="R66" s="108"/>
      <c r="S66" s="109"/>
    </row>
    <row r="67" spans="1:19">
      <c r="A67" s="1197" t="s">
        <v>28</v>
      </c>
      <c r="B67" s="1198"/>
      <c r="C67" s="1198"/>
      <c r="D67" s="1198"/>
      <c r="E67" s="1198"/>
      <c r="F67" s="1198"/>
      <c r="G67" s="1198"/>
      <c r="H67" s="108"/>
      <c r="I67" s="1198" t="s">
        <v>136</v>
      </c>
      <c r="J67" s="1198"/>
      <c r="K67" s="1198"/>
      <c r="L67" s="1198"/>
      <c r="M67" s="1198"/>
      <c r="N67" s="1199" t="s">
        <v>60</v>
      </c>
      <c r="O67" s="1199"/>
      <c r="P67" s="1"/>
      <c r="Q67" s="1"/>
      <c r="R67" s="1"/>
      <c r="S67" s="111"/>
    </row>
    <row r="68" spans="1:19">
      <c r="A68" s="395" t="s">
        <v>2</v>
      </c>
      <c r="B68" s="371" t="s">
        <v>34</v>
      </c>
      <c r="C68" s="36" t="s">
        <v>35</v>
      </c>
      <c r="D68" s="36" t="s">
        <v>38</v>
      </c>
      <c r="E68" s="36" t="s">
        <v>42</v>
      </c>
      <c r="F68" s="371" t="s">
        <v>36</v>
      </c>
      <c r="G68" s="368" t="s">
        <v>37</v>
      </c>
      <c r="H68" s="1"/>
      <c r="I68" s="40"/>
      <c r="J68" s="368" t="s">
        <v>104</v>
      </c>
      <c r="K68" s="368" t="s">
        <v>38</v>
      </c>
      <c r="L68" s="368" t="s">
        <v>42</v>
      </c>
      <c r="M68" s="368" t="s">
        <v>44</v>
      </c>
      <c r="N68" s="153" t="s">
        <v>2</v>
      </c>
      <c r="O68" s="53" t="s">
        <v>34</v>
      </c>
      <c r="P68" s="151" t="s">
        <v>58</v>
      </c>
      <c r="Q68" s="151" t="s">
        <v>65</v>
      </c>
      <c r="R68" s="366" t="s">
        <v>100</v>
      </c>
      <c r="S68" s="405" t="s">
        <v>40</v>
      </c>
    </row>
    <row r="69" spans="1:19">
      <c r="A69" s="417">
        <v>43710</v>
      </c>
      <c r="B69" s="162" t="s">
        <v>115</v>
      </c>
      <c r="C69" s="98">
        <v>1980</v>
      </c>
      <c r="D69" s="225">
        <f>688+500+792</f>
        <v>1980</v>
      </c>
      <c r="E69" s="160">
        <f>C69-D69</f>
        <v>0</v>
      </c>
      <c r="F69" s="162" t="str">
        <f t="shared" ref="F69:F89" si="6">IF(C69=0,"",IF(C69-D69=0,"оплачено",""))</f>
        <v>оплачено</v>
      </c>
      <c r="G69" s="162">
        <v>3200</v>
      </c>
      <c r="H69" s="1"/>
      <c r="I69" s="368" t="s">
        <v>39</v>
      </c>
      <c r="J69" s="368">
        <v>547.82000000000005</v>
      </c>
      <c r="K69" s="368">
        <v>547.82000000000005</v>
      </c>
      <c r="L69" s="160">
        <f>J69-K69</f>
        <v>0</v>
      </c>
      <c r="M69" s="3">
        <v>43727</v>
      </c>
      <c r="N69" s="205"/>
      <c r="O69" s="53" t="s">
        <v>118</v>
      </c>
      <c r="P69" s="161">
        <v>58.25</v>
      </c>
      <c r="Q69" s="53"/>
      <c r="R69" s="366"/>
      <c r="S69" s="405"/>
    </row>
    <row r="70" spans="1:19">
      <c r="A70" s="417">
        <v>43711</v>
      </c>
      <c r="B70" s="162" t="s">
        <v>116</v>
      </c>
      <c r="C70" s="98">
        <v>775.2</v>
      </c>
      <c r="D70" s="98">
        <v>775.2</v>
      </c>
      <c r="E70" s="160">
        <f t="shared" ref="E70:E88" si="7">C70-D70</f>
        <v>0</v>
      </c>
      <c r="F70" s="162" t="str">
        <f t="shared" si="6"/>
        <v>оплачено</v>
      </c>
      <c r="G70" s="162">
        <v>1140</v>
      </c>
      <c r="H70" s="1"/>
      <c r="I70" s="368" t="s">
        <v>40</v>
      </c>
      <c r="J70" s="368">
        <v>632.44000000000005</v>
      </c>
      <c r="K70" s="368">
        <v>632.44000000000005</v>
      </c>
      <c r="L70" s="160">
        <f>J70-K70</f>
        <v>0</v>
      </c>
      <c r="M70" s="3">
        <v>43727</v>
      </c>
      <c r="N70" s="205"/>
      <c r="O70" s="53" t="s">
        <v>27</v>
      </c>
      <c r="P70" s="53">
        <v>1250</v>
      </c>
      <c r="Q70" s="53">
        <v>3044</v>
      </c>
      <c r="R70" s="366"/>
      <c r="S70" s="405"/>
    </row>
    <row r="71" spans="1:19">
      <c r="A71" s="417">
        <v>43711</v>
      </c>
      <c r="B71" s="162" t="s">
        <v>117</v>
      </c>
      <c r="C71" s="98">
        <v>231.68</v>
      </c>
      <c r="D71" s="98">
        <v>231.68</v>
      </c>
      <c r="E71" s="160">
        <f t="shared" si="7"/>
        <v>0</v>
      </c>
      <c r="F71" s="162" t="str">
        <f t="shared" si="6"/>
        <v>оплачено</v>
      </c>
      <c r="G71" s="162"/>
      <c r="H71" s="1"/>
      <c r="I71" s="1"/>
      <c r="J71" s="92">
        <f>SUM(J69:J70)</f>
        <v>1180.2600000000002</v>
      </c>
      <c r="K71" s="1"/>
      <c r="L71" s="1"/>
      <c r="M71" s="1"/>
      <c r="N71" s="268"/>
      <c r="O71" s="53" t="s">
        <v>128</v>
      </c>
      <c r="P71" s="368">
        <v>1355</v>
      </c>
      <c r="Q71" s="368">
        <v>2991</v>
      </c>
      <c r="R71" s="366"/>
      <c r="S71" s="405"/>
    </row>
    <row r="72" spans="1:19">
      <c r="A72" s="417">
        <v>43711</v>
      </c>
      <c r="B72" s="53" t="s">
        <v>125</v>
      </c>
      <c r="C72" s="98">
        <v>43.8</v>
      </c>
      <c r="D72" s="98">
        <v>43.8</v>
      </c>
      <c r="E72" s="160">
        <f t="shared" si="7"/>
        <v>0</v>
      </c>
      <c r="F72" s="162" t="str">
        <f t="shared" si="6"/>
        <v>оплачено</v>
      </c>
      <c r="G72" s="162"/>
      <c r="H72" s="1"/>
      <c r="I72" s="150"/>
      <c r="J72" s="1"/>
      <c r="K72" s="1"/>
      <c r="L72" s="1"/>
      <c r="M72" s="1"/>
      <c r="N72" s="268"/>
      <c r="O72" s="53" t="s">
        <v>132</v>
      </c>
      <c r="P72" s="53"/>
      <c r="Q72" s="53">
        <v>2179</v>
      </c>
      <c r="R72" s="366"/>
      <c r="S72" s="405"/>
    </row>
    <row r="73" spans="1:19">
      <c r="A73" s="418"/>
      <c r="B73" s="161" t="s">
        <v>119</v>
      </c>
      <c r="C73" s="161">
        <v>389.25</v>
      </c>
      <c r="D73" s="161">
        <v>389.25</v>
      </c>
      <c r="E73" s="160">
        <f t="shared" si="7"/>
        <v>0</v>
      </c>
      <c r="F73" s="162" t="str">
        <f t="shared" si="6"/>
        <v>оплачено</v>
      </c>
      <c r="G73" s="255">
        <v>621</v>
      </c>
      <c r="H73" s="1192" t="s">
        <v>16</v>
      </c>
      <c r="I73" s="1174" t="s">
        <v>17</v>
      </c>
      <c r="J73" s="1174" t="s">
        <v>21</v>
      </c>
      <c r="K73" s="1174"/>
      <c r="L73" s="1176" t="s">
        <v>93</v>
      </c>
      <c r="M73" s="1176" t="s">
        <v>95</v>
      </c>
      <c r="N73" s="268"/>
      <c r="O73" s="53" t="s">
        <v>133</v>
      </c>
      <c r="P73" s="53">
        <v>2288</v>
      </c>
      <c r="Q73" s="53"/>
      <c r="R73" s="366"/>
      <c r="S73" s="405"/>
    </row>
    <row r="74" spans="1:19" ht="24.75" thickBot="1">
      <c r="A74" s="417"/>
      <c r="B74" s="161" t="s">
        <v>120</v>
      </c>
      <c r="C74" s="161">
        <v>429.83</v>
      </c>
      <c r="D74" s="161">
        <v>429.83</v>
      </c>
      <c r="E74" s="160">
        <f t="shared" si="7"/>
        <v>0</v>
      </c>
      <c r="F74" s="162" t="str">
        <f t="shared" si="6"/>
        <v>оплачено</v>
      </c>
      <c r="G74" s="162"/>
      <c r="H74" s="1192"/>
      <c r="I74" s="1174"/>
      <c r="J74" s="372" t="s">
        <v>21</v>
      </c>
      <c r="K74" s="372" t="s">
        <v>25</v>
      </c>
      <c r="L74" s="1176"/>
      <c r="M74" s="1176"/>
      <c r="N74" s="267"/>
      <c r="O74" s="366"/>
      <c r="P74" s="366"/>
      <c r="Q74" s="366"/>
      <c r="R74" s="366"/>
      <c r="S74" s="405"/>
    </row>
    <row r="75" spans="1:19">
      <c r="A75" s="409"/>
      <c r="B75" s="161" t="s">
        <v>27</v>
      </c>
      <c r="C75" s="161">
        <v>453.8</v>
      </c>
      <c r="D75" s="161">
        <v>453.8</v>
      </c>
      <c r="E75" s="160">
        <f t="shared" si="7"/>
        <v>0</v>
      </c>
      <c r="F75" s="162" t="str">
        <f t="shared" si="6"/>
        <v>оплачено</v>
      </c>
      <c r="G75" s="162"/>
      <c r="H75" s="257" t="s">
        <v>18</v>
      </c>
      <c r="I75" s="258">
        <v>32809.9</v>
      </c>
      <c r="J75" s="258">
        <v>1675.7199999999998</v>
      </c>
      <c r="K75" s="259">
        <v>1047.01</v>
      </c>
      <c r="L75" s="260">
        <v>52152</v>
      </c>
      <c r="M75" s="260">
        <f>82159.79-I75-J75-K75+L75</f>
        <v>98779.159999999989</v>
      </c>
      <c r="N75" s="267"/>
      <c r="O75" s="1189" t="s">
        <v>196</v>
      </c>
      <c r="P75" s="1189"/>
      <c r="Q75" s="1189"/>
      <c r="R75" s="366"/>
      <c r="S75" s="405"/>
    </row>
    <row r="76" spans="1:19">
      <c r="A76" s="410"/>
      <c r="B76" s="204" t="s">
        <v>123</v>
      </c>
      <c r="C76" s="161">
        <v>22.8</v>
      </c>
      <c r="D76" s="161">
        <v>22.8</v>
      </c>
      <c r="E76" s="160">
        <f t="shared" si="7"/>
        <v>0</v>
      </c>
      <c r="F76" s="162" t="str">
        <f t="shared" si="6"/>
        <v>оплачено</v>
      </c>
      <c r="G76" s="162"/>
      <c r="H76" s="257" t="s">
        <v>19</v>
      </c>
      <c r="I76" s="258">
        <v>35259.579999999994</v>
      </c>
      <c r="J76" s="258">
        <v>1363.3000000000002</v>
      </c>
      <c r="K76" s="258">
        <v>1176.05</v>
      </c>
      <c r="L76" s="260">
        <v>40465.950000000004</v>
      </c>
      <c r="M76" s="260">
        <f>M75-I76-J76-K76+L76</f>
        <v>101446.18</v>
      </c>
      <c r="N76" s="366"/>
      <c r="O76" s="1190"/>
      <c r="P76" s="1190"/>
      <c r="Q76" s="1190"/>
      <c r="R76" s="366"/>
      <c r="S76" s="405"/>
    </row>
    <row r="77" spans="1:19">
      <c r="A77" s="411"/>
      <c r="B77" s="53" t="s">
        <v>64</v>
      </c>
      <c r="C77" s="161">
        <v>421.98</v>
      </c>
      <c r="D77" s="161">
        <v>421.98</v>
      </c>
      <c r="E77" s="160">
        <f t="shared" si="7"/>
        <v>0</v>
      </c>
      <c r="F77" s="162" t="str">
        <f t="shared" si="6"/>
        <v>оплачено</v>
      </c>
      <c r="G77" s="162"/>
      <c r="H77" s="257" t="s">
        <v>20</v>
      </c>
      <c r="I77" s="261" t="e">
        <f>#REF!</f>
        <v>#REF!</v>
      </c>
      <c r="J77" s="258">
        <v>1209.3000000000002</v>
      </c>
      <c r="K77" s="262">
        <v>1213.33</v>
      </c>
      <c r="L77" s="262">
        <v>19306</v>
      </c>
      <c r="M77" s="260" t="e">
        <f>M76-I77-J77-K77+L77</f>
        <v>#REF!</v>
      </c>
      <c r="O77" s="366"/>
      <c r="P77" s="366"/>
      <c r="Q77" s="1"/>
      <c r="R77" s="1"/>
      <c r="S77" s="111"/>
    </row>
    <row r="78" spans="1:19">
      <c r="A78" s="411"/>
      <c r="B78" s="58" t="s">
        <v>124</v>
      </c>
      <c r="C78" s="276">
        <v>473.1</v>
      </c>
      <c r="D78" s="276">
        <v>473.1</v>
      </c>
      <c r="E78" s="278">
        <f t="shared" si="7"/>
        <v>0</v>
      </c>
      <c r="F78" s="276" t="str">
        <f t="shared" si="6"/>
        <v>оплачено</v>
      </c>
      <c r="G78" s="162"/>
      <c r="H78" s="257" t="s">
        <v>148</v>
      </c>
      <c r="I78" s="262">
        <v>30955.479999999996</v>
      </c>
      <c r="J78" s="263"/>
      <c r="K78" s="263">
        <v>1035.6600000000001</v>
      </c>
      <c r="L78" s="262">
        <v>59195.5</v>
      </c>
      <c r="M78" s="260" t="e">
        <f>M77-I78-J78-K78+L78</f>
        <v>#REF!</v>
      </c>
      <c r="O78" s="366"/>
      <c r="P78" s="366"/>
      <c r="Q78" s="1"/>
      <c r="R78" s="1"/>
      <c r="S78" s="111"/>
    </row>
    <row r="79" spans="1:19" ht="15.75" thickBot="1">
      <c r="A79" s="410"/>
      <c r="B79" s="162" t="s">
        <v>32</v>
      </c>
      <c r="C79" s="161">
        <v>348.15</v>
      </c>
      <c r="D79" s="161">
        <v>348.15</v>
      </c>
      <c r="E79" s="160">
        <f t="shared" si="7"/>
        <v>0</v>
      </c>
      <c r="F79" s="162" t="str">
        <f t="shared" si="6"/>
        <v>оплачено</v>
      </c>
      <c r="G79" s="162"/>
      <c r="H79" s="1"/>
      <c r="I79" s="1"/>
      <c r="J79" s="150"/>
      <c r="K79" s="1"/>
      <c r="L79" s="150"/>
      <c r="M79" s="150"/>
      <c r="O79" s="366"/>
      <c r="P79" s="366"/>
      <c r="Q79" s="1"/>
      <c r="R79" s="1"/>
      <c r="S79" s="111"/>
    </row>
    <row r="80" spans="1:19">
      <c r="A80" s="410"/>
      <c r="B80" s="161" t="s">
        <v>133</v>
      </c>
      <c r="C80" s="164">
        <f>592.8+54.6</f>
        <v>647.4</v>
      </c>
      <c r="D80" s="164">
        <f>592.8+54.6</f>
        <v>647.4</v>
      </c>
      <c r="E80" s="160">
        <f t="shared" si="7"/>
        <v>0</v>
      </c>
      <c r="F80" s="162" t="str">
        <f t="shared" si="6"/>
        <v>оплачено</v>
      </c>
      <c r="G80" s="162"/>
      <c r="H80" s="1195" t="s">
        <v>122</v>
      </c>
      <c r="I80" s="1196"/>
      <c r="J80" s="208" t="s">
        <v>121</v>
      </c>
      <c r="K80" s="150"/>
      <c r="L80" s="150"/>
      <c r="M80" s="1"/>
      <c r="O80" s="366"/>
      <c r="P80" s="1"/>
      <c r="Q80" s="1"/>
      <c r="R80" s="1"/>
      <c r="S80" s="111"/>
    </row>
    <row r="81" spans="1:19" ht="15.75" thickBot="1">
      <c r="A81" s="410"/>
      <c r="B81" s="161" t="s">
        <v>139</v>
      </c>
      <c r="C81" s="161">
        <v>244.15</v>
      </c>
      <c r="D81" s="161">
        <v>244.15</v>
      </c>
      <c r="E81" s="160">
        <f t="shared" si="7"/>
        <v>0</v>
      </c>
      <c r="F81" s="162" t="str">
        <f t="shared" si="6"/>
        <v>оплачено</v>
      </c>
      <c r="G81" s="162"/>
      <c r="H81" s="92"/>
      <c r="I81" s="92">
        <v>39</v>
      </c>
      <c r="J81" s="209">
        <v>59195.5</v>
      </c>
      <c r="K81" s="1"/>
      <c r="L81" s="1"/>
      <c r="M81" s="150"/>
      <c r="O81" s="366"/>
      <c r="P81" s="1"/>
      <c r="Q81" s="1"/>
      <c r="R81" s="1"/>
      <c r="S81" s="111"/>
    </row>
    <row r="82" spans="1:19">
      <c r="A82" s="410"/>
      <c r="B82" s="368" t="s">
        <v>71</v>
      </c>
      <c r="C82" s="235">
        <v>459.02</v>
      </c>
      <c r="D82" s="235">
        <v>459.02</v>
      </c>
      <c r="E82" s="160">
        <f t="shared" si="7"/>
        <v>0</v>
      </c>
      <c r="F82" s="162" t="str">
        <f t="shared" si="6"/>
        <v>оплачено</v>
      </c>
      <c r="G82" s="256"/>
      <c r="H82" s="1"/>
      <c r="I82" s="1"/>
      <c r="J82" s="1"/>
      <c r="K82" s="1"/>
      <c r="L82" s="1"/>
      <c r="M82" s="1"/>
      <c r="O82" s="366"/>
      <c r="P82" s="1"/>
      <c r="Q82" s="1"/>
      <c r="R82" s="1"/>
      <c r="S82" s="111"/>
    </row>
    <row r="83" spans="1:19">
      <c r="A83" s="410">
        <v>43728</v>
      </c>
      <c r="B83" s="161" t="s">
        <v>138</v>
      </c>
      <c r="C83" s="161">
        <v>910.91</v>
      </c>
      <c r="D83" s="161">
        <v>910.91</v>
      </c>
      <c r="E83" s="160">
        <f t="shared" si="7"/>
        <v>0</v>
      </c>
      <c r="F83" s="162" t="str">
        <f t="shared" si="6"/>
        <v>оплачено</v>
      </c>
      <c r="G83" s="162"/>
      <c r="H83" s="1"/>
      <c r="I83" s="1"/>
      <c r="J83" s="1"/>
      <c r="K83" s="1"/>
      <c r="L83" s="1"/>
      <c r="M83" s="211"/>
      <c r="O83" s="366"/>
      <c r="P83" s="1"/>
      <c r="Q83" s="1"/>
      <c r="R83" s="1"/>
      <c r="S83" s="111"/>
    </row>
    <row r="84" spans="1:19">
      <c r="A84" s="411"/>
      <c r="B84" s="161" t="s">
        <v>137</v>
      </c>
      <c r="C84" s="161">
        <v>92.82</v>
      </c>
      <c r="D84" s="161">
        <v>92.82</v>
      </c>
      <c r="E84" s="160">
        <f t="shared" si="7"/>
        <v>0</v>
      </c>
      <c r="F84" s="162" t="str">
        <f t="shared" si="6"/>
        <v>оплачено</v>
      </c>
      <c r="G84" s="162"/>
      <c r="H84" s="1"/>
      <c r="I84" s="234"/>
      <c r="J84" s="234"/>
      <c r="K84" s="1"/>
      <c r="L84" s="1"/>
      <c r="M84" s="1"/>
      <c r="N84" s="81"/>
      <c r="O84" s="128"/>
      <c r="P84" s="157"/>
      <c r="Q84" s="157"/>
      <c r="R84" s="1"/>
      <c r="S84" s="111"/>
    </row>
    <row r="85" spans="1:19">
      <c r="A85" s="419"/>
      <c r="B85" s="161" t="s">
        <v>63</v>
      </c>
      <c r="C85" s="161">
        <v>252</v>
      </c>
      <c r="D85" s="161">
        <v>252</v>
      </c>
      <c r="E85" s="160">
        <f t="shared" si="7"/>
        <v>0</v>
      </c>
      <c r="F85" s="162" t="str">
        <f t="shared" si="6"/>
        <v>оплачено</v>
      </c>
      <c r="G85" s="162"/>
      <c r="H85" s="1"/>
      <c r="I85" s="234"/>
      <c r="J85" s="234"/>
      <c r="K85" s="1"/>
      <c r="L85" s="1"/>
      <c r="M85" s="1"/>
      <c r="O85" s="1"/>
      <c r="P85" s="366"/>
      <c r="Q85" s="1"/>
      <c r="R85" s="1"/>
      <c r="S85" s="111"/>
    </row>
    <row r="86" spans="1:19">
      <c r="A86" s="420"/>
      <c r="B86" s="276" t="s">
        <v>124</v>
      </c>
      <c r="C86" s="277">
        <v>410.85</v>
      </c>
      <c r="D86" s="277">
        <v>410.85</v>
      </c>
      <c r="E86" s="278">
        <f t="shared" si="7"/>
        <v>0</v>
      </c>
      <c r="F86" s="276" t="str">
        <f t="shared" si="6"/>
        <v>оплачено</v>
      </c>
      <c r="G86" s="162" t="s">
        <v>151</v>
      </c>
      <c r="H86" s="1"/>
      <c r="I86" s="1"/>
      <c r="J86" s="1"/>
      <c r="K86" s="1"/>
      <c r="L86" s="1"/>
      <c r="M86" s="1"/>
      <c r="O86" s="1"/>
      <c r="P86" s="366"/>
      <c r="Q86" s="1"/>
      <c r="R86" s="1"/>
      <c r="S86" s="111"/>
    </row>
    <row r="87" spans="1:19">
      <c r="A87" s="410">
        <v>43724</v>
      </c>
      <c r="B87" s="161" t="s">
        <v>119</v>
      </c>
      <c r="C87" s="161">
        <f>113.4+130.55</f>
        <v>243.95000000000002</v>
      </c>
      <c r="D87" s="161">
        <f>113.4+130.55</f>
        <v>243.95000000000002</v>
      </c>
      <c r="E87" s="160">
        <f t="shared" si="7"/>
        <v>0</v>
      </c>
      <c r="F87" s="162" t="str">
        <f t="shared" si="6"/>
        <v>оплачено</v>
      </c>
      <c r="G87" s="256"/>
      <c r="H87" s="1"/>
      <c r="I87" s="1"/>
      <c r="J87" s="1"/>
      <c r="K87" s="1"/>
      <c r="L87" s="1"/>
      <c r="M87" s="1"/>
      <c r="O87" s="1"/>
      <c r="P87" s="366"/>
      <c r="Q87" s="1"/>
      <c r="R87" s="1"/>
      <c r="S87" s="111"/>
    </row>
    <row r="88" spans="1:19">
      <c r="A88" s="410">
        <v>43733</v>
      </c>
      <c r="B88" s="161" t="s">
        <v>62</v>
      </c>
      <c r="C88" s="164">
        <v>795.83</v>
      </c>
      <c r="D88" s="164">
        <v>795.83</v>
      </c>
      <c r="E88" s="160">
        <f t="shared" si="7"/>
        <v>0</v>
      </c>
      <c r="F88" s="162" t="str">
        <f t="shared" si="6"/>
        <v>оплачено</v>
      </c>
      <c r="G88" s="162"/>
      <c r="H88" s="1"/>
      <c r="I88" s="1"/>
      <c r="J88" s="1"/>
      <c r="K88" s="1"/>
      <c r="L88" s="1"/>
      <c r="M88" s="1"/>
      <c r="O88" s="1"/>
      <c r="P88" s="366"/>
      <c r="Q88" s="1"/>
      <c r="R88" s="1"/>
      <c r="S88" s="111"/>
    </row>
    <row r="89" spans="1:19">
      <c r="A89" s="413"/>
      <c r="B89" s="201"/>
      <c r="C89" s="201"/>
      <c r="D89" s="201"/>
      <c r="E89" s="216"/>
      <c r="F89" s="217" t="str">
        <f t="shared" si="6"/>
        <v/>
      </c>
      <c r="G89" s="217"/>
      <c r="H89" s="1">
        <v>1</v>
      </c>
      <c r="I89" s="1161" t="s">
        <v>47</v>
      </c>
      <c r="J89" s="1161"/>
      <c r="K89" s="368">
        <v>288.75</v>
      </c>
      <c r="L89" s="1" t="s">
        <v>134</v>
      </c>
      <c r="M89" s="111"/>
      <c r="O89" s="1"/>
      <c r="P89" s="366"/>
      <c r="Q89" s="1"/>
      <c r="R89" s="1"/>
      <c r="S89" s="111"/>
    </row>
    <row r="90" spans="1:19">
      <c r="A90" s="415"/>
      <c r="B90" s="199"/>
      <c r="C90" s="199"/>
      <c r="D90" s="232"/>
      <c r="E90" s="84"/>
      <c r="F90" s="199"/>
      <c r="G90" s="200"/>
      <c r="H90" s="1">
        <v>2</v>
      </c>
      <c r="I90" s="1161" t="s">
        <v>51</v>
      </c>
      <c r="J90" s="1161"/>
      <c r="K90" s="368">
        <v>64.349999999999994</v>
      </c>
      <c r="L90" s="1" t="s">
        <v>134</v>
      </c>
      <c r="M90" s="111"/>
      <c r="O90" s="1"/>
      <c r="P90" s="366"/>
      <c r="Q90" s="1"/>
      <c r="R90" s="1"/>
      <c r="S90" s="111"/>
    </row>
    <row r="91" spans="1:19" ht="36.75">
      <c r="A91" s="421">
        <v>1</v>
      </c>
      <c r="B91" s="264" t="s">
        <v>126</v>
      </c>
      <c r="C91" s="265" t="s">
        <v>20</v>
      </c>
      <c r="D91" s="266" t="s">
        <v>24</v>
      </c>
      <c r="E91" s="375">
        <v>94.08</v>
      </c>
      <c r="F91" s="375">
        <v>184</v>
      </c>
      <c r="G91" s="375" t="s">
        <v>56</v>
      </c>
      <c r="H91" s="1">
        <v>3</v>
      </c>
      <c r="I91" s="1161" t="s">
        <v>52</v>
      </c>
      <c r="J91" s="1161"/>
      <c r="K91" s="368">
        <v>10</v>
      </c>
      <c r="L91" s="1"/>
      <c r="M91" s="111"/>
      <c r="O91" s="1"/>
      <c r="P91" s="1"/>
      <c r="Q91" s="1"/>
      <c r="R91" s="1"/>
      <c r="S91" s="111"/>
    </row>
    <row r="92" spans="1:19">
      <c r="A92" s="422">
        <v>2</v>
      </c>
      <c r="B92" s="162" t="s">
        <v>115</v>
      </c>
      <c r="C92" s="219" t="s">
        <v>127</v>
      </c>
      <c r="D92" s="220" t="s">
        <v>24</v>
      </c>
      <c r="E92" s="160">
        <v>1980</v>
      </c>
      <c r="F92" s="368">
        <v>3200</v>
      </c>
      <c r="G92" s="368" t="s">
        <v>56</v>
      </c>
      <c r="H92" s="1">
        <v>4</v>
      </c>
      <c r="I92" s="1161" t="s">
        <v>53</v>
      </c>
      <c r="J92" s="1161"/>
      <c r="K92" s="368">
        <v>5</v>
      </c>
      <c r="L92" s="1"/>
      <c r="M92" s="156"/>
      <c r="O92" s="1"/>
      <c r="P92" s="1"/>
      <c r="Q92" s="1"/>
      <c r="R92" s="1"/>
      <c r="S92" s="111"/>
    </row>
    <row r="93" spans="1:19">
      <c r="A93" s="422">
        <v>3</v>
      </c>
      <c r="B93" s="368" t="s">
        <v>119</v>
      </c>
      <c r="C93" s="219"/>
      <c r="D93" s="220" t="s">
        <v>24</v>
      </c>
      <c r="E93" s="368">
        <v>389.25</v>
      </c>
      <c r="F93" s="368">
        <v>621</v>
      </c>
      <c r="G93" s="368" t="s">
        <v>56</v>
      </c>
      <c r="H93" s="1">
        <v>5</v>
      </c>
      <c r="I93" s="1161"/>
      <c r="J93" s="1161"/>
      <c r="K93" s="368"/>
      <c r="L93" s="1"/>
      <c r="M93" s="156"/>
      <c r="O93" s="1"/>
      <c r="P93" s="1"/>
      <c r="Q93" s="1"/>
      <c r="R93" s="1"/>
      <c r="S93" s="111"/>
    </row>
    <row r="94" spans="1:19">
      <c r="A94" s="423">
        <v>4</v>
      </c>
      <c r="B94" s="53" t="s">
        <v>128</v>
      </c>
      <c r="C94" s="219"/>
      <c r="D94" s="219" t="s">
        <v>23</v>
      </c>
      <c r="E94" s="368">
        <v>1355</v>
      </c>
      <c r="F94" s="368">
        <v>2991</v>
      </c>
      <c r="G94" s="368"/>
      <c r="H94" s="1">
        <v>6</v>
      </c>
      <c r="I94" s="1161" t="s">
        <v>49</v>
      </c>
      <c r="J94" s="1161"/>
      <c r="K94" s="368">
        <v>234.75</v>
      </c>
      <c r="L94" s="1" t="s">
        <v>56</v>
      </c>
      <c r="M94" s="1" t="s">
        <v>110</v>
      </c>
      <c r="O94" s="1"/>
      <c r="P94" s="1" t="s">
        <v>141</v>
      </c>
      <c r="Q94" s="1"/>
      <c r="R94" s="1" t="s">
        <v>56</v>
      </c>
      <c r="S94" s="111"/>
    </row>
    <row r="95" spans="1:19" ht="120">
      <c r="A95" s="424">
        <v>5</v>
      </c>
      <c r="B95" s="221" t="s">
        <v>29</v>
      </c>
      <c r="C95" s="222" t="s">
        <v>129</v>
      </c>
      <c r="D95" s="220" t="s">
        <v>24</v>
      </c>
      <c r="E95" s="224" t="s">
        <v>130</v>
      </c>
      <c r="F95" s="224">
        <v>453</v>
      </c>
      <c r="G95" s="368" t="s">
        <v>56</v>
      </c>
      <c r="H95" s="1">
        <v>7</v>
      </c>
      <c r="I95" s="1191" t="s">
        <v>48</v>
      </c>
      <c r="J95" s="1188"/>
      <c r="K95" s="368">
        <v>458.46</v>
      </c>
      <c r="L95" s="150"/>
      <c r="M95" s="156"/>
      <c r="O95" s="1"/>
      <c r="P95" s="1"/>
      <c r="Q95" s="1"/>
      <c r="R95" s="1"/>
      <c r="S95" s="111"/>
    </row>
    <row r="96" spans="1:19">
      <c r="A96" s="423">
        <v>6</v>
      </c>
      <c r="B96" s="162" t="s">
        <v>116</v>
      </c>
      <c r="C96" s="219"/>
      <c r="D96" s="220" t="s">
        <v>24</v>
      </c>
      <c r="E96" s="53">
        <v>775.2</v>
      </c>
      <c r="F96" s="53">
        <v>1140</v>
      </c>
      <c r="G96" s="368" t="s">
        <v>56</v>
      </c>
      <c r="H96" s="1">
        <v>8</v>
      </c>
      <c r="I96" s="1191" t="s">
        <v>57</v>
      </c>
      <c r="J96" s="1188"/>
      <c r="K96" s="368">
        <v>4.58</v>
      </c>
      <c r="L96" s="1"/>
      <c r="M96" s="111" t="s">
        <v>76</v>
      </c>
      <c r="O96" s="1"/>
      <c r="P96" s="1"/>
      <c r="Q96" s="1"/>
      <c r="R96" s="1"/>
      <c r="S96" s="111"/>
    </row>
    <row r="97" spans="1:19">
      <c r="A97" s="423">
        <v>7</v>
      </c>
      <c r="B97" s="161" t="s">
        <v>31</v>
      </c>
      <c r="C97" s="219"/>
      <c r="D97" s="220" t="s">
        <v>24</v>
      </c>
      <c r="E97" s="53">
        <v>979.98</v>
      </c>
      <c r="F97" s="53">
        <v>1518</v>
      </c>
      <c r="G97" s="368"/>
      <c r="H97" s="1">
        <v>9</v>
      </c>
      <c r="I97" s="1145" t="s">
        <v>59</v>
      </c>
      <c r="J97" s="1145"/>
      <c r="K97" s="368">
        <v>1041.98</v>
      </c>
      <c r="L97" s="1"/>
      <c r="M97" s="111"/>
      <c r="O97" s="1"/>
      <c r="P97" s="1"/>
      <c r="Q97" s="1"/>
      <c r="R97" s="1"/>
      <c r="S97" s="111"/>
    </row>
    <row r="98" spans="1:19">
      <c r="A98" s="423">
        <v>8</v>
      </c>
      <c r="B98" s="162" t="s">
        <v>117</v>
      </c>
      <c r="C98" s="219"/>
      <c r="D98" s="220" t="s">
        <v>24</v>
      </c>
      <c r="E98" s="53">
        <v>231.68</v>
      </c>
      <c r="F98" s="53">
        <v>367</v>
      </c>
      <c r="G98" s="368" t="s">
        <v>56</v>
      </c>
      <c r="H98" s="1">
        <v>10</v>
      </c>
      <c r="I98" s="1143" t="s">
        <v>68</v>
      </c>
      <c r="J98" s="1144"/>
      <c r="K98" s="368">
        <v>276</v>
      </c>
      <c r="L98" s="1" t="s">
        <v>56</v>
      </c>
      <c r="M98" s="111"/>
      <c r="O98" s="1"/>
      <c r="P98" s="1"/>
      <c r="Q98" s="1"/>
      <c r="R98" s="1"/>
      <c r="S98" s="111"/>
    </row>
    <row r="99" spans="1:19">
      <c r="A99" s="423">
        <v>9</v>
      </c>
      <c r="B99" s="53" t="s">
        <v>55</v>
      </c>
      <c r="C99" s="53"/>
      <c r="D99" s="219" t="s">
        <v>23</v>
      </c>
      <c r="E99" s="53">
        <v>1250</v>
      </c>
      <c r="F99" s="53">
        <v>3044</v>
      </c>
      <c r="G99" s="368"/>
      <c r="H99" s="1">
        <v>11</v>
      </c>
      <c r="I99" s="1143" t="s">
        <v>81</v>
      </c>
      <c r="J99" s="1144"/>
      <c r="K99" s="53">
        <v>1730.44</v>
      </c>
      <c r="L99" s="1" t="s">
        <v>56</v>
      </c>
      <c r="M99" s="111"/>
      <c r="O99" s="1"/>
      <c r="P99" s="1"/>
      <c r="Q99" s="1"/>
      <c r="R99" s="1"/>
      <c r="S99" s="111"/>
    </row>
    <row r="100" spans="1:19" ht="26.25">
      <c r="A100" s="423">
        <v>10</v>
      </c>
      <c r="B100" s="161" t="s">
        <v>27</v>
      </c>
      <c r="C100" s="161"/>
      <c r="D100" s="220" t="s">
        <v>24</v>
      </c>
      <c r="E100" s="161">
        <v>453.8</v>
      </c>
      <c r="F100" s="368"/>
      <c r="G100" s="223" t="s">
        <v>131</v>
      </c>
      <c r="H100" s="1"/>
      <c r="I100" s="1" t="s">
        <v>50</v>
      </c>
      <c r="J100" s="1"/>
      <c r="K100" s="92">
        <f>SUM(K84:K99)</f>
        <v>4114.3099999999995</v>
      </c>
      <c r="L100" s="1"/>
      <c r="M100" s="111"/>
      <c r="O100" s="1"/>
      <c r="P100" s="1"/>
      <c r="Q100" s="1"/>
      <c r="R100" s="1"/>
      <c r="S100" s="111"/>
    </row>
    <row r="101" spans="1:19" ht="26.25">
      <c r="A101" s="422">
        <v>11</v>
      </c>
      <c r="B101" s="161" t="s">
        <v>120</v>
      </c>
      <c r="C101" s="161"/>
      <c r="D101" s="220" t="s">
        <v>24</v>
      </c>
      <c r="E101" s="161">
        <v>429.83</v>
      </c>
      <c r="F101" s="368">
        <v>858.5</v>
      </c>
      <c r="G101" s="223" t="s">
        <v>131</v>
      </c>
      <c r="H101" s="1"/>
      <c r="I101" s="1"/>
      <c r="J101" s="1"/>
      <c r="K101" s="1"/>
      <c r="L101" s="1"/>
      <c r="M101" s="156"/>
      <c r="O101" s="1"/>
      <c r="P101" s="1"/>
      <c r="Q101" s="1"/>
      <c r="R101" s="1"/>
      <c r="S101" s="111"/>
    </row>
    <row r="102" spans="1:19">
      <c r="A102" s="422">
        <v>12</v>
      </c>
      <c r="B102" s="53" t="s">
        <v>125</v>
      </c>
      <c r="C102" s="98"/>
      <c r="D102" s="220" t="s">
        <v>24</v>
      </c>
      <c r="E102" s="98">
        <v>43.8</v>
      </c>
      <c r="F102" s="368">
        <v>200</v>
      </c>
      <c r="G102" s="368" t="s">
        <v>56</v>
      </c>
      <c r="H102" s="1"/>
      <c r="I102" s="1"/>
      <c r="J102" s="1"/>
      <c r="K102" s="12"/>
      <c r="L102" s="1"/>
      <c r="M102" s="111"/>
      <c r="O102" s="1"/>
      <c r="P102" s="1"/>
      <c r="Q102" s="1"/>
      <c r="R102" s="1"/>
      <c r="S102" s="111"/>
    </row>
    <row r="103" spans="1:19">
      <c r="A103" s="395">
        <v>13</v>
      </c>
      <c r="B103" s="53" t="s">
        <v>125</v>
      </c>
      <c r="C103" s="368"/>
      <c r="D103" s="219" t="s">
        <v>23</v>
      </c>
      <c r="E103" s="161">
        <v>58.25</v>
      </c>
      <c r="F103" s="368"/>
      <c r="G103" s="368"/>
      <c r="H103" s="1"/>
      <c r="I103" s="1"/>
      <c r="J103" s="1"/>
      <c r="K103" s="1"/>
      <c r="L103" s="1"/>
      <c r="M103" s="111"/>
      <c r="O103" s="1"/>
      <c r="P103" s="1"/>
      <c r="Q103" s="1"/>
      <c r="R103" s="1"/>
      <c r="S103" s="111"/>
    </row>
    <row r="104" spans="1:19" ht="15.75" thickBot="1">
      <c r="A104" s="395">
        <v>14</v>
      </c>
      <c r="B104" s="53" t="s">
        <v>132</v>
      </c>
      <c r="C104" s="368"/>
      <c r="D104" s="219" t="s">
        <v>23</v>
      </c>
      <c r="E104" s="368"/>
      <c r="F104" s="53">
        <v>2179</v>
      </c>
      <c r="G104" s="368"/>
      <c r="H104" s="130"/>
      <c r="I104" s="130"/>
      <c r="J104" s="130"/>
      <c r="K104" s="130"/>
      <c r="L104" s="130"/>
      <c r="M104" s="132"/>
      <c r="O104" s="1"/>
      <c r="P104" s="1"/>
      <c r="Q104" s="1"/>
      <c r="R104" s="1"/>
      <c r="S104" s="111"/>
    </row>
    <row r="105" spans="1:19">
      <c r="A105" s="395">
        <v>15</v>
      </c>
      <c r="B105" s="53" t="s">
        <v>87</v>
      </c>
      <c r="C105" s="368"/>
      <c r="D105" s="219" t="s">
        <v>23</v>
      </c>
      <c r="E105" s="368"/>
      <c r="F105" s="53">
        <v>614.5</v>
      </c>
      <c r="G105" s="368"/>
      <c r="H105" s="1"/>
      <c r="I105" s="1"/>
      <c r="J105" s="1"/>
      <c r="K105" s="1"/>
      <c r="L105" s="1"/>
      <c r="M105" s="1"/>
      <c r="O105" s="1"/>
      <c r="P105" s="1"/>
      <c r="Q105" s="1"/>
      <c r="R105" s="1"/>
      <c r="S105" s="111"/>
    </row>
    <row r="106" spans="1:19">
      <c r="A106" s="395">
        <v>16</v>
      </c>
      <c r="B106" s="162" t="s">
        <v>32</v>
      </c>
      <c r="C106" s="161"/>
      <c r="D106" s="220" t="s">
        <v>24</v>
      </c>
      <c r="E106" s="161">
        <v>348.15</v>
      </c>
      <c r="F106" s="368"/>
      <c r="G106" s="368"/>
      <c r="H106" s="1"/>
      <c r="I106" s="1"/>
      <c r="J106" s="1"/>
      <c r="K106" s="1"/>
      <c r="L106" s="1"/>
      <c r="M106" s="1"/>
      <c r="O106" s="1"/>
      <c r="P106" s="1"/>
      <c r="Q106" s="1"/>
      <c r="R106" s="1"/>
      <c r="S106" s="111"/>
    </row>
    <row r="107" spans="1:19">
      <c r="A107" s="395">
        <v>17</v>
      </c>
      <c r="B107" s="162" t="s">
        <v>32</v>
      </c>
      <c r="C107" s="368"/>
      <c r="D107" s="219" t="s">
        <v>23</v>
      </c>
      <c r="E107" s="161">
        <v>588.75</v>
      </c>
      <c r="F107" s="368"/>
      <c r="G107" s="368"/>
      <c r="H107" s="1"/>
      <c r="I107" s="1"/>
      <c r="J107" s="1"/>
      <c r="K107" s="1"/>
      <c r="L107" s="1"/>
      <c r="M107" s="1"/>
      <c r="O107" s="1"/>
      <c r="P107" s="1"/>
      <c r="Q107" s="1"/>
      <c r="R107" s="1"/>
      <c r="S107" s="111"/>
    </row>
    <row r="108" spans="1:19">
      <c r="A108" s="395">
        <v>18</v>
      </c>
      <c r="B108" s="162" t="s">
        <v>32</v>
      </c>
      <c r="C108" s="368"/>
      <c r="D108" s="219" t="s">
        <v>23</v>
      </c>
      <c r="E108" s="161">
        <v>339.5</v>
      </c>
      <c r="F108" s="368"/>
      <c r="G108" s="368"/>
      <c r="H108" s="1"/>
      <c r="I108" s="1"/>
      <c r="J108" s="1"/>
      <c r="K108" s="1"/>
      <c r="L108" s="1"/>
      <c r="M108" s="1"/>
      <c r="O108" s="1"/>
      <c r="P108" s="1"/>
      <c r="Q108" s="1"/>
      <c r="R108" s="1"/>
      <c r="S108" s="111"/>
    </row>
    <row r="109" spans="1:19">
      <c r="A109" s="395">
        <v>19</v>
      </c>
      <c r="B109" s="161" t="s">
        <v>133</v>
      </c>
      <c r="C109" s="368"/>
      <c r="D109" s="220" t="s">
        <v>24</v>
      </c>
      <c r="E109" s="164">
        <v>592.79999999999995</v>
      </c>
      <c r="F109" s="368"/>
      <c r="G109" s="368"/>
      <c r="H109" s="1"/>
      <c r="I109" s="1"/>
      <c r="J109" s="1"/>
      <c r="K109" s="1"/>
      <c r="L109" s="1"/>
      <c r="M109" s="1"/>
      <c r="O109" s="1"/>
      <c r="P109" s="1"/>
      <c r="Q109" s="1"/>
      <c r="R109" s="1"/>
      <c r="S109" s="111"/>
    </row>
    <row r="110" spans="1:19">
      <c r="A110" s="395">
        <v>20</v>
      </c>
      <c r="B110" s="161" t="s">
        <v>133</v>
      </c>
      <c r="C110" s="368"/>
      <c r="D110" s="219" t="s">
        <v>23</v>
      </c>
      <c r="E110" s="161">
        <v>2288</v>
      </c>
      <c r="F110" s="368"/>
      <c r="G110" s="368"/>
      <c r="H110" s="1"/>
      <c r="I110" s="1"/>
      <c r="J110" s="1"/>
      <c r="K110" s="1"/>
      <c r="L110" s="1"/>
      <c r="M110" s="1"/>
      <c r="O110" s="1"/>
      <c r="P110" s="1"/>
      <c r="Q110" s="1"/>
      <c r="R110" s="1"/>
      <c r="S110" s="111"/>
    </row>
    <row r="111" spans="1:19" ht="15.75" thickBot="1">
      <c r="A111" s="129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2"/>
    </row>
    <row r="112" spans="1:19" ht="15.75" thickBot="1">
      <c r="A112" s="107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9"/>
    </row>
    <row r="113" spans="1:19" ht="15.75" thickTop="1">
      <c r="A113" s="1165" t="s">
        <v>28</v>
      </c>
      <c r="B113" s="1166"/>
      <c r="C113" s="1166"/>
      <c r="D113" s="1166"/>
      <c r="E113" s="1166"/>
      <c r="F113" s="1166"/>
      <c r="G113" s="1167"/>
      <c r="H113" s="323"/>
      <c r="I113" s="1166" t="s">
        <v>158</v>
      </c>
      <c r="J113" s="1166"/>
      <c r="K113" s="1166"/>
      <c r="L113" s="1166"/>
      <c r="M113" s="1167"/>
      <c r="O113" s="1"/>
      <c r="P113" s="1"/>
      <c r="Q113" s="1"/>
      <c r="R113" s="1"/>
      <c r="S113" s="111"/>
    </row>
    <row r="114" spans="1:19">
      <c r="A114" s="395" t="s">
        <v>2</v>
      </c>
      <c r="B114" s="371" t="s">
        <v>34</v>
      </c>
      <c r="C114" s="36" t="s">
        <v>35</v>
      </c>
      <c r="D114" s="36" t="s">
        <v>38</v>
      </c>
      <c r="E114" s="36" t="s">
        <v>42</v>
      </c>
      <c r="F114" s="371" t="s">
        <v>36</v>
      </c>
      <c r="G114" s="100" t="s">
        <v>173</v>
      </c>
      <c r="H114" s="1"/>
      <c r="I114" s="40"/>
      <c r="J114" s="368" t="s">
        <v>104</v>
      </c>
      <c r="K114" s="368" t="s">
        <v>38</v>
      </c>
      <c r="L114" s="368" t="s">
        <v>42</v>
      </c>
      <c r="M114" s="100" t="s">
        <v>44</v>
      </c>
      <c r="O114" s="1"/>
      <c r="P114" s="1"/>
      <c r="Q114" s="1"/>
      <c r="R114" s="1"/>
      <c r="S114" s="111"/>
    </row>
    <row r="115" spans="1:19">
      <c r="A115" s="425">
        <v>43740</v>
      </c>
      <c r="B115" s="289" t="s">
        <v>31</v>
      </c>
      <c r="C115" s="290">
        <v>527.41</v>
      </c>
      <c r="D115" s="290" t="s">
        <v>72</v>
      </c>
      <c r="E115" s="291" t="s">
        <v>72</v>
      </c>
      <c r="F115" s="289" t="s">
        <v>61</v>
      </c>
      <c r="G115" s="311"/>
      <c r="H115" s="1"/>
      <c r="I115" s="368" t="s">
        <v>39</v>
      </c>
      <c r="J115" s="373">
        <v>1157.48</v>
      </c>
      <c r="K115" s="373">
        <v>1157.48</v>
      </c>
      <c r="L115" s="160">
        <f>J115-K115</f>
        <v>0</v>
      </c>
      <c r="M115" s="101">
        <v>43759</v>
      </c>
      <c r="O115" s="1"/>
      <c r="P115" s="1"/>
      <c r="Q115" s="1"/>
      <c r="R115" s="1"/>
      <c r="S115" s="111"/>
    </row>
    <row r="116" spans="1:19">
      <c r="A116" s="409">
        <v>43746</v>
      </c>
      <c r="B116" s="162" t="s">
        <v>115</v>
      </c>
      <c r="C116" s="98">
        <v>248.72</v>
      </c>
      <c r="D116" s="98">
        <v>248.72</v>
      </c>
      <c r="E116" s="160">
        <f t="shared" ref="E116:E128" si="8">C116-D116</f>
        <v>0</v>
      </c>
      <c r="F116" s="162" t="str">
        <f t="shared" ref="F116:F130" si="9">IF(C116=0,"",IF(C116-D116=0,"оплачено",""))</f>
        <v>оплачено</v>
      </c>
      <c r="G116" s="312"/>
      <c r="H116" s="1"/>
      <c r="I116" s="368" t="s">
        <v>40</v>
      </c>
      <c r="J116" s="281">
        <v>868.92</v>
      </c>
      <c r="K116" s="281">
        <v>868.92</v>
      </c>
      <c r="L116" s="160">
        <f>J116-K116</f>
        <v>0</v>
      </c>
      <c r="M116" s="101">
        <v>43759</v>
      </c>
      <c r="O116" s="1"/>
      <c r="P116" s="1"/>
      <c r="Q116" s="1"/>
      <c r="R116" s="1"/>
      <c r="S116" s="111"/>
    </row>
    <row r="117" spans="1:19">
      <c r="A117" s="409">
        <v>43747</v>
      </c>
      <c r="B117" s="161" t="s">
        <v>155</v>
      </c>
      <c r="C117" s="98">
        <v>178.7</v>
      </c>
      <c r="D117" s="98">
        <v>178.7</v>
      </c>
      <c r="E117" s="160">
        <f t="shared" si="8"/>
        <v>0</v>
      </c>
      <c r="F117" s="162" t="str">
        <f t="shared" si="9"/>
        <v>оплачено</v>
      </c>
      <c r="G117" s="312"/>
      <c r="H117" s="1"/>
      <c r="I117" s="1"/>
      <c r="J117" s="92">
        <f>SUM(J115:J116)</f>
        <v>2026.4</v>
      </c>
      <c r="K117" s="1"/>
      <c r="L117" s="1"/>
      <c r="M117" s="44"/>
      <c r="O117" s="1"/>
      <c r="P117" s="1"/>
      <c r="Q117" s="1"/>
      <c r="R117" s="1"/>
      <c r="S117" s="111"/>
    </row>
    <row r="118" spans="1:19" ht="15.75" thickBot="1">
      <c r="A118" s="425">
        <v>43748</v>
      </c>
      <c r="B118" s="289" t="s">
        <v>31</v>
      </c>
      <c r="C118" s="290">
        <v>396.19</v>
      </c>
      <c r="D118" s="290" t="s">
        <v>72</v>
      </c>
      <c r="E118" s="291" t="s">
        <v>72</v>
      </c>
      <c r="F118" s="289" t="s">
        <v>61</v>
      </c>
      <c r="G118" s="311"/>
      <c r="H118" s="1"/>
      <c r="I118" s="150"/>
      <c r="J118" s="1"/>
      <c r="K118" s="1"/>
      <c r="L118" s="1"/>
      <c r="M118" s="44"/>
      <c r="O118" s="1"/>
      <c r="P118" s="1"/>
      <c r="Q118" s="1"/>
      <c r="R118" s="1"/>
      <c r="S118" s="111"/>
    </row>
    <row r="119" spans="1:19">
      <c r="A119" s="417">
        <v>43743</v>
      </c>
      <c r="B119" s="162" t="s">
        <v>150</v>
      </c>
      <c r="C119" s="275">
        <v>564.70000000000005</v>
      </c>
      <c r="D119" s="275">
        <v>564.70000000000005</v>
      </c>
      <c r="E119" s="160">
        <f t="shared" si="8"/>
        <v>0</v>
      </c>
      <c r="F119" s="162" t="str">
        <f t="shared" si="9"/>
        <v>оплачено</v>
      </c>
      <c r="G119" s="312" t="s">
        <v>172</v>
      </c>
      <c r="H119" s="1192" t="s">
        <v>16</v>
      </c>
      <c r="I119" s="1174" t="s">
        <v>17</v>
      </c>
      <c r="J119" s="1174" t="s">
        <v>21</v>
      </c>
      <c r="K119" s="1174"/>
      <c r="L119" s="1176" t="s">
        <v>93</v>
      </c>
      <c r="M119" s="1178" t="s">
        <v>95</v>
      </c>
      <c r="O119" s="1189" t="s">
        <v>197</v>
      </c>
      <c r="P119" s="1189"/>
      <c r="Q119" s="1189"/>
      <c r="R119" s="1"/>
      <c r="S119" s="111"/>
    </row>
    <row r="120" spans="1:19" ht="24">
      <c r="A120" s="409">
        <v>43754</v>
      </c>
      <c r="B120" s="368" t="s">
        <v>71</v>
      </c>
      <c r="C120" s="275">
        <v>166.54</v>
      </c>
      <c r="D120" s="161">
        <v>166.54</v>
      </c>
      <c r="E120" s="160">
        <f t="shared" si="8"/>
        <v>0</v>
      </c>
      <c r="F120" s="162" t="str">
        <f t="shared" si="9"/>
        <v>оплачено</v>
      </c>
      <c r="G120" s="312"/>
      <c r="H120" s="1192"/>
      <c r="I120" s="1174"/>
      <c r="J120" s="372" t="s">
        <v>21</v>
      </c>
      <c r="K120" s="372" t="s">
        <v>25</v>
      </c>
      <c r="L120" s="1176"/>
      <c r="M120" s="1178"/>
      <c r="O120" s="1190"/>
      <c r="P120" s="1190"/>
      <c r="Q120" s="1190"/>
      <c r="R120" s="1"/>
      <c r="S120" s="111"/>
    </row>
    <row r="121" spans="1:19">
      <c r="A121" s="409">
        <v>43756</v>
      </c>
      <c r="B121" s="161" t="s">
        <v>155</v>
      </c>
      <c r="C121" s="275">
        <v>138</v>
      </c>
      <c r="D121" s="161">
        <v>138</v>
      </c>
      <c r="E121" s="160">
        <f t="shared" si="8"/>
        <v>0</v>
      </c>
      <c r="F121" s="162" t="str">
        <f t="shared" si="9"/>
        <v>оплачено</v>
      </c>
      <c r="G121" s="312"/>
      <c r="H121" s="257" t="s">
        <v>18</v>
      </c>
      <c r="I121" s="258">
        <v>32809.9</v>
      </c>
      <c r="J121" s="258">
        <v>1675.7199999999998</v>
      </c>
      <c r="K121" s="259">
        <v>1047.01</v>
      </c>
      <c r="L121" s="260">
        <v>52152</v>
      </c>
      <c r="M121" s="326">
        <f>82159.79-I121-J121-K121+L121</f>
        <v>98779.159999999989</v>
      </c>
      <c r="O121" s="1"/>
      <c r="P121" s="1"/>
      <c r="Q121" s="1"/>
      <c r="R121" s="1"/>
      <c r="S121" s="111"/>
    </row>
    <row r="122" spans="1:19">
      <c r="A122" s="410">
        <v>43766</v>
      </c>
      <c r="B122" s="280" t="s">
        <v>154</v>
      </c>
      <c r="C122" s="161">
        <v>49.84</v>
      </c>
      <c r="D122" s="161">
        <v>49.84</v>
      </c>
      <c r="E122" s="160">
        <f t="shared" si="8"/>
        <v>0</v>
      </c>
      <c r="F122" s="162" t="str">
        <f t="shared" si="9"/>
        <v>оплачено</v>
      </c>
      <c r="G122" s="312"/>
      <c r="H122" s="257" t="s">
        <v>19</v>
      </c>
      <c r="I122" s="258">
        <v>35259.579999999994</v>
      </c>
      <c r="J122" s="258">
        <v>1363.3000000000002</v>
      </c>
      <c r="K122" s="258">
        <v>1176.05</v>
      </c>
      <c r="L122" s="260">
        <v>40465.950000000004</v>
      </c>
      <c r="M122" s="326">
        <f>M121-I122-J122-K122+L122</f>
        <v>101446.18</v>
      </c>
      <c r="O122" s="1"/>
      <c r="P122" s="1"/>
      <c r="Q122" s="1"/>
      <c r="R122" s="1"/>
      <c r="S122" s="111"/>
    </row>
    <row r="123" spans="1:19">
      <c r="A123" s="411">
        <v>43763</v>
      </c>
      <c r="B123" s="161" t="s">
        <v>119</v>
      </c>
      <c r="C123" s="161">
        <v>282.45</v>
      </c>
      <c r="D123" s="161">
        <v>282.45</v>
      </c>
      <c r="E123" s="160">
        <f t="shared" si="8"/>
        <v>0</v>
      </c>
      <c r="F123" s="162" t="str">
        <f t="shared" si="9"/>
        <v>оплачено</v>
      </c>
      <c r="G123" s="312"/>
      <c r="H123" s="257" t="s">
        <v>20</v>
      </c>
      <c r="I123" s="261" t="e">
        <f>#REF!</f>
        <v>#REF!</v>
      </c>
      <c r="J123" s="258">
        <v>1209.3000000000002</v>
      </c>
      <c r="K123" s="262">
        <v>1213.33</v>
      </c>
      <c r="L123" s="262">
        <v>19306</v>
      </c>
      <c r="M123" s="326" t="e">
        <f>M122-I123-J123-K123+L123</f>
        <v>#REF!</v>
      </c>
      <c r="O123" s="1"/>
      <c r="P123" s="1"/>
      <c r="Q123" s="1"/>
      <c r="R123" s="1"/>
      <c r="S123" s="111"/>
    </row>
    <row r="124" spans="1:19">
      <c r="A124" s="411">
        <v>43766</v>
      </c>
      <c r="B124" s="53" t="s">
        <v>29</v>
      </c>
      <c r="C124" s="161">
        <v>342.45</v>
      </c>
      <c r="D124" s="161">
        <v>342.45</v>
      </c>
      <c r="E124" s="160">
        <f t="shared" si="8"/>
        <v>0</v>
      </c>
      <c r="F124" s="162" t="str">
        <f t="shared" si="9"/>
        <v>оплачено</v>
      </c>
      <c r="G124" s="312"/>
      <c r="H124" s="257" t="s">
        <v>148</v>
      </c>
      <c r="I124" s="262">
        <v>30955.479999999996</v>
      </c>
      <c r="J124" s="263"/>
      <c r="K124" s="263">
        <v>1035.6600000000001</v>
      </c>
      <c r="L124" s="262">
        <v>59195.5</v>
      </c>
      <c r="M124" s="326" t="e">
        <f>M123-I124-J124-K124+L124</f>
        <v>#REF!</v>
      </c>
      <c r="O124" s="1"/>
      <c r="P124" s="1"/>
      <c r="Q124" s="1"/>
      <c r="R124" s="1"/>
      <c r="S124" s="111"/>
    </row>
    <row r="125" spans="1:19">
      <c r="A125" s="410">
        <v>43748</v>
      </c>
      <c r="B125" s="280" t="s">
        <v>156</v>
      </c>
      <c r="C125" s="161">
        <v>228.65</v>
      </c>
      <c r="D125" s="161">
        <v>228.65</v>
      </c>
      <c r="E125" s="160">
        <f t="shared" si="8"/>
        <v>0</v>
      </c>
      <c r="F125" s="162" t="str">
        <f t="shared" si="9"/>
        <v>оплачено</v>
      </c>
      <c r="G125" s="312"/>
      <c r="H125" s="310" t="s">
        <v>162</v>
      </c>
      <c r="I125" s="307">
        <v>31239.439999999995</v>
      </c>
      <c r="J125" s="308">
        <v>2443.4</v>
      </c>
      <c r="K125" s="307"/>
      <c r="L125" s="308">
        <v>40132</v>
      </c>
      <c r="M125" s="326" t="e">
        <f>M124-I125-J125-K125+L125</f>
        <v>#REF!</v>
      </c>
      <c r="O125" s="1"/>
      <c r="P125" s="1"/>
      <c r="Q125" s="1"/>
      <c r="R125" s="1"/>
      <c r="S125" s="111"/>
    </row>
    <row r="126" spans="1:19">
      <c r="A126" s="410">
        <v>43741</v>
      </c>
      <c r="B126" s="280" t="s">
        <v>157</v>
      </c>
      <c r="C126" s="164">
        <v>324.93</v>
      </c>
      <c r="D126" s="164">
        <v>324.93</v>
      </c>
      <c r="E126" s="160">
        <f t="shared" si="8"/>
        <v>0</v>
      </c>
      <c r="F126" s="162" t="str">
        <f t="shared" si="9"/>
        <v>оплачено</v>
      </c>
      <c r="G126" s="312"/>
      <c r="H126" s="1195" t="s">
        <v>122</v>
      </c>
      <c r="I126" s="1196"/>
      <c r="J126" s="306" t="s">
        <v>121</v>
      </c>
      <c r="K126" s="150"/>
      <c r="L126" s="150"/>
      <c r="M126" s="44"/>
      <c r="O126" s="1"/>
      <c r="P126" s="1"/>
      <c r="Q126" s="1"/>
      <c r="R126" s="1"/>
      <c r="S126" s="111"/>
    </row>
    <row r="127" spans="1:19">
      <c r="A127" s="410">
        <v>43768</v>
      </c>
      <c r="B127" s="368" t="s">
        <v>71</v>
      </c>
      <c r="C127" s="161">
        <v>632.77</v>
      </c>
      <c r="D127" s="161">
        <v>632.77</v>
      </c>
      <c r="E127" s="160">
        <f t="shared" si="8"/>
        <v>0</v>
      </c>
      <c r="F127" s="162" t="str">
        <f t="shared" si="9"/>
        <v>оплачено</v>
      </c>
      <c r="G127" s="312"/>
      <c r="H127" s="92"/>
      <c r="I127" s="92">
        <v>28</v>
      </c>
      <c r="J127" s="309">
        <v>40132</v>
      </c>
      <c r="K127" s="1"/>
      <c r="L127" s="1"/>
      <c r="M127" s="102"/>
      <c r="O127" s="1"/>
      <c r="P127" s="1"/>
      <c r="Q127" s="1"/>
      <c r="R127" s="1"/>
      <c r="S127" s="111"/>
    </row>
    <row r="128" spans="1:19" ht="15.75" thickBot="1">
      <c r="A128" s="426">
        <v>43768</v>
      </c>
      <c r="B128" s="317" t="s">
        <v>63</v>
      </c>
      <c r="C128" s="318">
        <v>340.96</v>
      </c>
      <c r="D128" s="318">
        <v>340.96</v>
      </c>
      <c r="E128" s="319">
        <f t="shared" si="8"/>
        <v>0</v>
      </c>
      <c r="F128" s="320" t="str">
        <f t="shared" si="9"/>
        <v>оплачено</v>
      </c>
      <c r="G128" s="321"/>
      <c r="H128" s="322"/>
      <c r="I128" s="322"/>
      <c r="J128" s="322"/>
      <c r="K128" s="322"/>
      <c r="L128" s="322"/>
      <c r="M128" s="329"/>
      <c r="O128" s="1"/>
      <c r="P128" s="1"/>
      <c r="Q128" s="1"/>
      <c r="R128" s="1"/>
      <c r="S128" s="111"/>
    </row>
    <row r="129" spans="1:19" ht="15.75" thickTop="1">
      <c r="A129" s="427"/>
      <c r="B129" s="332"/>
      <c r="C129" s="333"/>
      <c r="D129" s="333"/>
      <c r="E129" s="334"/>
      <c r="F129" s="335" t="str">
        <f t="shared" si="9"/>
        <v/>
      </c>
      <c r="G129" s="336"/>
      <c r="H129" s="323"/>
      <c r="I129" s="323"/>
      <c r="J129" s="323"/>
      <c r="K129" s="323"/>
      <c r="L129" s="323" t="s">
        <v>159</v>
      </c>
      <c r="M129" s="337"/>
      <c r="O129" s="1"/>
      <c r="P129" s="1"/>
      <c r="Q129" s="1"/>
      <c r="R129" s="1"/>
      <c r="S129" s="111"/>
    </row>
    <row r="130" spans="1:19">
      <c r="A130" s="414"/>
      <c r="B130" s="199"/>
      <c r="C130" s="199"/>
      <c r="D130" s="199"/>
      <c r="E130" s="366"/>
      <c r="F130" s="200" t="str">
        <f t="shared" si="9"/>
        <v/>
      </c>
      <c r="G130" s="313"/>
      <c r="H130" s="1">
        <v>1</v>
      </c>
      <c r="I130" s="1161" t="s">
        <v>47</v>
      </c>
      <c r="J130" s="1161"/>
      <c r="K130" s="368">
        <v>288.75</v>
      </c>
      <c r="L130" s="282">
        <v>43749</v>
      </c>
      <c r="M130" s="44" t="s">
        <v>160</v>
      </c>
      <c r="O130" s="1"/>
      <c r="P130" s="1"/>
      <c r="Q130" s="1"/>
      <c r="R130" s="1"/>
      <c r="S130" s="111"/>
    </row>
    <row r="131" spans="1:19">
      <c r="A131" s="415"/>
      <c r="B131" s="199"/>
      <c r="C131" s="288"/>
      <c r="D131" s="232"/>
      <c r="E131" s="84"/>
      <c r="F131" s="199"/>
      <c r="G131" s="313"/>
      <c r="H131" s="1">
        <v>2</v>
      </c>
      <c r="I131" s="1161" t="s">
        <v>51</v>
      </c>
      <c r="J131" s="1161"/>
      <c r="K131" s="368">
        <v>60.29</v>
      </c>
      <c r="L131" s="282">
        <v>43749</v>
      </c>
      <c r="M131" s="44" t="s">
        <v>160</v>
      </c>
      <c r="O131" s="1"/>
      <c r="P131" s="1"/>
      <c r="Q131" s="1"/>
      <c r="R131" s="1"/>
      <c r="S131" s="111"/>
    </row>
    <row r="132" spans="1:19">
      <c r="A132" s="428"/>
      <c r="B132" s="199"/>
      <c r="C132" s="199"/>
      <c r="D132" s="273"/>
      <c r="E132" s="366"/>
      <c r="F132" s="84"/>
      <c r="G132" s="314"/>
      <c r="H132" s="1">
        <v>3</v>
      </c>
      <c r="I132" s="1161" t="s">
        <v>52</v>
      </c>
      <c r="J132" s="1161"/>
      <c r="K132" s="368">
        <v>4.95</v>
      </c>
      <c r="L132" s="282">
        <v>43749</v>
      </c>
      <c r="M132" s="44" t="s">
        <v>160</v>
      </c>
      <c r="O132" s="1"/>
      <c r="P132" s="1"/>
      <c r="Q132" s="1"/>
      <c r="R132" s="1"/>
      <c r="S132" s="111"/>
    </row>
    <row r="133" spans="1:19">
      <c r="A133" s="428"/>
      <c r="B133" s="366"/>
      <c r="C133" s="199"/>
      <c r="D133" s="273"/>
      <c r="E133" s="366"/>
      <c r="F133" s="366"/>
      <c r="G133" s="314"/>
      <c r="H133" s="1">
        <v>6</v>
      </c>
      <c r="I133" s="1161" t="s">
        <v>49</v>
      </c>
      <c r="J133" s="1161"/>
      <c r="K133" s="368">
        <v>234.75</v>
      </c>
      <c r="L133" s="282">
        <v>43759</v>
      </c>
      <c r="M133" s="44" t="s">
        <v>161</v>
      </c>
      <c r="O133" s="1"/>
      <c r="P133" s="1"/>
      <c r="Q133" s="1"/>
      <c r="R133" s="1"/>
      <c r="S133" s="111"/>
    </row>
    <row r="134" spans="1:19">
      <c r="A134" s="428"/>
      <c r="B134" s="1"/>
      <c r="C134" s="199"/>
      <c r="D134" s="273"/>
      <c r="E134" s="84"/>
      <c r="F134" s="366"/>
      <c r="G134" s="314"/>
      <c r="H134" s="1">
        <v>8</v>
      </c>
      <c r="I134" s="1191" t="s">
        <v>53</v>
      </c>
      <c r="J134" s="1188"/>
      <c r="K134" s="368">
        <v>7.01</v>
      </c>
      <c r="L134" s="282">
        <v>43745</v>
      </c>
      <c r="M134" s="44" t="s">
        <v>160</v>
      </c>
      <c r="O134" s="1"/>
      <c r="P134" s="1"/>
      <c r="Q134" s="1"/>
      <c r="R134" s="1"/>
      <c r="S134" s="111"/>
    </row>
    <row r="135" spans="1:19">
      <c r="A135" s="428"/>
      <c r="B135" s="1"/>
      <c r="C135" s="284"/>
      <c r="D135" s="273"/>
      <c r="E135" s="366"/>
      <c r="F135" s="366"/>
      <c r="G135" s="315"/>
      <c r="H135" s="1">
        <v>9</v>
      </c>
      <c r="I135" s="1145" t="s">
        <v>59</v>
      </c>
      <c r="J135" s="1145"/>
      <c r="K135" s="368">
        <v>1045.72</v>
      </c>
      <c r="L135" s="368">
        <v>1045.72</v>
      </c>
      <c r="M135" s="314" t="s">
        <v>160</v>
      </c>
      <c r="O135" s="1"/>
      <c r="P135" s="1"/>
      <c r="Q135" s="1"/>
      <c r="R135" s="1"/>
      <c r="S135" s="111"/>
    </row>
    <row r="136" spans="1:19">
      <c r="A136" s="428"/>
      <c r="B136" s="199"/>
      <c r="C136" s="1"/>
      <c r="D136" s="273"/>
      <c r="E136" s="366"/>
      <c r="F136" s="366"/>
      <c r="G136" s="314"/>
      <c r="H136" s="1">
        <v>10</v>
      </c>
      <c r="I136" s="1143" t="s">
        <v>68</v>
      </c>
      <c r="J136" s="1144"/>
      <c r="K136" s="368">
        <v>176.72</v>
      </c>
      <c r="L136" s="282">
        <v>43759</v>
      </c>
      <c r="M136" s="314" t="s">
        <v>160</v>
      </c>
      <c r="O136" s="1"/>
      <c r="P136" s="1"/>
      <c r="Q136" s="1"/>
      <c r="R136" s="1"/>
      <c r="S136" s="111"/>
    </row>
    <row r="137" spans="1:19">
      <c r="A137" s="428"/>
      <c r="B137" s="199"/>
      <c r="C137" s="1"/>
      <c r="D137" s="273"/>
      <c r="E137" s="84"/>
      <c r="F137" s="366"/>
      <c r="G137" s="314"/>
      <c r="H137" s="1">
        <v>11</v>
      </c>
      <c r="I137" s="1143" t="s">
        <v>81</v>
      </c>
      <c r="J137" s="1144"/>
      <c r="K137" s="53">
        <v>1730.7</v>
      </c>
      <c r="L137" s="282">
        <v>43752</v>
      </c>
      <c r="M137" s="44" t="s">
        <v>160</v>
      </c>
      <c r="O137" s="1"/>
      <c r="P137" s="1"/>
      <c r="Q137" s="1"/>
      <c r="R137" s="1"/>
      <c r="S137" s="111"/>
    </row>
    <row r="138" spans="1:19">
      <c r="A138" s="428"/>
      <c r="B138" s="199"/>
      <c r="C138" s="284"/>
      <c r="D138" s="273"/>
      <c r="E138" s="284"/>
      <c r="F138" s="366"/>
      <c r="G138" s="316"/>
      <c r="H138" s="1"/>
      <c r="I138" s="1" t="s">
        <v>50</v>
      </c>
      <c r="J138" s="1"/>
      <c r="K138" s="92">
        <f>SUM(K129:K137)</f>
        <v>3548.8900000000003</v>
      </c>
      <c r="L138" s="1"/>
      <c r="M138" s="44"/>
      <c r="O138" s="1"/>
      <c r="P138" s="1"/>
      <c r="Q138" s="1"/>
      <c r="R138" s="1"/>
      <c r="S138" s="111"/>
    </row>
    <row r="139" spans="1:19">
      <c r="A139" s="428"/>
      <c r="B139" s="199"/>
      <c r="C139" s="199"/>
      <c r="D139" s="273"/>
      <c r="E139" s="199"/>
      <c r="F139" s="366"/>
      <c r="G139" s="316"/>
      <c r="H139" s="1"/>
      <c r="I139" s="1"/>
      <c r="J139" s="1"/>
      <c r="K139" s="1"/>
      <c r="L139" s="1"/>
      <c r="M139" s="102"/>
      <c r="O139" s="1"/>
      <c r="P139" s="1"/>
      <c r="Q139" s="1"/>
      <c r="R139" s="1"/>
      <c r="S139" s="111"/>
    </row>
    <row r="140" spans="1:19">
      <c r="A140" s="428"/>
      <c r="B140" s="366"/>
      <c r="C140" s="274"/>
      <c r="D140" s="273"/>
      <c r="E140" s="274"/>
      <c r="F140" s="366"/>
      <c r="G140" s="314"/>
      <c r="H140" s="1"/>
      <c r="I140" s="1"/>
      <c r="J140" s="1"/>
      <c r="K140" s="12"/>
      <c r="L140" s="1"/>
      <c r="M140" s="44"/>
      <c r="O140" s="1"/>
      <c r="P140" s="1"/>
      <c r="Q140" s="1"/>
      <c r="R140" s="1"/>
      <c r="S140" s="111"/>
    </row>
    <row r="141" spans="1:19">
      <c r="A141" s="406"/>
      <c r="B141" s="366"/>
      <c r="C141" s="366"/>
      <c r="D141" s="273"/>
      <c r="E141" s="199"/>
      <c r="F141" s="366"/>
      <c r="G141" s="314"/>
      <c r="H141" s="1"/>
      <c r="I141" s="1"/>
      <c r="J141" s="1"/>
      <c r="K141" s="1"/>
      <c r="L141" s="1"/>
      <c r="M141" s="44"/>
      <c r="O141" s="1"/>
      <c r="P141" s="1"/>
      <c r="Q141" s="1"/>
      <c r="R141" s="1"/>
      <c r="S141" s="111"/>
    </row>
    <row r="142" spans="1:19">
      <c r="A142" s="406"/>
      <c r="B142" s="366"/>
      <c r="C142" s="366"/>
      <c r="D142" s="273"/>
      <c r="E142" s="366"/>
      <c r="F142" s="366"/>
      <c r="G142" s="314"/>
      <c r="H142" s="1"/>
      <c r="I142" s="1"/>
      <c r="J142" s="1"/>
      <c r="K142" s="1"/>
      <c r="L142" s="1"/>
      <c r="M142" s="102"/>
      <c r="O142" s="1"/>
      <c r="P142" s="1"/>
      <c r="Q142" s="1"/>
      <c r="R142" s="1"/>
      <c r="S142" s="111"/>
    </row>
    <row r="143" spans="1:19">
      <c r="A143" s="406"/>
      <c r="B143" s="366"/>
      <c r="C143" s="366"/>
      <c r="D143" s="273"/>
      <c r="E143" s="366"/>
      <c r="F143" s="366"/>
      <c r="G143" s="314"/>
      <c r="H143" s="1"/>
      <c r="I143" s="1"/>
      <c r="J143" s="1"/>
      <c r="K143" s="1"/>
      <c r="L143" s="1"/>
      <c r="M143" s="44"/>
      <c r="O143" s="1"/>
      <c r="P143" s="1"/>
      <c r="Q143" s="1"/>
      <c r="R143" s="1"/>
      <c r="S143" s="111"/>
    </row>
    <row r="144" spans="1:19">
      <c r="A144" s="406"/>
      <c r="B144" s="199"/>
      <c r="C144" s="199"/>
      <c r="D144" s="273"/>
      <c r="E144" s="199"/>
      <c r="F144" s="366"/>
      <c r="G144" s="314"/>
      <c r="H144" s="1"/>
      <c r="I144" s="1"/>
      <c r="J144" s="1"/>
      <c r="K144" s="1"/>
      <c r="L144" s="1"/>
      <c r="M144" s="44"/>
      <c r="O144" s="1"/>
      <c r="P144" s="1"/>
      <c r="Q144" s="1"/>
      <c r="R144" s="1"/>
      <c r="S144" s="111"/>
    </row>
    <row r="145" spans="1:19" ht="15.75" thickBot="1">
      <c r="A145" s="429"/>
      <c r="B145" s="330"/>
      <c r="C145" s="331"/>
      <c r="D145" s="342"/>
      <c r="E145" s="330"/>
      <c r="F145" s="331"/>
      <c r="G145" s="343"/>
      <c r="H145" s="322"/>
      <c r="I145" s="322"/>
      <c r="J145" s="322"/>
      <c r="K145" s="322"/>
      <c r="L145" s="322"/>
      <c r="M145" s="329"/>
      <c r="O145" s="1"/>
      <c r="P145" s="1"/>
      <c r="Q145" s="1"/>
      <c r="R145" s="1"/>
      <c r="S145" s="111"/>
    </row>
    <row r="146" spans="1:19" ht="16.5" thickTop="1" thickBot="1">
      <c r="A146" s="129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2"/>
    </row>
    <row r="147" spans="1:19" ht="15.75" thickBot="1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9"/>
    </row>
    <row r="148" spans="1:19" ht="15.75" thickTop="1">
      <c r="A148" s="1165" t="s">
        <v>28</v>
      </c>
      <c r="B148" s="1166"/>
      <c r="C148" s="1166"/>
      <c r="D148" s="1166"/>
      <c r="E148" s="1166"/>
      <c r="F148" s="1166"/>
      <c r="G148" s="1167"/>
      <c r="H148" s="345"/>
      <c r="I148" s="1166" t="s">
        <v>165</v>
      </c>
      <c r="J148" s="1166"/>
      <c r="K148" s="1166"/>
      <c r="L148" s="1166"/>
      <c r="M148" s="1167"/>
      <c r="O148" s="1"/>
      <c r="P148" s="1"/>
      <c r="Q148" s="1"/>
      <c r="R148" s="1"/>
      <c r="S148" s="111"/>
    </row>
    <row r="149" spans="1:19">
      <c r="A149" s="395" t="s">
        <v>2</v>
      </c>
      <c r="B149" s="520" t="s">
        <v>34</v>
      </c>
      <c r="C149" s="36" t="s">
        <v>35</v>
      </c>
      <c r="D149" s="36" t="s">
        <v>38</v>
      </c>
      <c r="E149" s="36" t="s">
        <v>42</v>
      </c>
      <c r="F149" s="520" t="s">
        <v>36</v>
      </c>
      <c r="G149" s="100" t="s">
        <v>173</v>
      </c>
      <c r="H149" s="43"/>
      <c r="I149" s="40"/>
      <c r="J149" s="515" t="s">
        <v>35</v>
      </c>
      <c r="K149" s="515" t="s">
        <v>38</v>
      </c>
      <c r="L149" s="515" t="s">
        <v>42</v>
      </c>
      <c r="M149" s="100" t="s">
        <v>44</v>
      </c>
      <c r="O149" s="1"/>
      <c r="P149" s="1"/>
      <c r="Q149" s="1"/>
      <c r="R149" s="1"/>
      <c r="S149" s="111"/>
    </row>
    <row r="150" spans="1:19">
      <c r="A150" s="409">
        <v>43773</v>
      </c>
      <c r="B150" s="161" t="s">
        <v>29</v>
      </c>
      <c r="C150" s="98">
        <v>113.8</v>
      </c>
      <c r="D150" s="98">
        <v>113.8</v>
      </c>
      <c r="E150" s="160"/>
      <c r="F150" s="162" t="str">
        <f t="shared" ref="F150:F166" si="10">IF(C150=0,"",IF(C150-D150=0,"оплачено",""))</f>
        <v>оплачено</v>
      </c>
      <c r="G150" s="356"/>
      <c r="H150" s="43"/>
      <c r="I150" s="515" t="s">
        <v>39</v>
      </c>
      <c r="J150" s="521">
        <v>1780.71</v>
      </c>
      <c r="K150" s="521">
        <v>1780.71</v>
      </c>
      <c r="L150" s="160">
        <f>J150-K150</f>
        <v>0</v>
      </c>
      <c r="M150" s="101">
        <v>43791</v>
      </c>
      <c r="O150" s="1"/>
      <c r="P150" s="1"/>
      <c r="Q150" s="1"/>
      <c r="R150" s="1"/>
      <c r="S150" s="111"/>
    </row>
    <row r="151" spans="1:19">
      <c r="A151" s="409">
        <v>43773</v>
      </c>
      <c r="B151" s="161" t="s">
        <v>101</v>
      </c>
      <c r="C151" s="98">
        <v>283.68</v>
      </c>
      <c r="D151" s="98">
        <v>283.68</v>
      </c>
      <c r="E151" s="160"/>
      <c r="F151" s="162" t="str">
        <f t="shared" si="10"/>
        <v>оплачено</v>
      </c>
      <c r="G151" s="356"/>
      <c r="H151" s="43"/>
      <c r="I151" s="515" t="s">
        <v>40</v>
      </c>
      <c r="J151" s="281">
        <v>1147.08</v>
      </c>
      <c r="K151" s="281">
        <v>1147.08</v>
      </c>
      <c r="L151" s="160">
        <f>J151-K151</f>
        <v>0</v>
      </c>
      <c r="M151" s="101">
        <v>43791</v>
      </c>
      <c r="O151" s="1"/>
      <c r="P151" s="1"/>
      <c r="Q151" s="1"/>
      <c r="R151" s="1"/>
      <c r="S151" s="111"/>
    </row>
    <row r="152" spans="1:19">
      <c r="A152" s="409">
        <v>43775</v>
      </c>
      <c r="B152" s="161" t="s">
        <v>175</v>
      </c>
      <c r="C152" s="98">
        <v>252.6</v>
      </c>
      <c r="D152" s="98">
        <v>252.6</v>
      </c>
      <c r="E152" s="160"/>
      <c r="F152" s="162" t="str">
        <f t="shared" si="10"/>
        <v>оплачено</v>
      </c>
      <c r="G152" s="356"/>
      <c r="H152" s="43"/>
      <c r="I152" s="1"/>
      <c r="J152" s="296">
        <f>SUM(J150:J151)</f>
        <v>2927.79</v>
      </c>
      <c r="K152" s="1"/>
      <c r="L152" s="1"/>
      <c r="M152" s="44"/>
      <c r="O152" s="1"/>
      <c r="P152" s="1"/>
      <c r="Q152" s="1"/>
      <c r="R152" s="1"/>
      <c r="S152" s="111"/>
    </row>
    <row r="153" spans="1:19">
      <c r="A153" s="409">
        <v>43796</v>
      </c>
      <c r="B153" s="161" t="s">
        <v>183</v>
      </c>
      <c r="C153" s="98">
        <v>422.22</v>
      </c>
      <c r="D153" s="98">
        <v>422.22</v>
      </c>
      <c r="E153" s="160"/>
      <c r="F153" s="162" t="str">
        <f t="shared" si="10"/>
        <v>оплачено</v>
      </c>
      <c r="G153" s="356"/>
      <c r="H153" s="43"/>
      <c r="I153" s="1"/>
      <c r="J153" s="366"/>
      <c r="K153" s="1"/>
      <c r="L153" s="1"/>
      <c r="M153" s="44"/>
      <c r="O153" s="1"/>
      <c r="P153" s="1"/>
      <c r="Q153" s="1"/>
      <c r="R153" s="1"/>
      <c r="S153" s="111"/>
    </row>
    <row r="154" spans="1:19">
      <c r="A154" s="409">
        <v>43795</v>
      </c>
      <c r="B154" s="161" t="s">
        <v>29</v>
      </c>
      <c r="C154" s="98">
        <v>313.76</v>
      </c>
      <c r="D154" s="98">
        <v>313.76</v>
      </c>
      <c r="E154" s="160"/>
      <c r="F154" s="162" t="str">
        <f t="shared" si="10"/>
        <v>оплачено</v>
      </c>
      <c r="G154" s="356"/>
      <c r="H154" s="43"/>
      <c r="I154" s="1"/>
      <c r="J154" s="366"/>
      <c r="K154" s="1"/>
      <c r="L154" s="1"/>
      <c r="M154" s="44"/>
      <c r="O154" s="1"/>
      <c r="P154" s="1"/>
      <c r="Q154" s="1"/>
      <c r="R154" s="1"/>
      <c r="S154" s="111"/>
    </row>
    <row r="155" spans="1:19">
      <c r="A155" s="409">
        <v>43794</v>
      </c>
      <c r="B155" s="161" t="s">
        <v>119</v>
      </c>
      <c r="C155" s="275">
        <v>116.9</v>
      </c>
      <c r="D155" s="275">
        <v>116.9</v>
      </c>
      <c r="E155" s="160"/>
      <c r="F155" s="162" t="str">
        <f t="shared" si="10"/>
        <v>оплачено</v>
      </c>
      <c r="G155" s="356"/>
      <c r="H155" s="43"/>
      <c r="I155" s="1"/>
      <c r="J155" s="366"/>
      <c r="K155" s="1"/>
      <c r="L155" s="1"/>
      <c r="M155" s="44"/>
      <c r="O155" s="1"/>
      <c r="P155" s="1"/>
      <c r="Q155" s="1"/>
      <c r="R155" s="1"/>
      <c r="S155" s="111"/>
    </row>
    <row r="156" spans="1:19">
      <c r="A156" s="409"/>
      <c r="B156" s="161"/>
      <c r="C156" s="275"/>
      <c r="D156" s="161"/>
      <c r="E156" s="160" t="str">
        <f t="shared" ref="E156:E166" si="11">IF(C156-D156=0,"",C156-D156)</f>
        <v/>
      </c>
      <c r="F156" s="162" t="str">
        <f t="shared" si="10"/>
        <v/>
      </c>
      <c r="G156" s="356"/>
      <c r="H156" s="43"/>
      <c r="I156" s="1"/>
      <c r="J156" s="366"/>
      <c r="K156" s="1"/>
      <c r="L156" s="1"/>
      <c r="M156" s="44"/>
      <c r="O156" s="1"/>
      <c r="P156" s="1"/>
      <c r="Q156" s="1"/>
      <c r="R156" s="1"/>
      <c r="S156" s="111"/>
    </row>
    <row r="157" spans="1:19">
      <c r="A157" s="409"/>
      <c r="B157" s="161"/>
      <c r="C157" s="275"/>
      <c r="D157" s="161"/>
      <c r="E157" s="160" t="str">
        <f t="shared" si="11"/>
        <v/>
      </c>
      <c r="F157" s="162" t="str">
        <f t="shared" si="10"/>
        <v/>
      </c>
      <c r="G157" s="356"/>
      <c r="H157" s="43"/>
      <c r="I157" s="1"/>
      <c r="J157" s="366"/>
      <c r="K157" s="1"/>
      <c r="L157" s="1"/>
      <c r="M157" s="44"/>
      <c r="O157" s="1"/>
      <c r="P157" s="1"/>
      <c r="Q157" s="1"/>
      <c r="R157" s="1"/>
      <c r="S157" s="111"/>
    </row>
    <row r="158" spans="1:19">
      <c r="A158" s="409"/>
      <c r="B158" s="161"/>
      <c r="C158" s="275"/>
      <c r="D158" s="161"/>
      <c r="E158" s="160" t="str">
        <f t="shared" si="11"/>
        <v/>
      </c>
      <c r="F158" s="162" t="str">
        <f t="shared" si="10"/>
        <v/>
      </c>
      <c r="G158" s="356"/>
      <c r="H158" s="43"/>
      <c r="I158" s="1"/>
      <c r="J158" s="366"/>
      <c r="K158" s="1"/>
      <c r="L158" s="1"/>
      <c r="M158" s="44"/>
      <c r="O158" s="1"/>
      <c r="P158" s="1"/>
      <c r="Q158" s="1"/>
      <c r="R158" s="1"/>
      <c r="S158" s="111"/>
    </row>
    <row r="159" spans="1:19">
      <c r="A159" s="409"/>
      <c r="B159" s="161"/>
      <c r="C159" s="275"/>
      <c r="D159" s="161"/>
      <c r="E159" s="160" t="str">
        <f t="shared" si="11"/>
        <v/>
      </c>
      <c r="F159" s="162" t="str">
        <f t="shared" si="10"/>
        <v/>
      </c>
      <c r="G159" s="356"/>
      <c r="H159" s="43"/>
      <c r="I159" s="1"/>
      <c r="J159" s="366"/>
      <c r="K159" s="1"/>
      <c r="L159" s="1"/>
      <c r="M159" s="44"/>
      <c r="O159" s="1"/>
      <c r="P159" s="1"/>
      <c r="Q159" s="1"/>
      <c r="R159" s="1"/>
      <c r="S159" s="111"/>
    </row>
    <row r="160" spans="1:19">
      <c r="A160" s="409"/>
      <c r="B160" s="161"/>
      <c r="C160" s="275"/>
      <c r="D160" s="161"/>
      <c r="E160" s="160" t="str">
        <f t="shared" si="11"/>
        <v/>
      </c>
      <c r="F160" s="162" t="str">
        <f t="shared" si="10"/>
        <v/>
      </c>
      <c r="G160" s="356"/>
      <c r="H160" s="43"/>
      <c r="I160" s="1"/>
      <c r="J160" s="366"/>
      <c r="K160" s="1"/>
      <c r="L160" s="1"/>
      <c r="M160" s="44"/>
      <c r="O160" s="1"/>
      <c r="P160" s="1"/>
      <c r="Q160" s="1"/>
      <c r="R160" s="1"/>
      <c r="S160" s="111"/>
    </row>
    <row r="161" spans="1:19">
      <c r="A161" s="409"/>
      <c r="B161" s="161"/>
      <c r="C161" s="275"/>
      <c r="D161" s="161"/>
      <c r="E161" s="160" t="str">
        <f t="shared" si="11"/>
        <v/>
      </c>
      <c r="F161" s="162" t="str">
        <f t="shared" si="10"/>
        <v/>
      </c>
      <c r="G161" s="356"/>
      <c r="H161" s="43"/>
      <c r="I161" s="1"/>
      <c r="J161" s="366"/>
      <c r="K161" s="1"/>
      <c r="L161" s="1"/>
      <c r="M161" s="44"/>
      <c r="O161" s="1"/>
      <c r="P161" s="1"/>
      <c r="Q161" s="1"/>
      <c r="R161" s="1"/>
      <c r="S161" s="111"/>
    </row>
    <row r="162" spans="1:19">
      <c r="A162" s="410"/>
      <c r="B162" s="161"/>
      <c r="C162" s="161"/>
      <c r="D162" s="161"/>
      <c r="E162" s="160" t="str">
        <f t="shared" si="11"/>
        <v/>
      </c>
      <c r="F162" s="162" t="str">
        <f t="shared" si="10"/>
        <v/>
      </c>
      <c r="G162" s="356"/>
      <c r="H162" s="43"/>
      <c r="I162" s="1"/>
      <c r="J162" s="366"/>
      <c r="K162" s="1"/>
      <c r="L162" s="1"/>
      <c r="M162" s="44"/>
      <c r="O162" s="1"/>
      <c r="P162" s="1"/>
      <c r="Q162" s="1"/>
      <c r="R162" s="1"/>
      <c r="S162" s="111"/>
    </row>
    <row r="163" spans="1:19">
      <c r="A163" s="411"/>
      <c r="B163" s="161"/>
      <c r="C163" s="161"/>
      <c r="D163" s="161"/>
      <c r="E163" s="160" t="str">
        <f t="shared" si="11"/>
        <v/>
      </c>
      <c r="F163" s="162" t="str">
        <f t="shared" si="10"/>
        <v/>
      </c>
      <c r="G163" s="356"/>
      <c r="H163" s="43"/>
      <c r="I163" s="1"/>
      <c r="J163" s="366"/>
      <c r="K163" s="1"/>
      <c r="L163" s="1"/>
      <c r="M163" s="44"/>
      <c r="O163" s="1"/>
      <c r="P163" s="1147" t="s">
        <v>264</v>
      </c>
      <c r="Q163" s="1147"/>
      <c r="R163" s="1147"/>
      <c r="S163" s="111"/>
    </row>
    <row r="164" spans="1:19">
      <c r="A164" s="411"/>
      <c r="B164" s="161"/>
      <c r="C164" s="161"/>
      <c r="D164" s="161"/>
      <c r="E164" s="160" t="str">
        <f t="shared" si="11"/>
        <v/>
      </c>
      <c r="F164" s="162" t="str">
        <f t="shared" si="10"/>
        <v/>
      </c>
      <c r="G164" s="356"/>
      <c r="H164" s="43"/>
      <c r="I164" s="1"/>
      <c r="J164" s="366"/>
      <c r="K164" s="1"/>
      <c r="L164" s="1"/>
      <c r="M164" s="44"/>
      <c r="O164" s="1"/>
      <c r="P164" s="1147"/>
      <c r="Q164" s="1147"/>
      <c r="R164" s="1147"/>
      <c r="S164" s="111"/>
    </row>
    <row r="165" spans="1:19">
      <c r="A165" s="410"/>
      <c r="B165" s="161"/>
      <c r="C165" s="161"/>
      <c r="D165" s="161"/>
      <c r="E165" s="160" t="str">
        <f t="shared" si="11"/>
        <v/>
      </c>
      <c r="F165" s="162" t="str">
        <f t="shared" si="10"/>
        <v/>
      </c>
      <c r="G165" s="356"/>
      <c r="H165" s="43"/>
      <c r="I165" s="1"/>
      <c r="J165" s="366"/>
      <c r="K165" s="1"/>
      <c r="L165" s="1"/>
      <c r="M165" s="44"/>
      <c r="O165" s="1"/>
      <c r="P165" s="1147"/>
      <c r="Q165" s="1147"/>
      <c r="R165" s="1147"/>
      <c r="S165" s="111"/>
    </row>
    <row r="166" spans="1:19" ht="15.75" thickBot="1">
      <c r="A166" s="426"/>
      <c r="B166" s="357"/>
      <c r="C166" s="358"/>
      <c r="D166" s="358"/>
      <c r="E166" s="160" t="str">
        <f t="shared" si="11"/>
        <v/>
      </c>
      <c r="F166" s="162" t="str">
        <f t="shared" si="10"/>
        <v/>
      </c>
      <c r="G166" s="359"/>
      <c r="H166" s="43"/>
      <c r="I166" s="1"/>
      <c r="J166" s="366"/>
      <c r="K166" s="1"/>
      <c r="L166" s="1"/>
      <c r="M166" s="44"/>
      <c r="O166" s="1"/>
      <c r="P166" s="1"/>
      <c r="Q166" s="1"/>
      <c r="R166" s="1"/>
      <c r="S166" s="111"/>
    </row>
    <row r="167" spans="1:19" ht="15.75" thickTop="1">
      <c r="A167" s="527"/>
      <c r="B167" s="352"/>
      <c r="C167" s="353"/>
      <c r="D167" s="353"/>
      <c r="E167" s="354"/>
      <c r="F167" s="352"/>
      <c r="G167" s="376"/>
      <c r="H167" s="1171" t="s">
        <v>16</v>
      </c>
      <c r="I167" s="1173" t="s">
        <v>17</v>
      </c>
      <c r="J167" s="1173" t="s">
        <v>21</v>
      </c>
      <c r="K167" s="1173"/>
      <c r="L167" s="1175" t="s">
        <v>93</v>
      </c>
      <c r="M167" s="1177" t="s">
        <v>95</v>
      </c>
      <c r="O167" s="1"/>
      <c r="P167" s="1"/>
      <c r="Q167" s="1"/>
      <c r="R167" s="1"/>
      <c r="S167" s="111"/>
    </row>
    <row r="168" spans="1:19" ht="24">
      <c r="A168" s="413"/>
      <c r="B168" s="201"/>
      <c r="C168" s="201"/>
      <c r="D168" s="201"/>
      <c r="E168" s="216"/>
      <c r="F168" s="201"/>
      <c r="G168" s="201"/>
      <c r="H168" s="1172"/>
      <c r="I168" s="1174"/>
      <c r="J168" s="516" t="s">
        <v>21</v>
      </c>
      <c r="K168" s="516" t="s">
        <v>25</v>
      </c>
      <c r="L168" s="1176"/>
      <c r="M168" s="1178"/>
      <c r="O168" s="1"/>
      <c r="P168" s="1"/>
      <c r="Q168" s="1"/>
      <c r="R168" s="1"/>
      <c r="S168" s="111"/>
    </row>
    <row r="169" spans="1:19">
      <c r="A169" s="415"/>
      <c r="B169" s="199"/>
      <c r="C169" s="288"/>
      <c r="D169" s="232"/>
      <c r="E169" s="84"/>
      <c r="F169" s="199"/>
      <c r="G169" s="199"/>
      <c r="H169" s="347" t="s">
        <v>18</v>
      </c>
      <c r="I169" s="94">
        <v>32809.9</v>
      </c>
      <c r="J169" s="94">
        <v>1675.7199999999998</v>
      </c>
      <c r="K169" s="297">
        <v>1047.01</v>
      </c>
      <c r="L169" s="96">
        <v>52152</v>
      </c>
      <c r="M169" s="104">
        <f>82159.79-I169-J169-K169+L169</f>
        <v>98779.159999999989</v>
      </c>
      <c r="O169" s="1"/>
      <c r="P169" s="1"/>
      <c r="Q169" s="1"/>
      <c r="R169" s="1"/>
      <c r="S169" s="111"/>
    </row>
    <row r="170" spans="1:19">
      <c r="A170" s="428"/>
      <c r="B170" s="199"/>
      <c r="C170" s="199"/>
      <c r="D170" s="273"/>
      <c r="E170" s="366"/>
      <c r="F170" s="84"/>
      <c r="G170" s="366"/>
      <c r="H170" s="347" t="s">
        <v>19</v>
      </c>
      <c r="I170" s="94">
        <v>35259.58</v>
      </c>
      <c r="J170" s="94">
        <v>1363.3000000000002</v>
      </c>
      <c r="K170" s="94">
        <v>1176.05</v>
      </c>
      <c r="L170" s="96">
        <v>40465.950000000004</v>
      </c>
      <c r="M170" s="104">
        <f>M169-I170-J170-K170+L170</f>
        <v>101446.18</v>
      </c>
      <c r="O170" s="1"/>
      <c r="P170" s="1"/>
      <c r="Q170" s="1"/>
      <c r="R170" s="1"/>
      <c r="S170" s="111"/>
    </row>
    <row r="171" spans="1:19">
      <c r="A171" s="428"/>
      <c r="B171" s="366"/>
      <c r="C171" s="199"/>
      <c r="D171" s="273"/>
      <c r="E171" s="366"/>
      <c r="F171" s="366"/>
      <c r="G171" s="366"/>
      <c r="H171" s="347" t="s">
        <v>20</v>
      </c>
      <c r="I171" s="298">
        <v>34690.219999999994</v>
      </c>
      <c r="J171" s="94">
        <v>1209.3000000000002</v>
      </c>
      <c r="K171" s="299">
        <v>1213.33</v>
      </c>
      <c r="L171" s="299">
        <v>19306</v>
      </c>
      <c r="M171" s="104">
        <f>M170-I171-J171-K171+L171</f>
        <v>83639.329999999987</v>
      </c>
      <c r="O171" s="1"/>
      <c r="P171" s="1"/>
      <c r="Q171" s="1"/>
      <c r="R171" s="1"/>
      <c r="S171" s="111"/>
    </row>
    <row r="172" spans="1:19">
      <c r="A172" s="428"/>
      <c r="B172" s="1"/>
      <c r="C172" s="284"/>
      <c r="D172" s="273"/>
      <c r="E172" s="366"/>
      <c r="F172" s="366"/>
      <c r="G172" s="84"/>
      <c r="H172" s="347" t="s">
        <v>148</v>
      </c>
      <c r="I172" s="299">
        <v>30955.479999999996</v>
      </c>
      <c r="J172" s="300"/>
      <c r="K172" s="300">
        <v>1035.6600000000001</v>
      </c>
      <c r="L172" s="299">
        <v>59195.5</v>
      </c>
      <c r="M172" s="104">
        <f>M171-I172-J172-K172+L172</f>
        <v>110843.68999999999</v>
      </c>
      <c r="O172" s="1"/>
      <c r="P172" s="1"/>
      <c r="Q172" s="1"/>
      <c r="R172" s="1"/>
      <c r="S172" s="111"/>
    </row>
    <row r="173" spans="1:19">
      <c r="A173" s="428"/>
      <c r="B173" s="199"/>
      <c r="C173" s="1"/>
      <c r="D173" s="273"/>
      <c r="E173" s="366"/>
      <c r="F173" s="366"/>
      <c r="G173" s="366"/>
      <c r="H173" s="348" t="s">
        <v>162</v>
      </c>
      <c r="I173" s="300">
        <v>31239.439999999995</v>
      </c>
      <c r="J173" s="299">
        <v>2443.4</v>
      </c>
      <c r="K173" s="300">
        <v>1496.52</v>
      </c>
      <c r="L173" s="299">
        <v>40132</v>
      </c>
      <c r="M173" s="104">
        <f>M172-I173-J173-K173+L173</f>
        <v>115796.33</v>
      </c>
      <c r="O173" s="1"/>
      <c r="P173" s="1"/>
      <c r="Q173" s="1"/>
      <c r="R173" s="1"/>
      <c r="S173" s="111"/>
    </row>
    <row r="174" spans="1:19" ht="15.75" thickBot="1">
      <c r="A174" s="428"/>
      <c r="B174" s="199"/>
      <c r="C174" s="1"/>
      <c r="D174" s="273"/>
      <c r="E174" s="366"/>
      <c r="F174" s="366"/>
      <c r="G174" s="366"/>
      <c r="H174" s="379" t="s">
        <v>163</v>
      </c>
      <c r="I174" s="380">
        <v>28986.99</v>
      </c>
      <c r="J174" s="432">
        <v>6271.4999999999991</v>
      </c>
      <c r="K174" s="433">
        <v>1179.17</v>
      </c>
      <c r="L174" s="433">
        <v>22678.1</v>
      </c>
      <c r="M174" s="382">
        <f>M173-I174-J174-K174+L174</f>
        <v>102036.76999999999</v>
      </c>
      <c r="O174" s="1"/>
      <c r="P174" s="1"/>
      <c r="Q174" s="1"/>
      <c r="R174" s="1"/>
      <c r="S174" s="111"/>
    </row>
    <row r="175" spans="1:19" ht="15.75" thickTop="1">
      <c r="A175" s="428"/>
      <c r="B175" s="199"/>
      <c r="C175" s="1"/>
      <c r="D175" s="273"/>
      <c r="E175" s="84"/>
      <c r="F175" s="366"/>
      <c r="G175" s="366"/>
      <c r="H175" s="1148" t="s">
        <v>36</v>
      </c>
      <c r="I175" s="1150" t="s">
        <v>178</v>
      </c>
      <c r="J175" s="1151"/>
      <c r="K175" s="1152"/>
      <c r="L175" s="1156" t="s">
        <v>159</v>
      </c>
      <c r="M175" s="1157"/>
      <c r="O175" s="1"/>
      <c r="P175" s="1"/>
      <c r="Q175" s="1"/>
      <c r="R175" s="1"/>
      <c r="S175" s="111"/>
    </row>
    <row r="176" spans="1:19">
      <c r="A176" s="428"/>
      <c r="B176" s="199"/>
      <c r="C176" s="284"/>
      <c r="D176" s="273"/>
      <c r="E176" s="284"/>
      <c r="F176" s="366"/>
      <c r="G176" s="378"/>
      <c r="H176" s="1149"/>
      <c r="I176" s="1153"/>
      <c r="J176" s="1154"/>
      <c r="K176" s="1155"/>
      <c r="L176" s="1158"/>
      <c r="M176" s="1159"/>
      <c r="O176" s="1"/>
      <c r="P176" s="1"/>
      <c r="Q176" s="1"/>
      <c r="R176" s="1"/>
      <c r="S176" s="111"/>
    </row>
    <row r="177" spans="1:19">
      <c r="A177" s="428"/>
      <c r="B177" s="199"/>
      <c r="C177" s="199"/>
      <c r="D177" s="273"/>
      <c r="E177" s="199"/>
      <c r="F177" s="366"/>
      <c r="G177" s="378"/>
      <c r="H177" s="377" t="s">
        <v>91</v>
      </c>
      <c r="I177" s="1160" t="s">
        <v>47</v>
      </c>
      <c r="J177" s="1160"/>
      <c r="K177" s="522">
        <v>288.75</v>
      </c>
      <c r="L177" s="282">
        <v>43783</v>
      </c>
      <c r="M177" s="44" t="s">
        <v>170</v>
      </c>
      <c r="N177" s="366"/>
      <c r="O177" s="1"/>
      <c r="P177" s="1"/>
      <c r="Q177" s="1"/>
      <c r="R177" s="1" t="s">
        <v>159</v>
      </c>
      <c r="S177" s="111"/>
    </row>
    <row r="178" spans="1:19">
      <c r="A178" s="428"/>
      <c r="B178" s="366"/>
      <c r="C178" s="274"/>
      <c r="D178" s="273"/>
      <c r="E178" s="274"/>
      <c r="F178" s="366"/>
      <c r="G178" s="366"/>
      <c r="H178" s="349" t="s">
        <v>91</v>
      </c>
      <c r="I178" s="1161" t="s">
        <v>51</v>
      </c>
      <c r="J178" s="1161"/>
      <c r="K178" s="515">
        <v>60.19</v>
      </c>
      <c r="L178" s="282">
        <v>43783</v>
      </c>
      <c r="M178" s="44" t="s">
        <v>170</v>
      </c>
      <c r="N178" s="362" t="s">
        <v>56</v>
      </c>
      <c r="O178" s="1161" t="s">
        <v>47</v>
      </c>
      <c r="P178" s="1161"/>
      <c r="Q178" s="515">
        <v>28.88</v>
      </c>
      <c r="R178" s="282">
        <v>43783</v>
      </c>
      <c r="S178" s="111" t="s">
        <v>170</v>
      </c>
    </row>
    <row r="179" spans="1:19">
      <c r="A179" s="406"/>
      <c r="B179" s="366"/>
      <c r="C179" s="366"/>
      <c r="D179" s="273"/>
      <c r="E179" s="199"/>
      <c r="F179" s="366"/>
      <c r="G179" s="366"/>
      <c r="H179" s="349" t="s">
        <v>91</v>
      </c>
      <c r="I179" s="1161" t="s">
        <v>52</v>
      </c>
      <c r="J179" s="1161"/>
      <c r="K179" s="515">
        <v>4.95</v>
      </c>
      <c r="L179" s="282">
        <v>43783</v>
      </c>
      <c r="M179" s="44" t="s">
        <v>170</v>
      </c>
      <c r="O179" s="1161" t="s">
        <v>51</v>
      </c>
      <c r="P179" s="1161"/>
      <c r="Q179" s="515"/>
      <c r="R179" s="282">
        <v>43783</v>
      </c>
      <c r="S179" s="111" t="s">
        <v>170</v>
      </c>
    </row>
    <row r="180" spans="1:19">
      <c r="A180" s="406"/>
      <c r="B180" s="366"/>
      <c r="C180" s="366"/>
      <c r="D180" s="273"/>
      <c r="E180" s="366"/>
      <c r="F180" s="366"/>
      <c r="G180" s="366"/>
      <c r="H180" s="349" t="s">
        <v>91</v>
      </c>
      <c r="I180" s="1161" t="s">
        <v>49</v>
      </c>
      <c r="J180" s="1161"/>
      <c r="K180" s="515">
        <v>234.75</v>
      </c>
      <c r="L180" s="282">
        <v>43791</v>
      </c>
      <c r="M180" s="44" t="s">
        <v>171</v>
      </c>
      <c r="N180" s="344" t="s">
        <v>56</v>
      </c>
      <c r="O180" s="1161" t="s">
        <v>52</v>
      </c>
      <c r="P180" s="1161"/>
      <c r="Q180" s="515">
        <v>0.5</v>
      </c>
      <c r="R180" s="282">
        <v>43783</v>
      </c>
      <c r="S180" s="111" t="s">
        <v>170</v>
      </c>
    </row>
    <row r="181" spans="1:19">
      <c r="A181" s="406"/>
      <c r="B181" s="366"/>
      <c r="C181" s="366"/>
      <c r="D181" s="273"/>
      <c r="E181" s="366"/>
      <c r="F181" s="366"/>
      <c r="G181" s="366"/>
      <c r="H181" s="349" t="s">
        <v>91</v>
      </c>
      <c r="I181" s="1145" t="s">
        <v>59</v>
      </c>
      <c r="J181" s="1145"/>
      <c r="K181" s="519">
        <v>1147.99</v>
      </c>
      <c r="L181" s="302" t="s">
        <v>177</v>
      </c>
      <c r="M181" s="44" t="s">
        <v>170</v>
      </c>
      <c r="N181" s="344" t="s">
        <v>56</v>
      </c>
      <c r="O181" s="1161" t="s">
        <v>49</v>
      </c>
      <c r="P181" s="1161"/>
      <c r="Q181" s="515">
        <v>66.75</v>
      </c>
      <c r="R181" s="282">
        <v>43796</v>
      </c>
      <c r="S181" s="111" t="s">
        <v>171</v>
      </c>
    </row>
    <row r="182" spans="1:19">
      <c r="A182" s="406"/>
      <c r="B182" s="199"/>
      <c r="C182" s="199"/>
      <c r="D182" s="273"/>
      <c r="E182" s="199"/>
      <c r="F182" s="366"/>
      <c r="G182" s="366"/>
      <c r="H182" s="350" t="s">
        <v>91</v>
      </c>
      <c r="I182" s="1143" t="s">
        <v>68</v>
      </c>
      <c r="J182" s="1144"/>
      <c r="K182" s="515">
        <v>176.72</v>
      </c>
      <c r="L182" s="282">
        <v>43791</v>
      </c>
      <c r="M182" s="44" t="s">
        <v>170</v>
      </c>
      <c r="N182" s="344"/>
      <c r="O182" s="1145" t="s">
        <v>59</v>
      </c>
      <c r="P182" s="1145"/>
      <c r="Q182" s="519"/>
      <c r="R182" s="302" t="s">
        <v>177</v>
      </c>
      <c r="S182" s="111" t="s">
        <v>170</v>
      </c>
    </row>
    <row r="183" spans="1:19">
      <c r="A183" s="406"/>
      <c r="B183" s="199"/>
      <c r="C183" s="366"/>
      <c r="D183" s="273"/>
      <c r="E183" s="199"/>
      <c r="F183" s="366"/>
      <c r="G183" s="366"/>
      <c r="H183" s="349" t="s">
        <v>91</v>
      </c>
      <c r="I183" s="517" t="s">
        <v>174</v>
      </c>
      <c r="J183" s="518"/>
      <c r="K183" s="515">
        <f>298.1+160.36</f>
        <v>458.46000000000004</v>
      </c>
      <c r="L183" s="282">
        <v>43783</v>
      </c>
      <c r="M183" s="314" t="s">
        <v>170</v>
      </c>
      <c r="N183" s="344"/>
      <c r="O183" s="1143" t="s">
        <v>68</v>
      </c>
      <c r="P183" s="1144"/>
      <c r="Q183" s="515"/>
      <c r="R183" s="282">
        <v>43790</v>
      </c>
      <c r="S183" s="111" t="s">
        <v>170</v>
      </c>
    </row>
    <row r="184" spans="1:19">
      <c r="A184" s="406"/>
      <c r="B184" s="199"/>
      <c r="C184" s="366"/>
      <c r="D184" s="273"/>
      <c r="E184" s="199"/>
      <c r="F184" s="366"/>
      <c r="G184" s="366"/>
      <c r="H184" s="349" t="s">
        <v>91</v>
      </c>
      <c r="I184" s="517" t="s">
        <v>176</v>
      </c>
      <c r="J184" s="518"/>
      <c r="K184" s="515">
        <v>113.15</v>
      </c>
      <c r="L184" s="282">
        <v>43789</v>
      </c>
      <c r="M184" s="314" t="s">
        <v>170</v>
      </c>
      <c r="O184" s="517" t="s">
        <v>174</v>
      </c>
      <c r="P184" s="518"/>
      <c r="Q184" s="515"/>
      <c r="R184" s="282">
        <v>43783</v>
      </c>
      <c r="S184" s="405" t="s">
        <v>170</v>
      </c>
    </row>
    <row r="185" spans="1:19">
      <c r="A185" s="406"/>
      <c r="B185" s="199"/>
      <c r="C185" s="366"/>
      <c r="D185" s="273"/>
      <c r="E185" s="232"/>
      <c r="F185" s="366"/>
      <c r="G185" s="366"/>
      <c r="H185" s="349" t="s">
        <v>91</v>
      </c>
      <c r="I185" s="1143" t="s">
        <v>81</v>
      </c>
      <c r="J185" s="1144"/>
      <c r="K185" s="523">
        <v>1446.11</v>
      </c>
      <c r="L185" s="282">
        <v>43783</v>
      </c>
      <c r="M185" s="44" t="s">
        <v>170</v>
      </c>
      <c r="O185" s="517" t="s">
        <v>176</v>
      </c>
      <c r="P185" s="518"/>
      <c r="Q185" s="515"/>
      <c r="R185" s="282">
        <v>43789</v>
      </c>
      <c r="S185" s="405" t="s">
        <v>170</v>
      </c>
    </row>
    <row r="186" spans="1:19">
      <c r="A186" s="406"/>
      <c r="B186" s="199"/>
      <c r="C186" s="366"/>
      <c r="D186" s="273"/>
      <c r="E186" s="232"/>
      <c r="F186" s="366"/>
      <c r="G186" s="366"/>
      <c r="H186" s="349" t="s">
        <v>193</v>
      </c>
      <c r="I186" s="1213" t="s">
        <v>181</v>
      </c>
      <c r="J186" s="1214"/>
      <c r="K186" s="523"/>
      <c r="L186" s="282" t="s">
        <v>182</v>
      </c>
      <c r="M186" s="44"/>
      <c r="N186" s="366"/>
      <c r="O186" s="1143" t="s">
        <v>81</v>
      </c>
      <c r="P186" s="1144"/>
      <c r="Q186" s="523"/>
      <c r="R186" s="282">
        <v>43783</v>
      </c>
      <c r="S186" s="111" t="s">
        <v>170</v>
      </c>
    </row>
    <row r="187" spans="1:19">
      <c r="A187" s="406"/>
      <c r="B187" s="199"/>
      <c r="C187" s="366"/>
      <c r="D187" s="273"/>
      <c r="E187" s="232"/>
      <c r="F187" s="366"/>
      <c r="G187" s="366"/>
      <c r="H187" s="350" t="s">
        <v>91</v>
      </c>
      <c r="I187" s="1145" t="s">
        <v>61</v>
      </c>
      <c r="J187" s="1145"/>
      <c r="K187" s="523">
        <f>J152</f>
        <v>2927.79</v>
      </c>
      <c r="L187" s="282">
        <v>43791</v>
      </c>
      <c r="M187" s="44" t="s">
        <v>170</v>
      </c>
      <c r="N187" s="366"/>
      <c r="O187" s="211" t="s">
        <v>181</v>
      </c>
      <c r="P187" s="211"/>
      <c r="Q187" s="366"/>
      <c r="R187" s="282" t="s">
        <v>188</v>
      </c>
      <c r="S187" s="111"/>
    </row>
    <row r="188" spans="1:19" ht="15.75" thickBot="1">
      <c r="A188" s="429"/>
      <c r="B188" s="330"/>
      <c r="C188" s="331"/>
      <c r="D188" s="342"/>
      <c r="E188" s="330"/>
      <c r="F188" s="331"/>
      <c r="G188" s="331"/>
      <c r="H188" s="346"/>
      <c r="I188" s="361" t="s">
        <v>179</v>
      </c>
      <c r="J188" s="361">
        <f>SUM(K177:K187)</f>
        <v>6858.8600000000006</v>
      </c>
      <c r="K188" s="1146" t="s">
        <v>180</v>
      </c>
      <c r="L188" s="1146"/>
      <c r="M188" s="360">
        <v>0</v>
      </c>
      <c r="N188" s="366"/>
      <c r="O188" s="211"/>
      <c r="P188" s="211"/>
      <c r="Q188" s="366"/>
      <c r="R188" s="282"/>
      <c r="S188" s="111"/>
    </row>
    <row r="189" spans="1:19" ht="16.5" thickTop="1" thickBot="1">
      <c r="A189" s="129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O189" s="1" t="s">
        <v>50</v>
      </c>
      <c r="P189" s="1"/>
      <c r="Q189" s="296">
        <f>SUM(Q178:Q186)</f>
        <v>96.13</v>
      </c>
      <c r="R189" s="1"/>
      <c r="S189" s="111"/>
    </row>
    <row r="190" spans="1:19">
      <c r="A190" s="1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  <c r="S190" s="111"/>
    </row>
    <row r="191" spans="1:19">
      <c r="A191" s="1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O191" s="1" t="s">
        <v>185</v>
      </c>
      <c r="P191" s="1"/>
      <c r="Q191" s="1"/>
      <c r="R191" s="1"/>
      <c r="S191" s="111"/>
    </row>
    <row r="192" spans="1:19">
      <c r="A192" s="1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O192" s="324" t="s">
        <v>2</v>
      </c>
      <c r="P192" s="520" t="s">
        <v>34</v>
      </c>
      <c r="Q192" s="36" t="s">
        <v>35</v>
      </c>
      <c r="R192" s="1"/>
      <c r="S192" s="111"/>
    </row>
    <row r="193" spans="1:19">
      <c r="A193" s="1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O193" s="325">
        <v>43791</v>
      </c>
      <c r="P193" s="161" t="s">
        <v>186</v>
      </c>
      <c r="Q193" s="98">
        <v>343.12</v>
      </c>
      <c r="R193" s="1"/>
      <c r="S193" s="111"/>
    </row>
    <row r="194" spans="1:19">
      <c r="A194" s="1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O194" s="325">
        <v>43789</v>
      </c>
      <c r="P194" s="161" t="s">
        <v>187</v>
      </c>
      <c r="Q194" s="98">
        <v>269.26</v>
      </c>
      <c r="R194" s="1"/>
      <c r="S194" s="111"/>
    </row>
    <row r="195" spans="1:19">
      <c r="A195" s="1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  <c r="S195" s="111"/>
    </row>
    <row r="196" spans="1:19">
      <c r="A196" s="1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  <c r="S196" s="111"/>
    </row>
    <row r="197" spans="1:19">
      <c r="A197" s="1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  <c r="S197" s="111"/>
    </row>
    <row r="198" spans="1:19" ht="15.75" thickBot="1">
      <c r="A198" s="1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  <c r="S198" s="111"/>
    </row>
    <row r="199" spans="1:19">
      <c r="A199" s="1179" t="s">
        <v>28</v>
      </c>
      <c r="B199" s="1180"/>
      <c r="C199" s="1180"/>
      <c r="D199" s="1180"/>
      <c r="E199" s="1180"/>
      <c r="F199" s="1180"/>
      <c r="G199" s="1181"/>
      <c r="H199" s="1182" t="s">
        <v>220</v>
      </c>
      <c r="I199" s="1183"/>
      <c r="J199" s="1183"/>
      <c r="K199" s="1183"/>
      <c r="L199" s="1183"/>
      <c r="M199" s="1184"/>
      <c r="N199" s="108"/>
      <c r="O199" s="108"/>
      <c r="P199" s="108"/>
      <c r="Q199" s="108"/>
      <c r="R199" s="108"/>
      <c r="S199" s="109"/>
    </row>
    <row r="200" spans="1:19">
      <c r="A200" s="395" t="s">
        <v>2</v>
      </c>
      <c r="B200" s="547" t="s">
        <v>34</v>
      </c>
      <c r="C200" s="36" t="s">
        <v>35</v>
      </c>
      <c r="D200" s="36" t="s">
        <v>38</v>
      </c>
      <c r="E200" s="36" t="s">
        <v>42</v>
      </c>
      <c r="F200" s="547" t="s">
        <v>36</v>
      </c>
      <c r="G200" s="100" t="s">
        <v>173</v>
      </c>
      <c r="H200" s="1185"/>
      <c r="I200" s="1186"/>
      <c r="J200" s="550" t="s">
        <v>35</v>
      </c>
      <c r="K200" s="550" t="s">
        <v>38</v>
      </c>
      <c r="L200" s="550" t="s">
        <v>42</v>
      </c>
      <c r="M200" s="100" t="s">
        <v>44</v>
      </c>
      <c r="O200" s="1"/>
      <c r="P200" s="1"/>
      <c r="Q200" s="1"/>
      <c r="R200" s="1"/>
      <c r="S200" s="111"/>
    </row>
    <row r="201" spans="1:19">
      <c r="A201" s="409">
        <v>43798</v>
      </c>
      <c r="B201" s="161" t="s">
        <v>217</v>
      </c>
      <c r="C201" s="98">
        <v>309.82</v>
      </c>
      <c r="D201" s="98">
        <v>309.82</v>
      </c>
      <c r="E201" s="160" t="str">
        <f>IF(C201-D201=0,"",C201-D201)</f>
        <v/>
      </c>
      <c r="F201" s="162" t="str">
        <f>IF(C201=0,"",IF(C201-D201=0,"оплачено","ожидается оплата"))</f>
        <v>оплачено</v>
      </c>
      <c r="G201" s="449"/>
      <c r="H201" s="1187" t="s">
        <v>39</v>
      </c>
      <c r="I201" s="1188"/>
      <c r="J201" s="552">
        <v>1458.67</v>
      </c>
      <c r="K201" s="552">
        <v>1458.67</v>
      </c>
      <c r="L201" s="160">
        <f>J201-K201</f>
        <v>0</v>
      </c>
      <c r="M201" s="101">
        <v>43822</v>
      </c>
      <c r="O201" s="1"/>
      <c r="P201" s="1"/>
      <c r="Q201" s="1"/>
      <c r="R201" s="1"/>
      <c r="S201" s="111"/>
    </row>
    <row r="202" spans="1:19">
      <c r="A202" s="409">
        <v>43810</v>
      </c>
      <c r="B202" s="161" t="s">
        <v>212</v>
      </c>
      <c r="C202" s="98">
        <v>294.48</v>
      </c>
      <c r="D202" s="98">
        <v>294.48</v>
      </c>
      <c r="E202" s="160" t="str">
        <f t="shared" ref="E202:E217" si="12">IF(C202-D202=0,"",C202-D202)</f>
        <v/>
      </c>
      <c r="F202" s="162" t="str">
        <f t="shared" ref="F202:F217" si="13">IF(C202=0,"",IF(C202-D202=0,"оплачено","ожидается оплата"))</f>
        <v>оплачено</v>
      </c>
      <c r="G202" s="449"/>
      <c r="H202" s="1187" t="s">
        <v>40</v>
      </c>
      <c r="I202" s="1188"/>
      <c r="J202" s="281">
        <v>1035.6500000000001</v>
      </c>
      <c r="K202" s="281">
        <v>1035.6500000000001</v>
      </c>
      <c r="L202" s="160">
        <f>J202-K202</f>
        <v>0</v>
      </c>
      <c r="M202" s="101">
        <v>43822</v>
      </c>
      <c r="O202" s="1"/>
      <c r="P202" s="1"/>
      <c r="Q202" s="1"/>
      <c r="R202" s="1"/>
      <c r="S202" s="111"/>
    </row>
    <row r="203" spans="1:19">
      <c r="A203" s="409">
        <v>43808</v>
      </c>
      <c r="B203" s="161" t="s">
        <v>213</v>
      </c>
      <c r="C203" s="98">
        <v>56.7</v>
      </c>
      <c r="D203" s="98">
        <v>56.7</v>
      </c>
      <c r="E203" s="160" t="str">
        <f t="shared" si="12"/>
        <v/>
      </c>
      <c r="F203" s="162" t="str">
        <f t="shared" si="13"/>
        <v>оплачено</v>
      </c>
      <c r="G203" s="449"/>
      <c r="H203" s="43"/>
      <c r="I203" s="1"/>
      <c r="J203" s="296">
        <f>SUM(J201:J202)</f>
        <v>2494.3200000000002</v>
      </c>
      <c r="K203" s="1"/>
      <c r="L203" s="1"/>
      <c r="M203" s="44"/>
      <c r="O203" s="1"/>
      <c r="P203" s="1"/>
      <c r="Q203" s="1"/>
      <c r="R203" s="1"/>
      <c r="S203" s="111"/>
    </row>
    <row r="204" spans="1:19">
      <c r="A204" s="409">
        <v>43803</v>
      </c>
      <c r="B204" s="161" t="s">
        <v>213</v>
      </c>
      <c r="C204" s="98">
        <v>187.25</v>
      </c>
      <c r="D204" s="98">
        <v>187.25</v>
      </c>
      <c r="E204" s="160" t="str">
        <f t="shared" si="12"/>
        <v/>
      </c>
      <c r="F204" s="162" t="str">
        <f t="shared" si="13"/>
        <v>оплачено</v>
      </c>
      <c r="G204" s="449"/>
      <c r="H204" s="43"/>
      <c r="I204" s="1"/>
      <c r="J204" s="366"/>
      <c r="K204" s="1"/>
      <c r="L204" s="1"/>
      <c r="M204" s="44"/>
      <c r="O204" s="1"/>
      <c r="P204" s="1"/>
      <c r="Q204" s="1"/>
      <c r="R204" s="1"/>
      <c r="S204" s="111"/>
    </row>
    <row r="205" spans="1:19">
      <c r="A205" s="409">
        <v>43802</v>
      </c>
      <c r="B205" s="161" t="s">
        <v>155</v>
      </c>
      <c r="C205" s="98">
        <v>280.98</v>
      </c>
      <c r="D205" s="98">
        <v>280.98</v>
      </c>
      <c r="E205" s="160" t="str">
        <f t="shared" si="12"/>
        <v/>
      </c>
      <c r="F205" s="162" t="str">
        <f t="shared" si="13"/>
        <v>оплачено</v>
      </c>
      <c r="G205" s="449"/>
      <c r="H205" s="43"/>
      <c r="I205" s="1"/>
      <c r="J205" s="366"/>
      <c r="K205" s="1"/>
      <c r="L205" s="1"/>
      <c r="M205" s="44"/>
      <c r="O205" s="1"/>
      <c r="P205" s="1"/>
      <c r="Q205" s="1"/>
      <c r="R205" s="1"/>
      <c r="S205" s="111"/>
    </row>
    <row r="206" spans="1:19">
      <c r="A206" s="409">
        <v>43804</v>
      </c>
      <c r="B206" s="161" t="s">
        <v>214</v>
      </c>
      <c r="C206" s="275">
        <v>1754</v>
      </c>
      <c r="D206" s="275">
        <v>1754</v>
      </c>
      <c r="E206" s="160" t="str">
        <f t="shared" si="12"/>
        <v/>
      </c>
      <c r="F206" s="162" t="str">
        <f t="shared" si="13"/>
        <v>оплачено</v>
      </c>
      <c r="G206" s="449"/>
      <c r="H206" s="43"/>
      <c r="I206" s="1"/>
      <c r="J206" s="366"/>
      <c r="K206" s="1"/>
      <c r="L206" s="1"/>
      <c r="M206" s="44"/>
      <c r="O206" s="1"/>
      <c r="P206" s="1"/>
      <c r="Q206" s="1"/>
      <c r="R206" s="1"/>
      <c r="S206" s="111"/>
    </row>
    <row r="207" spans="1:19">
      <c r="A207" s="409">
        <v>43797</v>
      </c>
      <c r="B207" s="161" t="s">
        <v>216</v>
      </c>
      <c r="C207" s="275">
        <v>469.32</v>
      </c>
      <c r="D207" s="275">
        <v>469.32</v>
      </c>
      <c r="E207" s="160"/>
      <c r="F207" s="162" t="str">
        <f t="shared" si="13"/>
        <v>оплачено</v>
      </c>
      <c r="G207" s="449"/>
      <c r="H207" s="43"/>
      <c r="I207" s="1"/>
      <c r="J207" s="366"/>
      <c r="K207" s="1"/>
      <c r="L207" s="1"/>
      <c r="M207" s="44"/>
      <c r="O207" s="1"/>
      <c r="P207" s="1"/>
      <c r="Q207" s="1"/>
      <c r="R207" s="1"/>
      <c r="S207" s="111"/>
    </row>
    <row r="208" spans="1:19">
      <c r="A208" s="409">
        <v>43808</v>
      </c>
      <c r="B208" s="161" t="s">
        <v>29</v>
      </c>
      <c r="C208" s="275">
        <v>101.7</v>
      </c>
      <c r="D208" s="275">
        <v>101.7</v>
      </c>
      <c r="E208" s="160" t="str">
        <f t="shared" si="12"/>
        <v/>
      </c>
      <c r="F208" s="162" t="str">
        <f t="shared" si="13"/>
        <v>оплачено</v>
      </c>
      <c r="G208" s="449"/>
      <c r="H208" s="43"/>
      <c r="I208" s="1"/>
      <c r="J208" s="366"/>
      <c r="K208" s="1"/>
      <c r="L208" s="1"/>
      <c r="M208" s="44"/>
      <c r="O208" s="1"/>
      <c r="P208" s="1"/>
      <c r="Q208" s="1"/>
      <c r="R208" s="1"/>
      <c r="S208" s="111"/>
    </row>
    <row r="209" spans="1:19">
      <c r="A209" s="409">
        <v>43825</v>
      </c>
      <c r="B209" s="161" t="s">
        <v>205</v>
      </c>
      <c r="C209" s="275">
        <v>444.15</v>
      </c>
      <c r="D209" s="275">
        <v>444.15</v>
      </c>
      <c r="E209" s="160" t="str">
        <f t="shared" si="12"/>
        <v/>
      </c>
      <c r="F209" s="162" t="str">
        <f t="shared" si="13"/>
        <v>оплачено</v>
      </c>
      <c r="G209" s="449"/>
      <c r="H209" s="43"/>
      <c r="I209" s="1"/>
      <c r="J209" s="366"/>
      <c r="K209" s="1"/>
      <c r="L209" s="1"/>
      <c r="M209" s="44"/>
      <c r="O209" s="1"/>
      <c r="P209" s="1"/>
      <c r="Q209" s="1"/>
      <c r="R209" s="1"/>
      <c r="S209" s="111"/>
    </row>
    <row r="210" spans="1:19">
      <c r="A210" s="409">
        <v>43823</v>
      </c>
      <c r="B210" s="161" t="s">
        <v>222</v>
      </c>
      <c r="C210" s="275">
        <v>329.46</v>
      </c>
      <c r="D210" s="275">
        <v>329.46</v>
      </c>
      <c r="E210" s="160" t="str">
        <f t="shared" si="12"/>
        <v/>
      </c>
      <c r="F210" s="162" t="str">
        <f t="shared" si="13"/>
        <v>оплачено</v>
      </c>
      <c r="G210" s="449"/>
      <c r="H210" s="43"/>
      <c r="I210" s="1"/>
      <c r="J210" s="366"/>
      <c r="K210" s="1"/>
      <c r="L210" s="1"/>
      <c r="M210" s="44"/>
      <c r="O210" s="1"/>
      <c r="P210" s="1"/>
      <c r="Q210" s="1"/>
      <c r="R210" s="1"/>
      <c r="S210" s="111"/>
    </row>
    <row r="211" spans="1:19">
      <c r="A211" s="409"/>
      <c r="B211" s="161"/>
      <c r="C211" s="275"/>
      <c r="D211" s="161"/>
      <c r="E211" s="160"/>
      <c r="F211" s="162"/>
      <c r="G211" s="449"/>
      <c r="H211" s="43"/>
      <c r="I211" s="1"/>
      <c r="J211" s="366"/>
      <c r="K211" s="1"/>
      <c r="L211" s="1"/>
      <c r="M211" s="44"/>
      <c r="O211" s="1"/>
      <c r="P211" s="1"/>
      <c r="Q211" s="1"/>
      <c r="R211" s="1"/>
      <c r="S211" s="111"/>
    </row>
    <row r="212" spans="1:19">
      <c r="A212" s="409"/>
      <c r="B212" s="161"/>
      <c r="C212" s="275"/>
      <c r="D212" s="161"/>
      <c r="E212" s="160" t="str">
        <f t="shared" si="12"/>
        <v/>
      </c>
      <c r="F212" s="162"/>
      <c r="G212" s="449"/>
      <c r="H212" s="43"/>
      <c r="I212" s="1"/>
      <c r="J212" s="366"/>
      <c r="K212" s="1"/>
      <c r="L212" s="1"/>
      <c r="M212" s="44"/>
      <c r="O212" s="1"/>
      <c r="P212" s="1"/>
      <c r="Q212" s="1"/>
      <c r="R212" s="1"/>
      <c r="S212" s="111"/>
    </row>
    <row r="213" spans="1:19">
      <c r="A213" s="410"/>
      <c r="B213" s="161"/>
      <c r="C213" s="161"/>
      <c r="D213" s="161"/>
      <c r="E213" s="160" t="str">
        <f t="shared" si="12"/>
        <v/>
      </c>
      <c r="F213" s="162" t="str">
        <f t="shared" si="13"/>
        <v/>
      </c>
      <c r="G213" s="449"/>
      <c r="H213" s="43"/>
      <c r="I213" s="1"/>
      <c r="J213" s="366"/>
      <c r="K213" s="1"/>
      <c r="L213" s="1"/>
      <c r="M213" s="44"/>
      <c r="O213" s="1"/>
      <c r="P213" s="1"/>
      <c r="Q213" s="1"/>
      <c r="R213" s="1"/>
      <c r="S213" s="111"/>
    </row>
    <row r="214" spans="1:19">
      <c r="A214" s="411"/>
      <c r="B214" s="161"/>
      <c r="C214" s="161"/>
      <c r="D214" s="161"/>
      <c r="E214" s="160" t="str">
        <f t="shared" si="12"/>
        <v/>
      </c>
      <c r="F214" s="162" t="str">
        <f t="shared" si="13"/>
        <v/>
      </c>
      <c r="G214" s="449"/>
      <c r="H214" s="43"/>
      <c r="I214" s="1"/>
      <c r="J214" s="366"/>
      <c r="K214" s="1"/>
      <c r="L214" s="1"/>
      <c r="M214" s="44"/>
      <c r="O214" s="1"/>
      <c r="P214" s="1"/>
      <c r="Q214" s="1"/>
      <c r="R214" s="1"/>
      <c r="S214" s="111"/>
    </row>
    <row r="215" spans="1:19">
      <c r="A215" s="411"/>
      <c r="B215" s="161"/>
      <c r="C215" s="161"/>
      <c r="D215" s="161"/>
      <c r="E215" s="160" t="str">
        <f t="shared" si="12"/>
        <v/>
      </c>
      <c r="F215" s="162" t="str">
        <f t="shared" si="13"/>
        <v/>
      </c>
      <c r="G215" s="449"/>
      <c r="H215" s="43"/>
      <c r="I215" s="1"/>
      <c r="J215" s="366"/>
      <c r="K215" s="1"/>
      <c r="L215" s="1"/>
      <c r="M215" s="44"/>
      <c r="O215" s="1"/>
      <c r="P215" s="1"/>
      <c r="Q215" s="1"/>
      <c r="R215" s="1"/>
      <c r="S215" s="111"/>
    </row>
    <row r="216" spans="1:19">
      <c r="A216" s="410"/>
      <c r="B216" s="161"/>
      <c r="C216" s="161"/>
      <c r="D216" s="161"/>
      <c r="E216" s="160" t="str">
        <f t="shared" si="12"/>
        <v/>
      </c>
      <c r="F216" s="162" t="str">
        <f t="shared" si="13"/>
        <v/>
      </c>
      <c r="G216" s="449"/>
      <c r="H216" s="43"/>
      <c r="I216" s="1"/>
      <c r="J216" s="366"/>
      <c r="K216" s="1"/>
      <c r="L216" s="1"/>
      <c r="M216" s="44"/>
      <c r="O216" s="1"/>
      <c r="P216" s="1"/>
      <c r="Q216" s="1"/>
      <c r="R216" s="1"/>
      <c r="S216" s="111"/>
    </row>
    <row r="217" spans="1:19" ht="15.75" thickBot="1">
      <c r="A217" s="426"/>
      <c r="B217" s="357"/>
      <c r="C217" s="358"/>
      <c r="D217" s="358"/>
      <c r="E217" s="160" t="str">
        <f t="shared" si="12"/>
        <v/>
      </c>
      <c r="F217" s="162" t="str">
        <f t="shared" si="13"/>
        <v/>
      </c>
      <c r="G217" s="450"/>
      <c r="H217" s="43"/>
      <c r="I217" s="1"/>
      <c r="J217" s="366"/>
      <c r="K217" s="1"/>
      <c r="L217" s="1"/>
      <c r="M217" s="44"/>
      <c r="O217" s="1"/>
      <c r="P217" s="1"/>
      <c r="Q217" s="1"/>
      <c r="R217" s="1"/>
      <c r="S217" s="111"/>
    </row>
    <row r="218" spans="1:19" ht="15.75" thickTop="1">
      <c r="A218" s="527"/>
      <c r="B218" s="352"/>
      <c r="C218" s="353"/>
      <c r="D218" s="353"/>
      <c r="E218" s="354"/>
      <c r="F218" s="352"/>
      <c r="G218" s="376"/>
      <c r="H218" s="1171" t="s">
        <v>16</v>
      </c>
      <c r="I218" s="1173" t="s">
        <v>17</v>
      </c>
      <c r="J218" s="1173" t="s">
        <v>21</v>
      </c>
      <c r="K218" s="1173"/>
      <c r="L218" s="1175" t="s">
        <v>93</v>
      </c>
      <c r="M218" s="1177" t="s">
        <v>95</v>
      </c>
      <c r="O218" s="1"/>
      <c r="P218" s="1"/>
      <c r="Q218" s="1"/>
      <c r="R218" s="1"/>
      <c r="S218" s="111"/>
    </row>
    <row r="219" spans="1:19" ht="24">
      <c r="A219" s="413"/>
      <c r="B219" s="201"/>
      <c r="C219" s="201"/>
      <c r="D219" s="201"/>
      <c r="E219" s="216"/>
      <c r="F219" s="201"/>
      <c r="G219" s="201"/>
      <c r="H219" s="1172"/>
      <c r="I219" s="1174"/>
      <c r="J219" s="551" t="s">
        <v>21</v>
      </c>
      <c r="K219" s="551" t="s">
        <v>25</v>
      </c>
      <c r="L219" s="1176"/>
      <c r="M219" s="1178"/>
      <c r="O219" s="1"/>
      <c r="P219" s="1"/>
      <c r="Q219" s="1"/>
      <c r="R219" s="1"/>
      <c r="S219" s="111"/>
    </row>
    <row r="220" spans="1:19">
      <c r="A220" s="415"/>
      <c r="B220" s="199"/>
      <c r="C220" s="288"/>
      <c r="D220" s="232"/>
      <c r="E220" s="84"/>
      <c r="F220" s="199"/>
      <c r="G220" s="199"/>
      <c r="H220" s="347" t="s">
        <v>18</v>
      </c>
      <c r="I220" s="94">
        <v>32809.9</v>
      </c>
      <c r="J220" s="94">
        <v>1675.7199999999998</v>
      </c>
      <c r="K220" s="297">
        <v>1047.01</v>
      </c>
      <c r="L220" s="96">
        <v>52152</v>
      </c>
      <c r="M220" s="104">
        <f>82159.79-I220-J220-K220+L220</f>
        <v>98779.159999999989</v>
      </c>
      <c r="O220" s="1"/>
      <c r="P220" s="1"/>
      <c r="Q220" s="1"/>
      <c r="R220" s="1"/>
      <c r="S220" s="111"/>
    </row>
    <row r="221" spans="1:19">
      <c r="A221" s="428"/>
      <c r="B221" s="199"/>
      <c r="C221" s="199"/>
      <c r="D221" s="273"/>
      <c r="E221" s="366"/>
      <c r="F221" s="84"/>
      <c r="G221" s="366"/>
      <c r="H221" s="347" t="s">
        <v>19</v>
      </c>
      <c r="I221" s="94">
        <v>35259.58</v>
      </c>
      <c r="J221" s="94">
        <v>1363.3000000000002</v>
      </c>
      <c r="K221" s="94">
        <v>1176.05</v>
      </c>
      <c r="L221" s="96">
        <v>40465.950000000004</v>
      </c>
      <c r="M221" s="104">
        <f>M220-I221-J221-K221+L221</f>
        <v>101446.18</v>
      </c>
      <c r="O221" s="1"/>
      <c r="P221" s="1"/>
      <c r="Q221" s="1"/>
      <c r="R221" s="1"/>
      <c r="S221" s="111"/>
    </row>
    <row r="222" spans="1:19">
      <c r="A222" s="428"/>
      <c r="B222" s="366"/>
      <c r="C222" s="199"/>
      <c r="D222" s="273"/>
      <c r="E222" s="366"/>
      <c r="F222" s="366"/>
      <c r="G222" s="366"/>
      <c r="H222" s="347" t="s">
        <v>20</v>
      </c>
      <c r="I222" s="298">
        <v>34690.219999999994</v>
      </c>
      <c r="J222" s="94">
        <v>1209.3000000000002</v>
      </c>
      <c r="K222" s="299">
        <v>1213.33</v>
      </c>
      <c r="L222" s="299">
        <v>19306</v>
      </c>
      <c r="M222" s="104">
        <f>M221-I222-J222-K222+L222</f>
        <v>83639.329999999987</v>
      </c>
      <c r="O222" s="1"/>
      <c r="P222" s="1"/>
      <c r="Q222" s="1"/>
      <c r="R222" s="1"/>
      <c r="S222" s="111"/>
    </row>
    <row r="223" spans="1:19">
      <c r="A223" s="428"/>
      <c r="B223" s="1"/>
      <c r="C223" s="284"/>
      <c r="D223" s="273"/>
      <c r="E223" s="366"/>
      <c r="F223" s="366"/>
      <c r="G223" s="84"/>
      <c r="H223" s="347" t="s">
        <v>148</v>
      </c>
      <c r="I223" s="299">
        <v>30955.479999999996</v>
      </c>
      <c r="J223" s="300"/>
      <c r="K223" s="300">
        <v>1035.6600000000001</v>
      </c>
      <c r="L223" s="299">
        <v>59195.5</v>
      </c>
      <c r="M223" s="104">
        <f>M222-I223-J223-K223+L223</f>
        <v>110843.68999999999</v>
      </c>
      <c r="O223" s="1"/>
      <c r="P223" s="1"/>
      <c r="Q223" s="1"/>
      <c r="R223" s="1"/>
      <c r="S223" s="111"/>
    </row>
    <row r="224" spans="1:19">
      <c r="A224" s="428"/>
      <c r="B224" s="199"/>
      <c r="C224" s="1"/>
      <c r="D224" s="273"/>
      <c r="E224" s="366"/>
      <c r="F224" s="366"/>
      <c r="G224" s="366"/>
      <c r="H224" s="348" t="s">
        <v>162</v>
      </c>
      <c r="I224" s="300">
        <v>31239.439999999995</v>
      </c>
      <c r="J224" s="299">
        <v>2443.4</v>
      </c>
      <c r="K224" s="300">
        <v>1496.52</v>
      </c>
      <c r="L224" s="299">
        <v>40132</v>
      </c>
      <c r="M224" s="104">
        <f>M223-I224-J224-K224+L224</f>
        <v>115796.33</v>
      </c>
      <c r="O224" s="1"/>
      <c r="P224" s="1"/>
      <c r="Q224" s="1"/>
      <c r="R224" s="1"/>
      <c r="S224" s="111"/>
    </row>
    <row r="225" spans="1:19" ht="15.75" thickBot="1">
      <c r="A225" s="428"/>
      <c r="B225" s="199"/>
      <c r="C225" s="1"/>
      <c r="D225" s="273"/>
      <c r="E225" s="366"/>
      <c r="F225" s="366"/>
      <c r="G225" s="366"/>
      <c r="H225" s="379" t="s">
        <v>163</v>
      </c>
      <c r="I225" s="380">
        <v>28986.99</v>
      </c>
      <c r="J225" s="432">
        <v>6271.4999999999991</v>
      </c>
      <c r="K225" s="433">
        <v>1179.17</v>
      </c>
      <c r="L225" s="433">
        <v>22678.1</v>
      </c>
      <c r="M225" s="382">
        <f>M224-I225-J225-K225+L225</f>
        <v>102036.76999999999</v>
      </c>
      <c r="O225" s="1147" t="s">
        <v>280</v>
      </c>
      <c r="P225" s="1147"/>
      <c r="Q225" s="1147"/>
      <c r="R225" s="1"/>
      <c r="S225" s="111"/>
    </row>
    <row r="226" spans="1:19" ht="15.75" thickTop="1">
      <c r="A226" s="428"/>
      <c r="B226" s="199"/>
      <c r="C226" s="1"/>
      <c r="D226" s="273"/>
      <c r="E226" s="84"/>
      <c r="F226" s="366"/>
      <c r="G226" s="366"/>
      <c r="H226" s="1148" t="s">
        <v>36</v>
      </c>
      <c r="I226" s="1150" t="s">
        <v>178</v>
      </c>
      <c r="J226" s="1151"/>
      <c r="K226" s="1152"/>
      <c r="L226" s="1156" t="s">
        <v>159</v>
      </c>
      <c r="M226" s="1157"/>
      <c r="O226" s="1147"/>
      <c r="P226" s="1147"/>
      <c r="Q226" s="1147"/>
      <c r="R226" s="1"/>
      <c r="S226" s="111"/>
    </row>
    <row r="227" spans="1:19">
      <c r="A227" s="428"/>
      <c r="B227" s="199"/>
      <c r="C227" s="284"/>
      <c r="D227" s="273"/>
      <c r="E227" s="284"/>
      <c r="F227" s="366"/>
      <c r="G227" s="378"/>
      <c r="H227" s="1149"/>
      <c r="I227" s="1153"/>
      <c r="J227" s="1154"/>
      <c r="K227" s="1155"/>
      <c r="L227" s="1158"/>
      <c r="M227" s="1159"/>
      <c r="O227" s="1147"/>
      <c r="P227" s="1147"/>
      <c r="Q227" s="1147"/>
      <c r="R227" s="1"/>
      <c r="S227" s="111"/>
    </row>
    <row r="228" spans="1:19">
      <c r="A228" s="428"/>
      <c r="B228" s="199"/>
      <c r="C228" s="199"/>
      <c r="D228" s="273"/>
      <c r="E228" s="199"/>
      <c r="F228" s="366"/>
      <c r="G228" s="378"/>
      <c r="H228" s="377" t="s">
        <v>193</v>
      </c>
      <c r="I228" s="1160" t="s">
        <v>47</v>
      </c>
      <c r="J228" s="1160"/>
      <c r="K228" s="558">
        <v>288.75</v>
      </c>
      <c r="L228" s="282">
        <v>43813</v>
      </c>
      <c r="M228" s="44" t="s">
        <v>200</v>
      </c>
      <c r="O228" s="1"/>
      <c r="P228" s="1"/>
      <c r="Q228" s="1"/>
      <c r="R228" s="1"/>
      <c r="S228" s="111"/>
    </row>
    <row r="229" spans="1:19">
      <c r="A229" s="428"/>
      <c r="B229" s="366"/>
      <c r="C229" s="274"/>
      <c r="D229" s="273"/>
      <c r="E229" s="274"/>
      <c r="F229" s="366"/>
      <c r="G229" s="366"/>
      <c r="H229" s="377" t="s">
        <v>193</v>
      </c>
      <c r="I229" s="1161" t="s">
        <v>51</v>
      </c>
      <c r="J229" s="1161"/>
      <c r="K229" s="559">
        <v>60.19</v>
      </c>
      <c r="L229" s="282">
        <v>43813</v>
      </c>
      <c r="M229" s="44" t="s">
        <v>200</v>
      </c>
      <c r="O229" s="1"/>
      <c r="P229" s="1"/>
      <c r="Q229" s="1"/>
      <c r="R229" s="1"/>
      <c r="S229" s="111"/>
    </row>
    <row r="230" spans="1:19">
      <c r="A230" s="406"/>
      <c r="B230" s="366"/>
      <c r="C230" s="366"/>
      <c r="D230" s="273"/>
      <c r="E230" s="199"/>
      <c r="F230" s="366"/>
      <c r="G230" s="366"/>
      <c r="H230" s="377" t="s">
        <v>193</v>
      </c>
      <c r="I230" s="1161" t="s">
        <v>52</v>
      </c>
      <c r="J230" s="1161"/>
      <c r="K230" s="559">
        <v>4.95</v>
      </c>
      <c r="L230" s="282">
        <v>43813</v>
      </c>
      <c r="M230" s="44" t="s">
        <v>200</v>
      </c>
      <c r="O230" s="1"/>
      <c r="P230" s="1"/>
      <c r="Q230" s="1"/>
      <c r="R230" s="1"/>
      <c r="S230" s="111"/>
    </row>
    <row r="231" spans="1:19">
      <c r="A231" s="406"/>
      <c r="B231" s="366"/>
      <c r="C231" s="366"/>
      <c r="D231" s="273"/>
      <c r="E231" s="366"/>
      <c r="F231" s="366"/>
      <c r="G231" s="366"/>
      <c r="H231" s="377" t="s">
        <v>193</v>
      </c>
      <c r="I231" s="1161" t="s">
        <v>49</v>
      </c>
      <c r="J231" s="1161"/>
      <c r="K231" s="559">
        <v>257</v>
      </c>
      <c r="L231" s="282">
        <v>43821</v>
      </c>
      <c r="M231" s="44" t="s">
        <v>207</v>
      </c>
      <c r="O231" s="1"/>
      <c r="P231" s="1"/>
      <c r="Q231" s="1"/>
      <c r="R231" s="1"/>
      <c r="S231" s="111"/>
    </row>
    <row r="232" spans="1:19">
      <c r="A232" s="406"/>
      <c r="B232" s="366"/>
      <c r="C232" s="366"/>
      <c r="D232" s="273"/>
      <c r="E232" s="366"/>
      <c r="F232" s="366"/>
      <c r="G232" s="366"/>
      <c r="H232" s="377" t="s">
        <v>193</v>
      </c>
      <c r="I232" s="1145" t="s">
        <v>59</v>
      </c>
      <c r="J232" s="1145"/>
      <c r="K232" s="456">
        <v>922.03</v>
      </c>
      <c r="L232" s="302" t="s">
        <v>177</v>
      </c>
      <c r="M232" s="44" t="s">
        <v>200</v>
      </c>
      <c r="O232" s="1"/>
      <c r="P232" s="1"/>
      <c r="Q232" s="1"/>
      <c r="R232" s="1"/>
      <c r="S232" s="111"/>
    </row>
    <row r="233" spans="1:19">
      <c r="A233" s="406"/>
      <c r="B233" s="199"/>
      <c r="C233" s="199"/>
      <c r="D233" s="273"/>
      <c r="E233" s="199"/>
      <c r="F233" s="366"/>
      <c r="G233" s="366"/>
      <c r="H233" s="377" t="s">
        <v>193</v>
      </c>
      <c r="I233" s="1143" t="s">
        <v>68</v>
      </c>
      <c r="J233" s="1144"/>
      <c r="K233" s="559">
        <v>315.07</v>
      </c>
      <c r="L233" s="282">
        <v>43825</v>
      </c>
      <c r="M233" s="44" t="s">
        <v>200</v>
      </c>
      <c r="O233" s="1"/>
      <c r="P233" s="1"/>
      <c r="Q233" s="1"/>
      <c r="R233" s="1"/>
      <c r="S233" s="111"/>
    </row>
    <row r="234" spans="1:19">
      <c r="A234" s="406"/>
      <c r="B234" s="199"/>
      <c r="C234" s="366"/>
      <c r="D234" s="273"/>
      <c r="E234" s="199"/>
      <c r="F234" s="366"/>
      <c r="G234" s="366"/>
      <c r="H234" s="377" t="s">
        <v>193</v>
      </c>
      <c r="I234" s="548" t="s">
        <v>174</v>
      </c>
      <c r="J234" s="549"/>
      <c r="K234" s="559">
        <f>298.1+160.36</f>
        <v>458.46000000000004</v>
      </c>
      <c r="L234" s="282">
        <v>43813</v>
      </c>
      <c r="M234" s="44" t="s">
        <v>200</v>
      </c>
      <c r="O234" s="1"/>
      <c r="P234" s="1"/>
      <c r="Q234" s="1"/>
      <c r="R234" s="1"/>
      <c r="S234" s="111"/>
    </row>
    <row r="235" spans="1:19">
      <c r="A235" s="406"/>
      <c r="B235" s="199"/>
      <c r="C235" s="366"/>
      <c r="D235" s="273"/>
      <c r="E235" s="199"/>
      <c r="F235" s="366"/>
      <c r="G235" s="366"/>
      <c r="H235" s="350" t="str">
        <f>IF(K235="","не нужно","оплачено")</f>
        <v>не нужно</v>
      </c>
      <c r="I235" s="548" t="s">
        <v>176</v>
      </c>
      <c r="J235" s="549"/>
      <c r="K235" s="559"/>
      <c r="L235" s="282"/>
      <c r="M235" s="44"/>
      <c r="O235" s="1"/>
      <c r="P235" s="1"/>
      <c r="Q235" s="1"/>
      <c r="R235" s="1"/>
      <c r="S235" s="111"/>
    </row>
    <row r="236" spans="1:19">
      <c r="A236" s="406"/>
      <c r="B236" s="199"/>
      <c r="C236" s="366"/>
      <c r="D236" s="273"/>
      <c r="E236" s="232"/>
      <c r="F236" s="366"/>
      <c r="G236" s="366"/>
      <c r="H236" s="377" t="s">
        <v>193</v>
      </c>
      <c r="I236" s="1143" t="s">
        <v>81</v>
      </c>
      <c r="J236" s="1144"/>
      <c r="K236" s="559">
        <v>1483.76</v>
      </c>
      <c r="L236" s="282">
        <v>43813</v>
      </c>
      <c r="M236" s="44" t="s">
        <v>200</v>
      </c>
      <c r="O236" s="1"/>
      <c r="P236" s="1"/>
      <c r="Q236" s="1"/>
      <c r="R236" s="1"/>
      <c r="S236" s="111"/>
    </row>
    <row r="237" spans="1:19">
      <c r="A237" s="406"/>
      <c r="B237" s="199"/>
      <c r="C237" s="366"/>
      <c r="D237" s="273"/>
      <c r="E237" s="232"/>
      <c r="F237" s="366"/>
      <c r="G237" s="366"/>
      <c r="H237" s="377" t="s">
        <v>193</v>
      </c>
      <c r="I237" s="1143" t="s">
        <v>181</v>
      </c>
      <c r="J237" s="1144"/>
      <c r="K237" s="559">
        <v>10</v>
      </c>
      <c r="L237" s="282" t="s">
        <v>182</v>
      </c>
      <c r="M237" s="44"/>
      <c r="O237" s="1"/>
      <c r="P237" s="1"/>
      <c r="Q237" s="1"/>
      <c r="R237" s="1"/>
      <c r="S237" s="111"/>
    </row>
    <row r="238" spans="1:19">
      <c r="A238" s="406"/>
      <c r="B238" s="199"/>
      <c r="C238" s="366"/>
      <c r="D238" s="273"/>
      <c r="E238" s="232"/>
      <c r="F238" s="366"/>
      <c r="G238" s="366"/>
      <c r="H238" s="377" t="s">
        <v>193</v>
      </c>
      <c r="I238" s="1145" t="s">
        <v>61</v>
      </c>
      <c r="J238" s="1145"/>
      <c r="K238" s="559">
        <f>J203</f>
        <v>2494.3200000000002</v>
      </c>
      <c r="L238" s="282">
        <v>43821</v>
      </c>
      <c r="M238" s="44" t="s">
        <v>200</v>
      </c>
      <c r="O238" s="1"/>
      <c r="P238" s="1"/>
      <c r="Q238" s="1"/>
      <c r="R238" s="1"/>
      <c r="S238" s="111"/>
    </row>
    <row r="239" spans="1:19" ht="15.75" thickBot="1">
      <c r="A239" s="429"/>
      <c r="B239" s="330"/>
      <c r="C239" s="331"/>
      <c r="D239" s="342"/>
      <c r="E239" s="330"/>
      <c r="F239" s="331"/>
      <c r="G239" s="331"/>
      <c r="H239" s="346"/>
      <c r="I239" s="361" t="s">
        <v>179</v>
      </c>
      <c r="J239" s="361">
        <f>SUM(K228:K238)</f>
        <v>6294.5300000000007</v>
      </c>
      <c r="K239" s="1146" t="s">
        <v>180</v>
      </c>
      <c r="L239" s="1146"/>
      <c r="M239" s="360">
        <v>0</v>
      </c>
      <c r="O239" s="1"/>
      <c r="P239" s="1"/>
      <c r="Q239" s="1"/>
      <c r="R239" s="1"/>
      <c r="S239" s="111"/>
    </row>
    <row r="240" spans="1:19" ht="15.75" thickTop="1">
      <c r="A240" s="406"/>
      <c r="B240" s="366"/>
      <c r="C240" s="366"/>
      <c r="D240" s="366"/>
      <c r="E240" s="366"/>
      <c r="F240" s="366"/>
      <c r="G240" s="366"/>
      <c r="H240" s="1162"/>
      <c r="I240" s="1162"/>
      <c r="J240" s="1162"/>
      <c r="K240" s="1162"/>
      <c r="L240" s="366"/>
      <c r="M240" s="441"/>
      <c r="O240" s="1"/>
      <c r="P240" s="1"/>
      <c r="Q240" s="1"/>
      <c r="R240" s="1"/>
      <c r="S240" s="111"/>
    </row>
    <row r="241" spans="1:19">
      <c r="A241" s="406"/>
      <c r="B241" s="1163" t="s">
        <v>208</v>
      </c>
      <c r="C241" s="1163"/>
      <c r="D241" s="1163"/>
      <c r="E241" s="1163"/>
      <c r="F241" s="1163"/>
      <c r="G241" s="1163"/>
      <c r="H241" s="1163"/>
      <c r="I241" s="1163"/>
      <c r="J241" s="1163"/>
      <c r="K241" s="1163"/>
      <c r="L241" s="366"/>
      <c r="M241" s="441"/>
      <c r="O241" s="1"/>
      <c r="P241" s="1"/>
      <c r="Q241" s="1"/>
      <c r="R241" s="1"/>
      <c r="S241" s="111"/>
    </row>
    <row r="242" spans="1:19" ht="15.75" thickBot="1">
      <c r="A242" s="110"/>
      <c r="B242" s="1164"/>
      <c r="C242" s="1164"/>
      <c r="D242" s="1164"/>
      <c r="E242" s="1164"/>
      <c r="F242" s="1164"/>
      <c r="G242" s="1164"/>
      <c r="H242" s="1164"/>
      <c r="I242" s="1164"/>
      <c r="J242" s="1164"/>
      <c r="K242" s="1164"/>
      <c r="L242" s="1"/>
      <c r="M242" s="1"/>
      <c r="O242" s="1"/>
      <c r="P242" s="1"/>
      <c r="Q242" s="1"/>
      <c r="R242" s="1"/>
      <c r="S242" s="111"/>
    </row>
    <row r="243" spans="1:19" ht="15.75" thickTop="1">
      <c r="A243" s="1165" t="s">
        <v>28</v>
      </c>
      <c r="B243" s="1166"/>
      <c r="C243" s="1166"/>
      <c r="D243" s="1166"/>
      <c r="E243" s="1166"/>
      <c r="F243" s="1166"/>
      <c r="G243" s="1167"/>
      <c r="H243" s="1168" t="s">
        <v>202</v>
      </c>
      <c r="I243" s="1169"/>
      <c r="J243" s="1169"/>
      <c r="K243" s="1169"/>
      <c r="L243" s="1169"/>
      <c r="M243" s="1170"/>
      <c r="O243" s="1"/>
      <c r="P243" s="1"/>
      <c r="Q243" s="1"/>
      <c r="R243" s="1"/>
      <c r="S243" s="111"/>
    </row>
    <row r="244" spans="1:19">
      <c r="A244" s="395" t="s">
        <v>2</v>
      </c>
      <c r="B244" s="547" t="s">
        <v>34</v>
      </c>
      <c r="C244" s="36" t="s">
        <v>35</v>
      </c>
      <c r="D244" s="36" t="s">
        <v>38</v>
      </c>
      <c r="E244" s="36" t="s">
        <v>42</v>
      </c>
      <c r="F244" s="547" t="s">
        <v>36</v>
      </c>
      <c r="G244" s="100" t="s">
        <v>173</v>
      </c>
      <c r="H244" s="43"/>
      <c r="I244" s="550" t="s">
        <v>35</v>
      </c>
      <c r="J244" s="550" t="s">
        <v>38</v>
      </c>
      <c r="K244" s="550" t="s">
        <v>42</v>
      </c>
      <c r="L244" s="263" t="s">
        <v>44</v>
      </c>
      <c r="M244" s="442"/>
      <c r="O244" s="1"/>
      <c r="P244" s="1"/>
      <c r="Q244" s="1"/>
      <c r="R244" s="1"/>
      <c r="S244" s="111"/>
    </row>
    <row r="245" spans="1:19">
      <c r="A245" s="409">
        <v>43781</v>
      </c>
      <c r="B245" s="161" t="s">
        <v>205</v>
      </c>
      <c r="C245" s="98">
        <v>1403.06</v>
      </c>
      <c r="D245" s="98">
        <v>1403.06</v>
      </c>
      <c r="E245" s="160" t="str">
        <f>IF(C245-D245=0,"",C245-D245)</f>
        <v/>
      </c>
      <c r="F245" s="162" t="str">
        <f>IF(C245=0,"",IF(C245-D245=0,"оплачено","ожидается оплата"))</f>
        <v>оплачено</v>
      </c>
      <c r="G245" s="449"/>
      <c r="H245" s="43"/>
      <c r="I245" s="552">
        <v>199.36</v>
      </c>
      <c r="J245" s="552">
        <v>199.36</v>
      </c>
      <c r="K245" s="160">
        <f>I245-J245</f>
        <v>0</v>
      </c>
      <c r="L245" s="3">
        <v>43819</v>
      </c>
      <c r="M245" s="434"/>
      <c r="O245" s="1"/>
      <c r="P245" s="1"/>
      <c r="Q245" s="1"/>
      <c r="R245" s="1"/>
      <c r="S245" s="111"/>
    </row>
    <row r="246" spans="1:19">
      <c r="A246" s="409">
        <v>43789</v>
      </c>
      <c r="B246" s="161" t="s">
        <v>205</v>
      </c>
      <c r="C246" s="98">
        <v>269.26</v>
      </c>
      <c r="D246" s="98">
        <v>269.26</v>
      </c>
      <c r="E246" s="160" t="str">
        <f t="shared" ref="E246:E261" si="14">IF(C246-D246=0,"",C246-D246)</f>
        <v/>
      </c>
      <c r="F246" s="162" t="str">
        <f>IF(C246=0,"",IF(C246-D246=0,"оплачено","ожидается оплата"))</f>
        <v>оплачено</v>
      </c>
      <c r="G246" s="449"/>
      <c r="H246" s="43"/>
      <c r="I246" s="293"/>
      <c r="J246" s="293"/>
      <c r="K246" s="443"/>
      <c r="L246" s="144"/>
      <c r="M246" s="434"/>
      <c r="O246" s="1"/>
      <c r="P246" s="1"/>
      <c r="Q246" s="1"/>
      <c r="R246" s="1"/>
      <c r="S246" s="111"/>
    </row>
    <row r="247" spans="1:19">
      <c r="A247" s="409">
        <v>43787</v>
      </c>
      <c r="B247" s="559" t="s">
        <v>63</v>
      </c>
      <c r="C247" s="98">
        <v>395.55</v>
      </c>
      <c r="D247" s="98">
        <v>395.55</v>
      </c>
      <c r="E247" s="160" t="str">
        <f t="shared" si="14"/>
        <v/>
      </c>
      <c r="F247" s="162" t="str">
        <f t="shared" ref="F247:F261" si="15">IF(C247=0,"",IF(C247-D247=0,"оплачено","ожидается оплата"))</f>
        <v>оплачено</v>
      </c>
      <c r="G247" s="449"/>
      <c r="H247" s="43"/>
      <c r="I247" s="1"/>
      <c r="J247" s="366"/>
      <c r="K247" s="1"/>
      <c r="L247" s="1"/>
      <c r="M247" s="44"/>
      <c r="O247" s="1"/>
      <c r="P247" s="1"/>
      <c r="Q247" s="1"/>
      <c r="R247" s="1"/>
      <c r="S247" s="111"/>
    </row>
    <row r="248" spans="1:19">
      <c r="A248" s="409">
        <v>43788</v>
      </c>
      <c r="B248" s="559" t="s">
        <v>64</v>
      </c>
      <c r="C248" s="98">
        <v>597.02</v>
      </c>
      <c r="D248" s="98">
        <v>597.02</v>
      </c>
      <c r="E248" s="160" t="str">
        <f t="shared" si="14"/>
        <v/>
      </c>
      <c r="F248" s="162" t="str">
        <f t="shared" si="15"/>
        <v>оплачено</v>
      </c>
      <c r="G248" s="449"/>
      <c r="H248" s="43"/>
      <c r="I248" s="1"/>
      <c r="J248" s="366"/>
      <c r="K248" s="1"/>
      <c r="L248" s="1"/>
      <c r="M248" s="44"/>
      <c r="O248" s="1"/>
      <c r="P248" s="1"/>
      <c r="Q248" s="1"/>
      <c r="R248" s="1"/>
      <c r="S248" s="111"/>
    </row>
    <row r="249" spans="1:19">
      <c r="A249" s="409">
        <v>43791</v>
      </c>
      <c r="B249" s="161" t="s">
        <v>155</v>
      </c>
      <c r="C249" s="98">
        <v>343.12</v>
      </c>
      <c r="D249" s="98">
        <v>343.12</v>
      </c>
      <c r="E249" s="160" t="str">
        <f t="shared" si="14"/>
        <v/>
      </c>
      <c r="F249" s="162" t="str">
        <f t="shared" si="15"/>
        <v>оплачено</v>
      </c>
      <c r="G249" s="449"/>
      <c r="H249" s="43"/>
      <c r="I249" s="1"/>
      <c r="J249" s="366"/>
      <c r="K249" s="1"/>
      <c r="L249" s="1"/>
      <c r="M249" s="44"/>
      <c r="O249" s="1"/>
      <c r="P249" s="1"/>
      <c r="Q249" s="1"/>
      <c r="R249" s="1"/>
      <c r="S249" s="111"/>
    </row>
    <row r="250" spans="1:19">
      <c r="A250" s="409">
        <v>43802</v>
      </c>
      <c r="B250" s="161" t="s">
        <v>155</v>
      </c>
      <c r="C250" s="275">
        <v>130.5</v>
      </c>
      <c r="D250" s="275">
        <v>130.5</v>
      </c>
      <c r="E250" s="160" t="str">
        <f t="shared" si="14"/>
        <v/>
      </c>
      <c r="F250" s="162" t="str">
        <f t="shared" si="15"/>
        <v>оплачено</v>
      </c>
      <c r="G250" s="449"/>
      <c r="H250" s="43"/>
      <c r="I250" s="1"/>
      <c r="J250" s="366"/>
      <c r="K250" s="1"/>
      <c r="L250" s="1"/>
      <c r="M250" s="44"/>
      <c r="O250" s="1"/>
      <c r="P250" s="1"/>
      <c r="Q250" s="1"/>
      <c r="R250" s="1"/>
      <c r="S250" s="111"/>
    </row>
    <row r="251" spans="1:19">
      <c r="A251" s="409">
        <v>43803</v>
      </c>
      <c r="B251" s="161" t="s">
        <v>133</v>
      </c>
      <c r="C251" s="275">
        <v>327.60000000000002</v>
      </c>
      <c r="D251" s="275">
        <v>327.60000000000002</v>
      </c>
      <c r="E251" s="160" t="str">
        <f t="shared" si="14"/>
        <v/>
      </c>
      <c r="F251" s="162" t="str">
        <f t="shared" si="15"/>
        <v>оплачено</v>
      </c>
      <c r="G251" s="449"/>
      <c r="H251" s="43"/>
      <c r="I251" s="1"/>
      <c r="J251" s="366"/>
      <c r="K251" s="1"/>
      <c r="L251" s="1"/>
      <c r="M251" s="44"/>
      <c r="O251" s="1"/>
      <c r="P251" s="1"/>
      <c r="Q251" s="1"/>
      <c r="R251" s="1"/>
      <c r="S251" s="111"/>
    </row>
    <row r="252" spans="1:19">
      <c r="A252" s="409">
        <v>43774</v>
      </c>
      <c r="B252" s="161" t="s">
        <v>215</v>
      </c>
      <c r="C252" s="275">
        <v>1439.29</v>
      </c>
      <c r="D252" s="275">
        <v>1439.29</v>
      </c>
      <c r="E252" s="160" t="str">
        <f t="shared" si="14"/>
        <v/>
      </c>
      <c r="F252" s="162" t="str">
        <f t="shared" si="15"/>
        <v>оплачено</v>
      </c>
      <c r="G252" s="449"/>
      <c r="H252" s="43"/>
      <c r="I252" s="1"/>
      <c r="J252" s="366"/>
      <c r="K252" s="1"/>
      <c r="L252" s="1"/>
      <c r="M252" s="44"/>
      <c r="O252" s="1"/>
      <c r="P252" s="1"/>
      <c r="Q252" s="1"/>
      <c r="R252" s="1"/>
      <c r="S252" s="111"/>
    </row>
    <row r="253" spans="1:19">
      <c r="A253" s="409">
        <v>43815</v>
      </c>
      <c r="B253" s="161" t="s">
        <v>221</v>
      </c>
      <c r="C253" s="275">
        <v>170.14</v>
      </c>
      <c r="D253" s="275">
        <v>170.14</v>
      </c>
      <c r="E253" s="160" t="str">
        <f t="shared" si="14"/>
        <v/>
      </c>
      <c r="F253" s="162" t="str">
        <f t="shared" si="15"/>
        <v>оплачено</v>
      </c>
      <c r="G253" s="449"/>
      <c r="H253" s="43"/>
      <c r="I253" s="1"/>
      <c r="J253" s="366"/>
      <c r="K253" s="1"/>
      <c r="L253" s="1"/>
      <c r="M253" s="44"/>
      <c r="O253" s="1"/>
      <c r="P253" s="1"/>
      <c r="Q253" s="1"/>
      <c r="R253" s="1"/>
      <c r="S253" s="111"/>
    </row>
    <row r="254" spans="1:19">
      <c r="A254" s="409">
        <v>43823</v>
      </c>
      <c r="B254" s="161" t="s">
        <v>205</v>
      </c>
      <c r="C254" s="275">
        <v>170.83</v>
      </c>
      <c r="D254" s="161"/>
      <c r="E254" s="160">
        <f t="shared" si="14"/>
        <v>170.83</v>
      </c>
      <c r="F254" s="162" t="str">
        <f t="shared" si="15"/>
        <v>ожидается оплата</v>
      </c>
      <c r="G254" s="449" t="s">
        <v>218</v>
      </c>
      <c r="H254" s="43"/>
      <c r="I254" s="1"/>
      <c r="J254" s="366"/>
      <c r="K254" s="1"/>
      <c r="L254" s="1"/>
      <c r="M254" s="44"/>
      <c r="O254" s="1"/>
      <c r="P254" s="1"/>
      <c r="Q254" s="1"/>
      <c r="R254" s="1"/>
      <c r="S254" s="111"/>
    </row>
    <row r="255" spans="1:19">
      <c r="A255" s="409">
        <v>43810</v>
      </c>
      <c r="B255" s="161" t="s">
        <v>224</v>
      </c>
      <c r="C255" s="275">
        <v>65</v>
      </c>
      <c r="D255" s="161">
        <v>65</v>
      </c>
      <c r="E255" s="160" t="str">
        <f t="shared" si="14"/>
        <v/>
      </c>
      <c r="F255" s="162" t="str">
        <f t="shared" si="15"/>
        <v>оплачено</v>
      </c>
      <c r="G255" s="449"/>
      <c r="H255" s="43"/>
      <c r="I255" s="1"/>
      <c r="J255" s="366"/>
      <c r="K255" s="1"/>
      <c r="L255" s="1"/>
      <c r="M255" s="44"/>
      <c r="O255" s="1"/>
      <c r="P255" s="1"/>
      <c r="Q255" s="1"/>
      <c r="R255" s="1"/>
      <c r="S255" s="111"/>
    </row>
    <row r="256" spans="1:19">
      <c r="A256" s="409">
        <v>43825</v>
      </c>
      <c r="B256" s="161" t="s">
        <v>205</v>
      </c>
      <c r="C256" s="275">
        <v>159.16999999999999</v>
      </c>
      <c r="D256" s="275">
        <v>159.16999999999999</v>
      </c>
      <c r="E256" s="160" t="str">
        <f t="shared" si="14"/>
        <v/>
      </c>
      <c r="F256" s="162" t="str">
        <f t="shared" si="15"/>
        <v>оплачено</v>
      </c>
      <c r="G256" s="449"/>
      <c r="H256" s="43"/>
      <c r="I256" s="1"/>
      <c r="J256" s="366"/>
      <c r="K256" s="1"/>
      <c r="L256" s="1"/>
      <c r="M256" s="44"/>
      <c r="O256" s="1"/>
      <c r="P256" s="1"/>
      <c r="Q256" s="1"/>
      <c r="R256" s="1"/>
      <c r="S256" s="111"/>
    </row>
    <row r="257" spans="1:19">
      <c r="A257" s="410"/>
      <c r="B257" s="161"/>
      <c r="C257" s="161"/>
      <c r="D257" s="161"/>
      <c r="E257" s="160" t="str">
        <f t="shared" si="14"/>
        <v/>
      </c>
      <c r="F257" s="162" t="str">
        <f t="shared" si="15"/>
        <v/>
      </c>
      <c r="G257" s="449"/>
      <c r="H257" s="43"/>
      <c r="I257" s="1"/>
      <c r="J257" s="366"/>
      <c r="K257" s="1"/>
      <c r="L257" s="1"/>
      <c r="M257" s="44"/>
      <c r="O257" s="1"/>
      <c r="P257" s="1"/>
      <c r="Q257" s="1"/>
      <c r="R257" s="1"/>
      <c r="S257" s="111"/>
    </row>
    <row r="258" spans="1:19">
      <c r="A258" s="411"/>
      <c r="B258" s="161"/>
      <c r="C258" s="161"/>
      <c r="D258" s="161"/>
      <c r="E258" s="160" t="str">
        <f t="shared" si="14"/>
        <v/>
      </c>
      <c r="F258" s="162" t="str">
        <f t="shared" si="15"/>
        <v/>
      </c>
      <c r="G258" s="449"/>
      <c r="H258" s="43"/>
      <c r="I258" s="1"/>
      <c r="J258" s="366"/>
      <c r="K258" s="1"/>
      <c r="L258" s="1"/>
      <c r="M258" s="44"/>
      <c r="O258" s="1"/>
      <c r="P258" s="1"/>
      <c r="Q258" s="1"/>
      <c r="R258" s="1"/>
      <c r="S258" s="111"/>
    </row>
    <row r="259" spans="1:19">
      <c r="A259" s="411"/>
      <c r="B259" s="161"/>
      <c r="C259" s="161"/>
      <c r="D259" s="161"/>
      <c r="E259" s="160" t="str">
        <f t="shared" si="14"/>
        <v/>
      </c>
      <c r="F259" s="162" t="str">
        <f t="shared" si="15"/>
        <v/>
      </c>
      <c r="G259" s="449"/>
      <c r="H259" s="43"/>
      <c r="I259" s="1"/>
      <c r="J259" s="366"/>
      <c r="K259" s="1"/>
      <c r="L259" s="1"/>
      <c r="M259" s="44"/>
      <c r="O259" s="1"/>
      <c r="P259" s="1"/>
      <c r="Q259" s="1"/>
      <c r="R259" s="1"/>
      <c r="S259" s="111"/>
    </row>
    <row r="260" spans="1:19">
      <c r="A260" s="410"/>
      <c r="B260" s="161"/>
      <c r="C260" s="161"/>
      <c r="D260" s="161"/>
      <c r="E260" s="160" t="str">
        <f t="shared" si="14"/>
        <v/>
      </c>
      <c r="F260" s="162" t="str">
        <f t="shared" si="15"/>
        <v/>
      </c>
      <c r="G260" s="449"/>
      <c r="H260" s="43"/>
      <c r="I260" s="1"/>
      <c r="J260" s="366"/>
      <c r="K260" s="1"/>
      <c r="L260" s="1"/>
      <c r="M260" s="44"/>
      <c r="O260" s="1"/>
      <c r="P260" s="1"/>
      <c r="Q260" s="1"/>
      <c r="R260" s="1"/>
      <c r="S260" s="111"/>
    </row>
    <row r="261" spans="1:19" ht="15.75" thickBot="1">
      <c r="A261" s="426"/>
      <c r="B261" s="357"/>
      <c r="C261" s="358"/>
      <c r="D261" s="358"/>
      <c r="E261" s="160" t="str">
        <f t="shared" si="14"/>
        <v/>
      </c>
      <c r="F261" s="162" t="str">
        <f t="shared" si="15"/>
        <v/>
      </c>
      <c r="G261" s="450"/>
      <c r="H261" s="43"/>
      <c r="I261" s="1"/>
      <c r="J261" s="366"/>
      <c r="K261" s="1"/>
      <c r="L261" s="1"/>
      <c r="M261" s="44"/>
      <c r="O261" s="1"/>
      <c r="P261" s="1"/>
      <c r="Q261" s="1"/>
      <c r="R261" s="1"/>
      <c r="S261" s="111"/>
    </row>
    <row r="262" spans="1:19" ht="15.75" thickTop="1">
      <c r="A262" s="527"/>
      <c r="B262" s="352"/>
      <c r="C262" s="353"/>
      <c r="D262" s="353"/>
      <c r="E262" s="354"/>
      <c r="F262" s="352"/>
      <c r="G262" s="376"/>
      <c r="H262" s="1171" t="s">
        <v>16</v>
      </c>
      <c r="I262" s="1173" t="s">
        <v>17</v>
      </c>
      <c r="J262" s="1173" t="s">
        <v>21</v>
      </c>
      <c r="K262" s="1173"/>
      <c r="L262" s="1175" t="s">
        <v>93</v>
      </c>
      <c r="M262" s="1177" t="s">
        <v>95</v>
      </c>
      <c r="O262" s="1"/>
      <c r="P262" s="1"/>
      <c r="Q262" s="1"/>
      <c r="R262" s="1"/>
      <c r="S262" s="111"/>
    </row>
    <row r="263" spans="1:19" ht="24">
      <c r="A263" s="413"/>
      <c r="B263" s="201"/>
      <c r="C263" s="201"/>
      <c r="D263" s="201"/>
      <c r="E263" s="216"/>
      <c r="F263" s="201"/>
      <c r="G263" s="201"/>
      <c r="H263" s="1172"/>
      <c r="I263" s="1174"/>
      <c r="J263" s="551" t="s">
        <v>21</v>
      </c>
      <c r="K263" s="551" t="s">
        <v>25</v>
      </c>
      <c r="L263" s="1176"/>
      <c r="M263" s="1178"/>
      <c r="O263" s="1"/>
      <c r="P263" s="1"/>
      <c r="Q263" s="1"/>
      <c r="R263" s="1"/>
      <c r="S263" s="111"/>
    </row>
    <row r="264" spans="1:19">
      <c r="A264" s="415"/>
      <c r="B264" s="199"/>
      <c r="C264" s="288"/>
      <c r="D264" s="232"/>
      <c r="E264" s="84"/>
      <c r="F264" s="199"/>
      <c r="G264" s="199"/>
      <c r="H264" s="347" t="s">
        <v>163</v>
      </c>
      <c r="I264" s="94">
        <v>2420.3999999999996</v>
      </c>
      <c r="J264" s="94"/>
      <c r="K264" s="297"/>
      <c r="L264" s="96"/>
      <c r="M264" s="104"/>
      <c r="O264" s="1"/>
      <c r="P264" s="1"/>
      <c r="Q264" s="1"/>
      <c r="R264" s="1"/>
      <c r="S264" s="111"/>
    </row>
    <row r="265" spans="1:19">
      <c r="A265" s="428"/>
      <c r="B265" s="199"/>
      <c r="C265" s="199"/>
      <c r="D265" s="273"/>
      <c r="E265" s="366"/>
      <c r="F265" s="84"/>
      <c r="G265" s="366"/>
      <c r="H265" s="347" t="s">
        <v>192</v>
      </c>
      <c r="I265" s="94"/>
      <c r="J265" s="94"/>
      <c r="K265" s="94"/>
      <c r="L265" s="96"/>
      <c r="M265" s="104"/>
      <c r="O265" s="1"/>
      <c r="P265" s="1"/>
      <c r="Q265" s="1"/>
      <c r="R265" s="1"/>
      <c r="S265" s="111"/>
    </row>
    <row r="266" spans="1:19">
      <c r="A266" s="428"/>
      <c r="B266" s="366"/>
      <c r="C266" s="199"/>
      <c r="D266" s="273"/>
      <c r="E266" s="366"/>
      <c r="F266" s="366"/>
      <c r="G266" s="366"/>
      <c r="H266" s="347" t="s">
        <v>199</v>
      </c>
      <c r="I266" s="298"/>
      <c r="J266" s="94"/>
      <c r="K266" s="299"/>
      <c r="L266" s="299"/>
      <c r="M266" s="104"/>
      <c r="O266" s="1"/>
      <c r="P266" s="1"/>
      <c r="Q266" s="1"/>
      <c r="R266" s="1"/>
      <c r="S266" s="111"/>
    </row>
    <row r="267" spans="1:19">
      <c r="A267" s="428"/>
      <c r="B267" s="1"/>
      <c r="C267" s="284"/>
      <c r="D267" s="273"/>
      <c r="E267" s="366"/>
      <c r="F267" s="366"/>
      <c r="G267" s="84"/>
      <c r="H267" s="347" t="s">
        <v>209</v>
      </c>
      <c r="I267" s="299"/>
      <c r="J267" s="300"/>
      <c r="K267" s="300"/>
      <c r="L267" s="299"/>
      <c r="M267" s="104"/>
      <c r="O267" s="1"/>
      <c r="P267" s="1"/>
      <c r="Q267" s="1"/>
      <c r="R267" s="1"/>
      <c r="S267" s="111"/>
    </row>
    <row r="268" spans="1:19">
      <c r="A268" s="428"/>
      <c r="B268" s="199"/>
      <c r="C268" s="1"/>
      <c r="D268" s="273"/>
      <c r="E268" s="366"/>
      <c r="F268" s="366"/>
      <c r="G268" s="366"/>
      <c r="H268" s="348" t="s">
        <v>210</v>
      </c>
      <c r="I268" s="300"/>
      <c r="J268" s="299"/>
      <c r="K268" s="300"/>
      <c r="L268" s="299"/>
      <c r="M268" s="104"/>
      <c r="O268" s="1"/>
      <c r="P268" s="1"/>
      <c r="Q268" s="1"/>
      <c r="R268" s="1"/>
      <c r="S268" s="111"/>
    </row>
    <row r="269" spans="1:19" ht="15.75" thickBot="1">
      <c r="A269" s="428"/>
      <c r="B269" s="199"/>
      <c r="C269" s="1"/>
      <c r="D269" s="273"/>
      <c r="E269" s="366"/>
      <c r="F269" s="366"/>
      <c r="G269" s="366"/>
      <c r="H269" s="379" t="s">
        <v>211</v>
      </c>
      <c r="I269" s="380"/>
      <c r="J269" s="432"/>
      <c r="K269" s="381"/>
      <c r="L269" s="433"/>
      <c r="M269" s="382"/>
      <c r="O269" s="1"/>
      <c r="P269" s="1"/>
      <c r="Q269" s="1"/>
      <c r="R269" s="1"/>
      <c r="S269" s="111"/>
    </row>
    <row r="270" spans="1:19" ht="15.75" thickTop="1">
      <c r="A270" s="428"/>
      <c r="B270" s="199"/>
      <c r="C270" s="1"/>
      <c r="D270" s="273"/>
      <c r="E270" s="84"/>
      <c r="F270" s="366"/>
      <c r="G270" s="366"/>
      <c r="H270" s="1148" t="s">
        <v>36</v>
      </c>
      <c r="I270" s="1150" t="s">
        <v>178</v>
      </c>
      <c r="J270" s="1151"/>
      <c r="K270" s="1152"/>
      <c r="L270" s="1156" t="s">
        <v>159</v>
      </c>
      <c r="M270" s="1157"/>
      <c r="O270" s="1"/>
      <c r="P270" s="1"/>
      <c r="Q270" s="1"/>
      <c r="R270" s="1"/>
      <c r="S270" s="111"/>
    </row>
    <row r="271" spans="1:19">
      <c r="A271" s="428"/>
      <c r="B271" s="199"/>
      <c r="C271" s="284"/>
      <c r="D271" s="273"/>
      <c r="E271" s="284"/>
      <c r="F271" s="366"/>
      <c r="G271" s="378"/>
      <c r="H271" s="1149"/>
      <c r="I271" s="1153"/>
      <c r="J271" s="1154"/>
      <c r="K271" s="1155"/>
      <c r="L271" s="1158"/>
      <c r="M271" s="1159"/>
      <c r="O271" s="1"/>
      <c r="P271" s="1"/>
      <c r="Q271" s="1"/>
      <c r="R271" s="1"/>
      <c r="S271" s="111"/>
    </row>
    <row r="272" spans="1:19">
      <c r="A272" s="428"/>
      <c r="B272" s="199"/>
      <c r="C272" s="199"/>
      <c r="D272" s="273"/>
      <c r="E272" s="199"/>
      <c r="F272" s="366"/>
      <c r="G272" s="378"/>
      <c r="H272" s="350" t="str">
        <f>IF(K272="","не нужно","оплачено")</f>
        <v>оплачено</v>
      </c>
      <c r="I272" s="1160" t="s">
        <v>47</v>
      </c>
      <c r="J272" s="1160"/>
      <c r="K272" s="558">
        <v>28.88</v>
      </c>
      <c r="L272" s="282">
        <v>43814</v>
      </c>
      <c r="M272" s="44" t="s">
        <v>200</v>
      </c>
      <c r="O272" s="1"/>
      <c r="P272" s="1"/>
      <c r="Q272" s="1"/>
      <c r="R272" s="1"/>
      <c r="S272" s="111"/>
    </row>
    <row r="273" spans="1:19">
      <c r="A273" s="428"/>
      <c r="B273" s="366"/>
      <c r="C273" s="274"/>
      <c r="D273" s="273"/>
      <c r="E273" s="274"/>
      <c r="F273" s="366"/>
      <c r="G273" s="366"/>
      <c r="H273" s="350" t="str">
        <f t="shared" ref="H273:H282" si="16">IF(K273="","не нужно","оплачено")</f>
        <v>не нужно</v>
      </c>
      <c r="I273" s="1161" t="s">
        <v>51</v>
      </c>
      <c r="J273" s="1161"/>
      <c r="K273" s="559"/>
      <c r="L273" s="282">
        <v>43814</v>
      </c>
      <c r="M273" s="44" t="s">
        <v>200</v>
      </c>
      <c r="O273" s="1"/>
      <c r="P273" s="1"/>
      <c r="Q273" s="1"/>
      <c r="R273" s="1"/>
      <c r="S273" s="111"/>
    </row>
    <row r="274" spans="1:19">
      <c r="A274" s="406"/>
      <c r="B274" s="366"/>
      <c r="C274" s="366"/>
      <c r="D274" s="273"/>
      <c r="E274" s="199"/>
      <c r="F274" s="366"/>
      <c r="G274" s="366"/>
      <c r="H274" s="350" t="str">
        <f t="shared" si="16"/>
        <v>оплачено</v>
      </c>
      <c r="I274" s="1161" t="s">
        <v>52</v>
      </c>
      <c r="J274" s="1161"/>
      <c r="K274" s="559">
        <v>0.5</v>
      </c>
      <c r="L274" s="282">
        <v>43814</v>
      </c>
      <c r="M274" s="44" t="s">
        <v>200</v>
      </c>
      <c r="O274" s="1"/>
      <c r="P274" s="1"/>
      <c r="Q274" s="1"/>
      <c r="R274" s="1"/>
      <c r="S274" s="111"/>
    </row>
    <row r="275" spans="1:19">
      <c r="A275" s="406"/>
      <c r="B275" s="366"/>
      <c r="C275" s="366"/>
      <c r="D275" s="273"/>
      <c r="E275" s="366"/>
      <c r="F275" s="366"/>
      <c r="G275" s="366"/>
      <c r="H275" s="350" t="str">
        <f t="shared" si="16"/>
        <v>оплачено</v>
      </c>
      <c r="I275" s="1161" t="s">
        <v>49</v>
      </c>
      <c r="J275" s="1161"/>
      <c r="K275" s="559">
        <v>66.75</v>
      </c>
      <c r="L275" s="282">
        <v>43819</v>
      </c>
      <c r="M275" s="44" t="s">
        <v>201</v>
      </c>
      <c r="O275" s="1"/>
      <c r="P275" s="1"/>
      <c r="Q275" s="1"/>
      <c r="R275" s="1"/>
      <c r="S275" s="111"/>
    </row>
    <row r="276" spans="1:19">
      <c r="A276" s="406"/>
      <c r="B276" s="366"/>
      <c r="C276" s="366"/>
      <c r="D276" s="273"/>
      <c r="E276" s="366"/>
      <c r="F276" s="366"/>
      <c r="G276" s="366"/>
      <c r="H276" s="350" t="str">
        <f t="shared" si="16"/>
        <v>не нужно</v>
      </c>
      <c r="I276" s="1145" t="s">
        <v>59</v>
      </c>
      <c r="J276" s="1145"/>
      <c r="K276" s="456"/>
      <c r="L276" s="302" t="s">
        <v>177</v>
      </c>
      <c r="M276" s="44" t="s">
        <v>200</v>
      </c>
      <c r="O276" s="1"/>
      <c r="P276" s="1"/>
      <c r="Q276" s="1"/>
      <c r="R276" s="1"/>
      <c r="S276" s="111"/>
    </row>
    <row r="277" spans="1:19">
      <c r="A277" s="406"/>
      <c r="B277" s="199"/>
      <c r="C277" s="199"/>
      <c r="D277" s="273"/>
      <c r="E277" s="199"/>
      <c r="F277" s="366"/>
      <c r="G277" s="366"/>
      <c r="H277" s="350" t="str">
        <f t="shared" si="16"/>
        <v>оплачено</v>
      </c>
      <c r="I277" s="1143" t="s">
        <v>68</v>
      </c>
      <c r="J277" s="1144"/>
      <c r="K277" s="559">
        <v>7.75</v>
      </c>
      <c r="L277" s="282">
        <v>43819</v>
      </c>
      <c r="M277" s="44" t="s">
        <v>200</v>
      </c>
      <c r="O277" s="1"/>
      <c r="P277" s="1"/>
      <c r="Q277" s="1"/>
      <c r="R277" s="1"/>
      <c r="S277" s="111"/>
    </row>
    <row r="278" spans="1:19">
      <c r="A278" s="406"/>
      <c r="B278" s="199"/>
      <c r="C278" s="366"/>
      <c r="D278" s="273"/>
      <c r="E278" s="199"/>
      <c r="F278" s="366"/>
      <c r="G278" s="366"/>
      <c r="H278" s="350" t="str">
        <f t="shared" si="16"/>
        <v>не нужно</v>
      </c>
      <c r="I278" s="548" t="s">
        <v>174</v>
      </c>
      <c r="J278" s="549"/>
      <c r="K278" s="559"/>
      <c r="L278" s="282">
        <v>43813</v>
      </c>
      <c r="M278" s="44" t="s">
        <v>200</v>
      </c>
      <c r="O278" s="1"/>
      <c r="P278" s="1"/>
      <c r="Q278" s="1"/>
      <c r="R278" s="1"/>
      <c r="S278" s="111"/>
    </row>
    <row r="279" spans="1:19">
      <c r="A279" s="406"/>
      <c r="B279" s="199"/>
      <c r="C279" s="366"/>
      <c r="D279" s="273"/>
      <c r="E279" s="199"/>
      <c r="F279" s="366"/>
      <c r="G279" s="366"/>
      <c r="H279" s="350" t="str">
        <f t="shared" si="16"/>
        <v>оплачено</v>
      </c>
      <c r="I279" s="548" t="s">
        <v>176</v>
      </c>
      <c r="J279" s="549"/>
      <c r="K279" s="559">
        <v>286.97000000000003</v>
      </c>
      <c r="L279" s="282">
        <v>43819</v>
      </c>
      <c r="M279" s="44" t="s">
        <v>200</v>
      </c>
      <c r="O279" s="1"/>
      <c r="P279" s="1"/>
      <c r="Q279" s="1"/>
      <c r="R279" s="1"/>
      <c r="S279" s="111"/>
    </row>
    <row r="280" spans="1:19">
      <c r="A280" s="406"/>
      <c r="B280" s="199"/>
      <c r="C280" s="366"/>
      <c r="D280" s="273"/>
      <c r="E280" s="232"/>
      <c r="F280" s="366"/>
      <c r="G280" s="366"/>
      <c r="H280" s="350" t="str">
        <f t="shared" si="16"/>
        <v>оплачено</v>
      </c>
      <c r="I280" s="1143" t="s">
        <v>81</v>
      </c>
      <c r="J280" s="1144"/>
      <c r="K280" s="559">
        <v>386.79</v>
      </c>
      <c r="L280" s="282" t="s">
        <v>206</v>
      </c>
      <c r="M280" s="44" t="s">
        <v>200</v>
      </c>
      <c r="O280" s="1"/>
      <c r="P280" s="1"/>
      <c r="Q280" s="1"/>
      <c r="R280" s="1"/>
      <c r="S280" s="111"/>
    </row>
    <row r="281" spans="1:19">
      <c r="A281" s="406"/>
      <c r="B281" s="199"/>
      <c r="C281" s="366"/>
      <c r="D281" s="273"/>
      <c r="E281" s="232"/>
      <c r="F281" s="366"/>
      <c r="G281" s="366"/>
      <c r="H281" s="350" t="str">
        <f t="shared" si="16"/>
        <v>оплачено</v>
      </c>
      <c r="I281" s="1143" t="s">
        <v>53</v>
      </c>
      <c r="J281" s="1144"/>
      <c r="K281" s="454">
        <v>10</v>
      </c>
      <c r="L281" s="282" t="s">
        <v>182</v>
      </c>
      <c r="M281" s="44"/>
      <c r="O281" s="1"/>
      <c r="P281" s="1"/>
      <c r="Q281" s="1"/>
      <c r="R281" s="1"/>
      <c r="S281" s="111"/>
    </row>
    <row r="282" spans="1:19">
      <c r="A282" s="406"/>
      <c r="B282" s="199"/>
      <c r="C282" s="366"/>
      <c r="D282" s="273"/>
      <c r="E282" s="232"/>
      <c r="F282" s="366"/>
      <c r="G282" s="366"/>
      <c r="H282" s="350" t="str">
        <f t="shared" si="16"/>
        <v>оплачено</v>
      </c>
      <c r="I282" s="1145" t="s">
        <v>61</v>
      </c>
      <c r="J282" s="1145"/>
      <c r="K282" s="559">
        <v>199.36</v>
      </c>
      <c r="L282" s="282">
        <v>43819</v>
      </c>
      <c r="M282" s="44" t="s">
        <v>200</v>
      </c>
      <c r="O282" s="1"/>
      <c r="P282" s="1"/>
      <c r="Q282" s="1"/>
      <c r="R282" s="1"/>
      <c r="S282" s="111"/>
    </row>
    <row r="283" spans="1:19" ht="15.75" thickBot="1">
      <c r="A283" s="429"/>
      <c r="B283" s="330"/>
      <c r="C283" s="331"/>
      <c r="D283" s="342"/>
      <c r="E283" s="330"/>
      <c r="F283" s="331"/>
      <c r="G283" s="331"/>
      <c r="H283" s="346"/>
      <c r="I283" s="361" t="s">
        <v>179</v>
      </c>
      <c r="J283" s="361">
        <f>SUM(K272:K282)</f>
        <v>987.00000000000011</v>
      </c>
      <c r="K283" s="1146" t="s">
        <v>180</v>
      </c>
      <c r="L283" s="1146"/>
      <c r="M283" s="360">
        <v>0</v>
      </c>
      <c r="O283" s="1"/>
      <c r="P283" s="1"/>
      <c r="Q283" s="1"/>
      <c r="R283" s="1"/>
      <c r="S283" s="111"/>
    </row>
    <row r="284" spans="1:19" ht="16.5" thickTop="1" thickBot="1">
      <c r="A284" s="1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  <c r="S284" s="111"/>
    </row>
    <row r="285" spans="1:19">
      <c r="A285" s="1215" t="s">
        <v>28</v>
      </c>
      <c r="B285" s="1216"/>
      <c r="C285" s="1216"/>
      <c r="D285" s="1216"/>
      <c r="E285" s="1216"/>
      <c r="F285" s="1216"/>
      <c r="G285" s="1217"/>
      <c r="H285" s="1218" t="s">
        <v>236</v>
      </c>
      <c r="I285" s="1219"/>
      <c r="J285" s="1219"/>
      <c r="K285" s="1219"/>
      <c r="L285" s="1219"/>
      <c r="M285" s="1220"/>
      <c r="N285" s="772"/>
      <c r="O285" s="772"/>
      <c r="P285" s="772"/>
      <c r="Q285" s="772"/>
      <c r="R285" s="772"/>
      <c r="S285" s="773"/>
    </row>
    <row r="286" spans="1:19">
      <c r="A286" s="774" t="s">
        <v>2</v>
      </c>
      <c r="B286" s="775" t="s">
        <v>34</v>
      </c>
      <c r="C286" s="776" t="s">
        <v>35</v>
      </c>
      <c r="D286" s="776" t="s">
        <v>38</v>
      </c>
      <c r="E286" s="776" t="s">
        <v>42</v>
      </c>
      <c r="F286" s="775" t="s">
        <v>36</v>
      </c>
      <c r="G286" s="777" t="s">
        <v>173</v>
      </c>
      <c r="H286" s="1221"/>
      <c r="I286" s="1222"/>
      <c r="J286" s="778" t="s">
        <v>35</v>
      </c>
      <c r="K286" s="778" t="s">
        <v>38</v>
      </c>
      <c r="L286" s="778" t="s">
        <v>42</v>
      </c>
      <c r="M286" s="777" t="s">
        <v>44</v>
      </c>
      <c r="N286" s="779"/>
      <c r="O286" s="779"/>
      <c r="P286" s="779"/>
      <c r="Q286" s="779"/>
      <c r="R286" s="779"/>
      <c r="S286" s="780"/>
    </row>
    <row r="287" spans="1:19">
      <c r="A287" s="781">
        <v>43835</v>
      </c>
      <c r="B287" s="782" t="s">
        <v>235</v>
      </c>
      <c r="C287" s="783">
        <v>679.7</v>
      </c>
      <c r="D287" s="783">
        <v>679.7</v>
      </c>
      <c r="E287" s="784" t="str">
        <f>IF(C287-D287=0,"",C287-D287)</f>
        <v/>
      </c>
      <c r="F287" s="782" t="str">
        <f>IF(C287=0,"",IF(C287-D287=0,"оплачено","ожидается оплата"))</f>
        <v>оплачено</v>
      </c>
      <c r="G287" s="785"/>
      <c r="H287" s="1223" t="s">
        <v>39</v>
      </c>
      <c r="I287" s="1224"/>
      <c r="J287" s="786">
        <v>2039.02</v>
      </c>
      <c r="K287" s="786">
        <f>1000+1039.02</f>
        <v>2039.02</v>
      </c>
      <c r="L287" s="784">
        <f>J287-K287</f>
        <v>0</v>
      </c>
      <c r="M287" s="787">
        <v>43850</v>
      </c>
      <c r="N287" s="779"/>
      <c r="O287" s="779"/>
      <c r="P287" s="779"/>
      <c r="Q287" s="779"/>
      <c r="R287" s="779"/>
      <c r="S287" s="780"/>
    </row>
    <row r="288" spans="1:19">
      <c r="A288" s="781">
        <v>43839</v>
      </c>
      <c r="B288" s="782" t="s">
        <v>205</v>
      </c>
      <c r="C288" s="783">
        <v>139.15</v>
      </c>
      <c r="D288" s="783">
        <v>139.15</v>
      </c>
      <c r="E288" s="784" t="str">
        <f t="shared" ref="E288:E303" si="17">IF(C288-D288=0,"",C288-D288)</f>
        <v/>
      </c>
      <c r="F288" s="782" t="str">
        <f t="shared" ref="F288:F303" si="18">IF(C288=0,"",IF(C288-D288=0,"оплачено","ожидается оплата"))</f>
        <v>оплачено</v>
      </c>
      <c r="G288" s="785"/>
      <c r="H288" s="1223" t="s">
        <v>40</v>
      </c>
      <c r="I288" s="1224"/>
      <c r="J288" s="788">
        <v>918.57</v>
      </c>
      <c r="K288" s="788">
        <v>918.57</v>
      </c>
      <c r="L288" s="784">
        <f>J288-K288</f>
        <v>0</v>
      </c>
      <c r="M288" s="787">
        <v>43857</v>
      </c>
      <c r="N288" s="779"/>
      <c r="O288" s="779"/>
      <c r="P288" s="779"/>
      <c r="Q288" s="779"/>
      <c r="R288" s="779"/>
      <c r="S288" s="780"/>
    </row>
    <row r="289" spans="1:19">
      <c r="A289" s="781">
        <v>43839</v>
      </c>
      <c r="B289" s="782" t="s">
        <v>239</v>
      </c>
      <c r="C289" s="783">
        <v>189</v>
      </c>
      <c r="D289" s="783">
        <v>189</v>
      </c>
      <c r="E289" s="784" t="str">
        <f t="shared" si="17"/>
        <v/>
      </c>
      <c r="F289" s="782" t="str">
        <f t="shared" si="18"/>
        <v>оплачено</v>
      </c>
      <c r="G289" s="785"/>
      <c r="H289" s="789"/>
      <c r="I289" s="779"/>
      <c r="J289" s="779">
        <f>SUM(J287:J288)</f>
        <v>2957.59</v>
      </c>
      <c r="K289" s="779"/>
      <c r="L289" s="790"/>
      <c r="M289" s="791"/>
      <c r="N289" s="779"/>
      <c r="O289" s="779"/>
      <c r="P289" s="779"/>
      <c r="Q289" s="779"/>
      <c r="R289" s="779"/>
      <c r="S289" s="780"/>
    </row>
    <row r="290" spans="1:19">
      <c r="A290" s="781">
        <v>43838</v>
      </c>
      <c r="B290" s="782" t="s">
        <v>213</v>
      </c>
      <c r="C290" s="783">
        <v>239.4</v>
      </c>
      <c r="D290" s="783">
        <v>239.4</v>
      </c>
      <c r="E290" s="784" t="str">
        <f t="shared" si="17"/>
        <v/>
      </c>
      <c r="F290" s="782" t="str">
        <f t="shared" si="18"/>
        <v>оплачено</v>
      </c>
      <c r="G290" s="785"/>
      <c r="H290" s="789"/>
      <c r="I290" s="779"/>
      <c r="J290" s="779"/>
      <c r="K290" s="779"/>
      <c r="L290" s="779"/>
      <c r="M290" s="791"/>
      <c r="N290" s="779"/>
      <c r="O290" s="779"/>
      <c r="P290" s="779"/>
      <c r="Q290" s="779"/>
      <c r="R290" s="779"/>
      <c r="S290" s="780"/>
    </row>
    <row r="291" spans="1:19">
      <c r="A291" s="781">
        <v>43844</v>
      </c>
      <c r="B291" s="782" t="s">
        <v>242</v>
      </c>
      <c r="C291" s="682">
        <v>529.29999999999995</v>
      </c>
      <c r="D291" s="682">
        <v>529.29999999999995</v>
      </c>
      <c r="E291" s="784" t="str">
        <f t="shared" si="17"/>
        <v/>
      </c>
      <c r="F291" s="782" t="str">
        <f t="shared" si="18"/>
        <v>оплачено</v>
      </c>
      <c r="G291" s="785"/>
      <c r="H291" s="789"/>
      <c r="I291" s="779"/>
      <c r="J291" s="779"/>
      <c r="K291" s="779"/>
      <c r="L291" s="779"/>
      <c r="M291" s="791"/>
      <c r="N291" s="779"/>
      <c r="O291" s="779"/>
      <c r="P291" s="779"/>
      <c r="Q291" s="779"/>
      <c r="R291" s="779"/>
      <c r="S291" s="780"/>
    </row>
    <row r="292" spans="1:19">
      <c r="A292" s="781">
        <v>43847</v>
      </c>
      <c r="B292" s="782" t="s">
        <v>205</v>
      </c>
      <c r="C292" s="682">
        <v>267.52999999999997</v>
      </c>
      <c r="D292" s="682">
        <v>267.52999999999997</v>
      </c>
      <c r="E292" s="784" t="str">
        <f t="shared" si="17"/>
        <v/>
      </c>
      <c r="F292" s="782" t="str">
        <f t="shared" si="18"/>
        <v>оплачено</v>
      </c>
      <c r="G292" s="785"/>
      <c r="H292" s="789"/>
      <c r="I292" s="779"/>
      <c r="J292" s="779"/>
      <c r="K292" s="779"/>
      <c r="L292" s="779"/>
      <c r="M292" s="791"/>
      <c r="N292" s="779"/>
      <c r="O292" s="779"/>
      <c r="P292" s="779"/>
      <c r="Q292" s="779"/>
      <c r="R292" s="779"/>
      <c r="S292" s="780"/>
    </row>
    <row r="293" spans="1:19">
      <c r="A293" s="781">
        <v>43844</v>
      </c>
      <c r="B293" s="782" t="s">
        <v>29</v>
      </c>
      <c r="C293" s="682">
        <v>152.30000000000001</v>
      </c>
      <c r="D293" s="682">
        <v>152.30000000000001</v>
      </c>
      <c r="E293" s="784" t="str">
        <f t="shared" si="17"/>
        <v/>
      </c>
      <c r="F293" s="782" t="str">
        <f t="shared" si="18"/>
        <v>оплачено</v>
      </c>
      <c r="G293" s="785"/>
      <c r="H293" s="789"/>
      <c r="I293" s="779"/>
      <c r="J293" s="779"/>
      <c r="K293" s="779"/>
      <c r="L293" s="779"/>
      <c r="M293" s="791"/>
      <c r="N293" s="779"/>
      <c r="O293" s="779"/>
      <c r="P293" s="779"/>
      <c r="Q293" s="779"/>
      <c r="R293" s="779"/>
      <c r="S293" s="780"/>
    </row>
    <row r="294" spans="1:19">
      <c r="A294" s="781">
        <v>43844</v>
      </c>
      <c r="B294" s="782" t="s">
        <v>243</v>
      </c>
      <c r="C294" s="682">
        <v>164.25</v>
      </c>
      <c r="D294" s="682">
        <v>164.25</v>
      </c>
      <c r="E294" s="784" t="str">
        <f t="shared" si="17"/>
        <v/>
      </c>
      <c r="F294" s="782" t="str">
        <f t="shared" si="18"/>
        <v>оплачено</v>
      </c>
      <c r="G294" s="785"/>
      <c r="H294" s="789"/>
      <c r="I294" s="779"/>
      <c r="J294" s="779"/>
      <c r="K294" s="779"/>
      <c r="L294" s="779"/>
      <c r="M294" s="791"/>
      <c r="N294" s="779"/>
      <c r="O294" s="779"/>
      <c r="P294" s="779"/>
      <c r="Q294" s="779"/>
      <c r="R294" s="779"/>
      <c r="S294" s="780"/>
    </row>
    <row r="295" spans="1:19">
      <c r="A295" s="781">
        <v>43845</v>
      </c>
      <c r="B295" s="782" t="s">
        <v>212</v>
      </c>
      <c r="C295" s="682">
        <v>43.2</v>
      </c>
      <c r="D295" s="682">
        <v>43.2</v>
      </c>
      <c r="E295" s="784" t="str">
        <f t="shared" si="17"/>
        <v/>
      </c>
      <c r="F295" s="782" t="str">
        <f t="shared" si="18"/>
        <v>оплачено</v>
      </c>
      <c r="G295" s="785"/>
      <c r="H295" s="789"/>
      <c r="I295" s="779"/>
      <c r="J295" s="779"/>
      <c r="K295" s="779"/>
      <c r="L295" s="779"/>
      <c r="M295" s="791"/>
      <c r="N295" s="779"/>
      <c r="O295" s="779"/>
      <c r="P295" s="779"/>
      <c r="Q295" s="779"/>
      <c r="R295" s="779"/>
      <c r="S295" s="780"/>
    </row>
    <row r="296" spans="1:19">
      <c r="A296" s="781"/>
      <c r="B296" s="782"/>
      <c r="C296" s="682"/>
      <c r="D296" s="682"/>
      <c r="E296" s="784" t="str">
        <f t="shared" si="17"/>
        <v/>
      </c>
      <c r="F296" s="782" t="str">
        <f t="shared" si="18"/>
        <v/>
      </c>
      <c r="G296" s="785"/>
      <c r="H296" s="789"/>
      <c r="I296" s="779"/>
      <c r="J296" s="779"/>
      <c r="K296" s="779"/>
      <c r="L296" s="779"/>
      <c r="M296" s="791"/>
      <c r="N296" s="779"/>
      <c r="O296" s="779"/>
      <c r="P296" s="779"/>
      <c r="Q296" s="779"/>
      <c r="R296" s="779"/>
      <c r="S296" s="780"/>
    </row>
    <row r="297" spans="1:19">
      <c r="A297" s="781"/>
      <c r="B297" s="782"/>
      <c r="C297" s="682"/>
      <c r="D297" s="782"/>
      <c r="E297" s="784" t="str">
        <f t="shared" si="17"/>
        <v/>
      </c>
      <c r="F297" s="782" t="str">
        <f t="shared" si="18"/>
        <v/>
      </c>
      <c r="G297" s="785"/>
      <c r="H297" s="789"/>
      <c r="I297" s="779"/>
      <c r="J297" s="779"/>
      <c r="K297" s="779"/>
      <c r="L297" s="779"/>
      <c r="M297" s="791"/>
      <c r="N297" s="779"/>
      <c r="O297" s="779"/>
      <c r="P297" s="779"/>
      <c r="Q297" s="779"/>
      <c r="R297" s="779"/>
      <c r="S297" s="780"/>
    </row>
    <row r="298" spans="1:19">
      <c r="A298" s="781"/>
      <c r="B298" s="782"/>
      <c r="C298" s="682"/>
      <c r="D298" s="782"/>
      <c r="E298" s="784" t="str">
        <f t="shared" si="17"/>
        <v/>
      </c>
      <c r="F298" s="782" t="str">
        <f t="shared" si="18"/>
        <v/>
      </c>
      <c r="G298" s="785"/>
      <c r="H298" s="789"/>
      <c r="I298" s="779"/>
      <c r="J298" s="779"/>
      <c r="K298" s="779"/>
      <c r="L298" s="779"/>
      <c r="M298" s="791"/>
      <c r="N298" s="779"/>
      <c r="O298" s="779"/>
      <c r="P298" s="779"/>
      <c r="Q298" s="779"/>
      <c r="R298" s="779"/>
      <c r="S298" s="780"/>
    </row>
    <row r="299" spans="1:19">
      <c r="A299" s="792"/>
      <c r="B299" s="782"/>
      <c r="C299" s="782"/>
      <c r="D299" s="782"/>
      <c r="E299" s="784" t="str">
        <f t="shared" si="17"/>
        <v/>
      </c>
      <c r="F299" s="782" t="str">
        <f t="shared" si="18"/>
        <v/>
      </c>
      <c r="G299" s="785"/>
      <c r="H299" s="789"/>
      <c r="I299" s="779"/>
      <c r="J299" s="779"/>
      <c r="K299" s="779"/>
      <c r="L299" s="779"/>
      <c r="M299" s="791"/>
      <c r="N299" s="779"/>
      <c r="O299" s="1251" t="s">
        <v>347</v>
      </c>
      <c r="P299" s="1251"/>
      <c r="Q299" s="1251"/>
      <c r="R299" s="779"/>
      <c r="S299" s="780"/>
    </row>
    <row r="300" spans="1:19">
      <c r="A300" s="793"/>
      <c r="B300" s="782"/>
      <c r="C300" s="782"/>
      <c r="D300" s="782"/>
      <c r="E300" s="784" t="str">
        <f t="shared" si="17"/>
        <v/>
      </c>
      <c r="F300" s="782" t="str">
        <f t="shared" si="18"/>
        <v/>
      </c>
      <c r="G300" s="785"/>
      <c r="H300" s="789"/>
      <c r="I300" s="779"/>
      <c r="J300" s="779"/>
      <c r="K300" s="779"/>
      <c r="L300" s="779"/>
      <c r="M300" s="791"/>
      <c r="N300" s="779"/>
      <c r="O300" s="1251"/>
      <c r="P300" s="1251"/>
      <c r="Q300" s="1251"/>
      <c r="R300" s="779"/>
      <c r="S300" s="780"/>
    </row>
    <row r="301" spans="1:19">
      <c r="A301" s="793"/>
      <c r="B301" s="782"/>
      <c r="C301" s="782"/>
      <c r="D301" s="782"/>
      <c r="E301" s="784" t="str">
        <f t="shared" si="17"/>
        <v/>
      </c>
      <c r="F301" s="782" t="str">
        <f t="shared" si="18"/>
        <v/>
      </c>
      <c r="G301" s="785"/>
      <c r="H301" s="789"/>
      <c r="I301" s="779"/>
      <c r="J301" s="779"/>
      <c r="K301" s="779"/>
      <c r="L301" s="779"/>
      <c r="M301" s="791"/>
      <c r="N301" s="779"/>
      <c r="O301" s="1251"/>
      <c r="P301" s="1251"/>
      <c r="Q301" s="1251"/>
      <c r="R301" s="779"/>
      <c r="S301" s="780"/>
    </row>
    <row r="302" spans="1:19">
      <c r="A302" s="792"/>
      <c r="B302" s="782"/>
      <c r="C302" s="782"/>
      <c r="D302" s="782"/>
      <c r="E302" s="784" t="str">
        <f t="shared" si="17"/>
        <v/>
      </c>
      <c r="F302" s="782" t="str">
        <f t="shared" si="18"/>
        <v/>
      </c>
      <c r="G302" s="785"/>
      <c r="H302" s="789"/>
      <c r="I302" s="779"/>
      <c r="J302" s="779"/>
      <c r="K302" s="779"/>
      <c r="L302" s="779"/>
      <c r="M302" s="791"/>
      <c r="N302" s="779"/>
      <c r="O302" s="1251"/>
      <c r="P302" s="1251"/>
      <c r="Q302" s="1251"/>
      <c r="R302" s="779"/>
      <c r="S302" s="780"/>
    </row>
    <row r="303" spans="1:19" ht="15.75" thickBot="1">
      <c r="A303" s="794"/>
      <c r="B303" s="795"/>
      <c r="C303" s="796"/>
      <c r="D303" s="796"/>
      <c r="E303" s="784" t="str">
        <f t="shared" si="17"/>
        <v/>
      </c>
      <c r="F303" s="782" t="str">
        <f t="shared" si="18"/>
        <v/>
      </c>
      <c r="G303" s="797"/>
      <c r="H303" s="789"/>
      <c r="I303" s="779"/>
      <c r="J303" s="779"/>
      <c r="K303" s="779"/>
      <c r="L303" s="779"/>
      <c r="M303" s="791"/>
      <c r="N303" s="779"/>
      <c r="O303" s="1251"/>
      <c r="P303" s="1251"/>
      <c r="Q303" s="1251"/>
      <c r="R303" s="779"/>
      <c r="S303" s="780"/>
    </row>
    <row r="304" spans="1:19" ht="15.75" thickTop="1">
      <c r="A304" s="798"/>
      <c r="B304" s="799"/>
      <c r="C304" s="800"/>
      <c r="D304" s="800"/>
      <c r="E304" s="801"/>
      <c r="F304" s="799"/>
      <c r="G304" s="802"/>
      <c r="H304" s="1225" t="s">
        <v>16</v>
      </c>
      <c r="I304" s="1227" t="s">
        <v>17</v>
      </c>
      <c r="J304" s="1227" t="s">
        <v>21</v>
      </c>
      <c r="K304" s="1227"/>
      <c r="L304" s="1229" t="s">
        <v>93</v>
      </c>
      <c r="M304" s="1231" t="s">
        <v>95</v>
      </c>
      <c r="N304" s="779"/>
      <c r="O304" s="1251"/>
      <c r="P304" s="1251"/>
      <c r="Q304" s="1251"/>
      <c r="R304" s="779"/>
      <c r="S304" s="780"/>
    </row>
    <row r="305" spans="1:19" ht="24">
      <c r="A305" s="803"/>
      <c r="B305" s="804"/>
      <c r="C305" s="804"/>
      <c r="D305" s="804"/>
      <c r="E305" s="805"/>
      <c r="F305" s="804"/>
      <c r="G305" s="804"/>
      <c r="H305" s="1226"/>
      <c r="I305" s="1228"/>
      <c r="J305" s="806" t="s">
        <v>21</v>
      </c>
      <c r="K305" s="806" t="s">
        <v>25</v>
      </c>
      <c r="L305" s="1230"/>
      <c r="M305" s="1232"/>
      <c r="N305" s="779"/>
      <c r="O305" s="1251"/>
      <c r="P305" s="1251"/>
      <c r="Q305" s="1251"/>
      <c r="R305" s="779"/>
      <c r="S305" s="780"/>
    </row>
    <row r="306" spans="1:19">
      <c r="A306" s="807"/>
      <c r="B306" s="808"/>
      <c r="C306" s="809"/>
      <c r="D306" s="810"/>
      <c r="E306" s="790"/>
      <c r="F306" s="808"/>
      <c r="G306" s="808"/>
      <c r="H306" s="811" t="s">
        <v>18</v>
      </c>
      <c r="I306" s="812">
        <v>32809.9</v>
      </c>
      <c r="J306" s="812">
        <v>1675.7199999999998</v>
      </c>
      <c r="K306" s="813">
        <v>1047.01</v>
      </c>
      <c r="L306" s="814">
        <v>52152</v>
      </c>
      <c r="M306" s="815">
        <f>82159.79-I306-J306-K306+L306</f>
        <v>98779.159999999989</v>
      </c>
      <c r="N306" s="779"/>
      <c r="O306" s="1251"/>
      <c r="P306" s="1251"/>
      <c r="Q306" s="1251"/>
      <c r="R306" s="779"/>
      <c r="S306" s="780"/>
    </row>
    <row r="307" spans="1:19">
      <c r="A307" s="816"/>
      <c r="B307" s="808"/>
      <c r="C307" s="808"/>
      <c r="D307" s="817"/>
      <c r="E307" s="779"/>
      <c r="F307" s="790"/>
      <c r="G307" s="779"/>
      <c r="H307" s="811" t="s">
        <v>19</v>
      </c>
      <c r="I307" s="812">
        <v>35259.58</v>
      </c>
      <c r="J307" s="812">
        <v>1363.3000000000002</v>
      </c>
      <c r="K307" s="812">
        <v>1176.05</v>
      </c>
      <c r="L307" s="814">
        <v>40465.950000000004</v>
      </c>
      <c r="M307" s="815">
        <f t="shared" ref="M307:M313" si="19">M306-I307-J307-K307+L307</f>
        <v>101446.18</v>
      </c>
      <c r="N307" s="779"/>
      <c r="O307" s="1251"/>
      <c r="P307" s="1251"/>
      <c r="Q307" s="1251"/>
      <c r="R307" s="779"/>
      <c r="S307" s="780"/>
    </row>
    <row r="308" spans="1:19">
      <c r="A308" s="816"/>
      <c r="B308" s="779"/>
      <c r="C308" s="808"/>
      <c r="D308" s="817"/>
      <c r="E308" s="779"/>
      <c r="F308" s="779"/>
      <c r="G308" s="779"/>
      <c r="H308" s="811" t="s">
        <v>20</v>
      </c>
      <c r="I308" s="818">
        <v>34690.219999999994</v>
      </c>
      <c r="J308" s="812">
        <v>1209.3000000000002</v>
      </c>
      <c r="K308" s="603">
        <v>1213.33</v>
      </c>
      <c r="L308" s="603">
        <v>19306</v>
      </c>
      <c r="M308" s="815">
        <f t="shared" si="19"/>
        <v>83639.329999999987</v>
      </c>
      <c r="N308" s="779"/>
      <c r="O308" s="1251"/>
      <c r="P308" s="1251"/>
      <c r="Q308" s="1251"/>
      <c r="R308" s="779"/>
      <c r="S308" s="780"/>
    </row>
    <row r="309" spans="1:19">
      <c r="A309" s="816"/>
      <c r="B309" s="779"/>
      <c r="C309" s="819"/>
      <c r="D309" s="817"/>
      <c r="E309" s="779"/>
      <c r="F309" s="779"/>
      <c r="G309" s="790"/>
      <c r="H309" s="811" t="s">
        <v>148</v>
      </c>
      <c r="I309" s="603">
        <v>30955.479999999996</v>
      </c>
      <c r="J309" s="813">
        <v>3184.46</v>
      </c>
      <c r="K309" s="813">
        <v>1035.6600000000001</v>
      </c>
      <c r="L309" s="603">
        <v>59195.5</v>
      </c>
      <c r="M309" s="815">
        <f t="shared" si="19"/>
        <v>107659.22999999998</v>
      </c>
      <c r="N309" s="779"/>
      <c r="O309" s="1251"/>
      <c r="P309" s="1251"/>
      <c r="Q309" s="1251"/>
      <c r="R309" s="779"/>
      <c r="S309" s="780"/>
    </row>
    <row r="310" spans="1:19">
      <c r="A310" s="816"/>
      <c r="B310" s="808"/>
      <c r="C310" s="779"/>
      <c r="D310" s="817"/>
      <c r="E310" s="779"/>
      <c r="F310" s="779"/>
      <c r="G310" s="779"/>
      <c r="H310" s="811" t="s">
        <v>162</v>
      </c>
      <c r="I310" s="813">
        <v>31239.439999999995</v>
      </c>
      <c r="J310" s="603">
        <v>2443.4</v>
      </c>
      <c r="K310" s="813">
        <v>1496.52</v>
      </c>
      <c r="L310" s="603">
        <v>40132</v>
      </c>
      <c r="M310" s="815">
        <f t="shared" si="19"/>
        <v>112611.86999999998</v>
      </c>
      <c r="N310" s="779"/>
      <c r="O310" s="1251"/>
      <c r="P310" s="1251"/>
      <c r="Q310" s="1251"/>
      <c r="R310" s="779"/>
      <c r="S310" s="780"/>
    </row>
    <row r="311" spans="1:19">
      <c r="A311" s="816"/>
      <c r="B311" s="808"/>
      <c r="C311" s="779"/>
      <c r="D311" s="817"/>
      <c r="E311" s="779"/>
      <c r="F311" s="779"/>
      <c r="G311" s="779"/>
      <c r="H311" s="820" t="s">
        <v>163</v>
      </c>
      <c r="I311" s="821">
        <v>28986.99</v>
      </c>
      <c r="J311" s="822">
        <v>6271.4999999999991</v>
      </c>
      <c r="K311" s="823">
        <v>1046.56</v>
      </c>
      <c r="L311" s="823">
        <v>22678.1</v>
      </c>
      <c r="M311" s="815">
        <f t="shared" si="19"/>
        <v>98984.919999999984</v>
      </c>
      <c r="N311" s="779"/>
      <c r="O311" s="1251"/>
      <c r="P311" s="1251"/>
      <c r="Q311" s="1251"/>
      <c r="R311" s="779"/>
      <c r="S311" s="780"/>
    </row>
    <row r="312" spans="1:19">
      <c r="A312" s="816"/>
      <c r="B312" s="808"/>
      <c r="C312" s="779"/>
      <c r="D312" s="817"/>
      <c r="E312" s="779"/>
      <c r="F312" s="779"/>
      <c r="G312" s="779"/>
      <c r="H312" s="820" t="s">
        <v>192</v>
      </c>
      <c r="I312" s="821">
        <v>31654.69</v>
      </c>
      <c r="J312" s="822">
        <v>7124.02</v>
      </c>
      <c r="K312" s="823">
        <v>1268.5600000000002</v>
      </c>
      <c r="L312" s="823">
        <v>32888</v>
      </c>
      <c r="M312" s="815">
        <f t="shared" si="19"/>
        <v>91825.64999999998</v>
      </c>
      <c r="N312" s="779"/>
      <c r="O312" s="1251"/>
      <c r="P312" s="1251"/>
      <c r="Q312" s="1251"/>
      <c r="R312" s="779"/>
      <c r="S312" s="780"/>
    </row>
    <row r="313" spans="1:19" ht="15.75" thickBot="1">
      <c r="A313" s="816"/>
      <c r="B313" s="808"/>
      <c r="C313" s="779"/>
      <c r="D313" s="817"/>
      <c r="E313" s="779"/>
      <c r="F313" s="779"/>
      <c r="G313" s="779"/>
      <c r="H313" s="820" t="s">
        <v>199</v>
      </c>
      <c r="I313" s="821">
        <v>28891.4</v>
      </c>
      <c r="J313" s="822">
        <v>8339.34</v>
      </c>
      <c r="K313" s="823">
        <v>1307.53</v>
      </c>
      <c r="L313" s="823">
        <v>36419</v>
      </c>
      <c r="M313" s="815">
        <f t="shared" si="19"/>
        <v>89706.379999999976</v>
      </c>
      <c r="N313" s="779"/>
      <c r="O313" s="1251"/>
      <c r="P313" s="1251"/>
      <c r="Q313" s="1251"/>
      <c r="R313" s="779"/>
      <c r="S313" s="780"/>
    </row>
    <row r="314" spans="1:19" ht="15.75" thickTop="1">
      <c r="A314" s="816"/>
      <c r="B314" s="808"/>
      <c r="C314" s="779"/>
      <c r="D314" s="817"/>
      <c r="E314" s="790"/>
      <c r="F314" s="779"/>
      <c r="G314" s="779"/>
      <c r="H314" s="1233" t="s">
        <v>36</v>
      </c>
      <c r="I314" s="1235" t="s">
        <v>178</v>
      </c>
      <c r="J314" s="1236"/>
      <c r="K314" s="1237"/>
      <c r="L314" s="1241" t="s">
        <v>159</v>
      </c>
      <c r="M314" s="1242"/>
      <c r="N314" s="779"/>
      <c r="O314" s="1251"/>
      <c r="P314" s="1251"/>
      <c r="Q314" s="1251"/>
      <c r="R314" s="779"/>
      <c r="S314" s="780"/>
    </row>
    <row r="315" spans="1:19">
      <c r="A315" s="816"/>
      <c r="B315" s="808"/>
      <c r="C315" s="819"/>
      <c r="D315" s="817"/>
      <c r="E315" s="819"/>
      <c r="F315" s="779"/>
      <c r="G315" s="824"/>
      <c r="H315" s="1234"/>
      <c r="I315" s="1238"/>
      <c r="J315" s="1239"/>
      <c r="K315" s="1240"/>
      <c r="L315" s="1243"/>
      <c r="M315" s="1244"/>
      <c r="N315" s="779"/>
      <c r="O315" s="779"/>
      <c r="P315" s="779"/>
      <c r="Q315" s="779"/>
      <c r="R315" s="779"/>
      <c r="S315" s="780"/>
    </row>
    <row r="316" spans="1:19">
      <c r="A316" s="816"/>
      <c r="B316" s="808"/>
      <c r="C316" s="808"/>
      <c r="D316" s="817"/>
      <c r="E316" s="808"/>
      <c r="F316" s="779"/>
      <c r="G316" s="824"/>
      <c r="H316" s="825" t="s">
        <v>91</v>
      </c>
      <c r="I316" s="1245" t="s">
        <v>47</v>
      </c>
      <c r="J316" s="1245"/>
      <c r="K316" s="826">
        <v>288.75</v>
      </c>
      <c r="L316" s="827">
        <v>43845</v>
      </c>
      <c r="M316" s="791" t="s">
        <v>171</v>
      </c>
      <c r="N316" s="779"/>
      <c r="O316" s="779"/>
      <c r="P316" s="779"/>
      <c r="Q316" s="779"/>
      <c r="R316" s="779"/>
      <c r="S316" s="780"/>
    </row>
    <row r="317" spans="1:19">
      <c r="A317" s="816"/>
      <c r="B317" s="779"/>
      <c r="C317" s="828"/>
      <c r="D317" s="817"/>
      <c r="E317" s="828"/>
      <c r="F317" s="779"/>
      <c r="G317" s="779"/>
      <c r="H317" s="825" t="s">
        <v>91</v>
      </c>
      <c r="I317" s="1246" t="s">
        <v>51</v>
      </c>
      <c r="J317" s="1246"/>
      <c r="K317" s="778">
        <v>60.19</v>
      </c>
      <c r="L317" s="827">
        <v>43845</v>
      </c>
      <c r="M317" s="791" t="s">
        <v>171</v>
      </c>
      <c r="N317" s="779"/>
      <c r="O317" s="779"/>
      <c r="P317" s="779"/>
      <c r="Q317" s="779"/>
      <c r="R317" s="779"/>
      <c r="S317" s="780"/>
    </row>
    <row r="318" spans="1:19">
      <c r="A318" s="829"/>
      <c r="B318" s="779"/>
      <c r="C318" s="779"/>
      <c r="D318" s="817"/>
      <c r="E318" s="808"/>
      <c r="F318" s="779"/>
      <c r="G318" s="779"/>
      <c r="H318" s="825" t="s">
        <v>91</v>
      </c>
      <c r="I318" s="1246" t="s">
        <v>52</v>
      </c>
      <c r="J318" s="1246"/>
      <c r="K318" s="778">
        <v>4.95</v>
      </c>
      <c r="L318" s="827">
        <v>43845</v>
      </c>
      <c r="M318" s="791" t="s">
        <v>171</v>
      </c>
      <c r="N318" s="779"/>
      <c r="O318" s="779"/>
      <c r="P318" s="779"/>
      <c r="Q318" s="779"/>
      <c r="R318" s="779"/>
      <c r="S318" s="780"/>
    </row>
    <row r="319" spans="1:19">
      <c r="A319" s="829"/>
      <c r="B319" s="779"/>
      <c r="C319" s="779"/>
      <c r="D319" s="817"/>
      <c r="E319" s="779"/>
      <c r="F319" s="779"/>
      <c r="G319" s="779"/>
      <c r="H319" s="825" t="s">
        <v>91</v>
      </c>
      <c r="I319" s="1246" t="s">
        <v>49</v>
      </c>
      <c r="J319" s="1246"/>
      <c r="K319" s="778">
        <v>257</v>
      </c>
      <c r="L319" s="827">
        <v>43850</v>
      </c>
      <c r="M319" s="791" t="s">
        <v>237</v>
      </c>
      <c r="N319" s="779"/>
      <c r="O319" s="779"/>
      <c r="P319" s="779"/>
      <c r="Q319" s="779"/>
      <c r="R319" s="779"/>
      <c r="S319" s="780"/>
    </row>
    <row r="320" spans="1:19">
      <c r="A320" s="829"/>
      <c r="B320" s="779"/>
      <c r="C320" s="779"/>
      <c r="D320" s="817"/>
      <c r="E320" s="779"/>
      <c r="F320" s="779"/>
      <c r="G320" s="779"/>
      <c r="H320" s="825" t="s">
        <v>91</v>
      </c>
      <c r="I320" s="1247" t="s">
        <v>59</v>
      </c>
      <c r="J320" s="1247"/>
      <c r="K320" s="830">
        <v>1101.6300000000001</v>
      </c>
      <c r="L320" s="831" t="s">
        <v>177</v>
      </c>
      <c r="M320" s="791" t="s">
        <v>171</v>
      </c>
      <c r="N320" s="779"/>
      <c r="O320" s="779"/>
      <c r="P320" s="779"/>
      <c r="Q320" s="779"/>
      <c r="R320" s="779"/>
      <c r="S320" s="780"/>
    </row>
    <row r="321" spans="1:19">
      <c r="A321" s="829"/>
      <c r="B321" s="808"/>
      <c r="C321" s="808"/>
      <c r="D321" s="817"/>
      <c r="E321" s="808"/>
      <c r="F321" s="779"/>
      <c r="G321" s="779"/>
      <c r="H321" s="825" t="s">
        <v>91</v>
      </c>
      <c r="I321" s="1248" t="s">
        <v>68</v>
      </c>
      <c r="J321" s="1249"/>
      <c r="K321" s="778">
        <v>338.19</v>
      </c>
      <c r="L321" s="827">
        <v>43850</v>
      </c>
      <c r="M321" s="791" t="s">
        <v>171</v>
      </c>
      <c r="N321" s="779"/>
      <c r="O321" s="779"/>
      <c r="P321" s="779"/>
      <c r="Q321" s="779"/>
      <c r="R321" s="779"/>
      <c r="S321" s="780"/>
    </row>
    <row r="322" spans="1:19">
      <c r="A322" s="829"/>
      <c r="B322" s="808"/>
      <c r="C322" s="779"/>
      <c r="D322" s="817"/>
      <c r="E322" s="808"/>
      <c r="F322" s="779"/>
      <c r="G322" s="779"/>
      <c r="H322" s="825" t="s">
        <v>91</v>
      </c>
      <c r="I322" s="832" t="s">
        <v>174</v>
      </c>
      <c r="J322" s="833"/>
      <c r="K322" s="778">
        <f>298.1+160.36</f>
        <v>458.46000000000004</v>
      </c>
      <c r="L322" s="827">
        <v>43845</v>
      </c>
      <c r="M322" s="791" t="s">
        <v>171</v>
      </c>
      <c r="N322" s="779"/>
      <c r="O322" s="779"/>
      <c r="P322" s="779"/>
      <c r="Q322" s="779"/>
      <c r="R322" s="779"/>
      <c r="S322" s="780"/>
    </row>
    <row r="323" spans="1:19">
      <c r="A323" s="829"/>
      <c r="B323" s="808"/>
      <c r="C323" s="779"/>
      <c r="D323" s="817"/>
      <c r="E323" s="808"/>
      <c r="F323" s="779"/>
      <c r="G323" s="779"/>
      <c r="H323" s="825" t="s">
        <v>91</v>
      </c>
      <c r="I323" s="832" t="s">
        <v>176</v>
      </c>
      <c r="J323" s="833"/>
      <c r="K323" s="778">
        <v>474.46</v>
      </c>
      <c r="L323" s="827">
        <v>43849</v>
      </c>
      <c r="M323" s="791" t="s">
        <v>171</v>
      </c>
      <c r="N323" s="779"/>
      <c r="O323" s="779"/>
      <c r="P323" s="779"/>
      <c r="Q323" s="779"/>
      <c r="R323" s="779"/>
      <c r="S323" s="780"/>
    </row>
    <row r="324" spans="1:19">
      <c r="A324" s="829"/>
      <c r="B324" s="808"/>
      <c r="C324" s="779"/>
      <c r="D324" s="817"/>
      <c r="E324" s="810"/>
      <c r="F324" s="779"/>
      <c r="G324" s="779"/>
      <c r="H324" s="825" t="s">
        <v>91</v>
      </c>
      <c r="I324" s="1248" t="s">
        <v>81</v>
      </c>
      <c r="J324" s="1249"/>
      <c r="K324" s="778">
        <v>1496.82</v>
      </c>
      <c r="L324" s="827">
        <v>43845</v>
      </c>
      <c r="M324" s="791" t="s">
        <v>171</v>
      </c>
      <c r="N324" s="779"/>
      <c r="O324" s="779"/>
      <c r="P324" s="779"/>
      <c r="Q324" s="779"/>
      <c r="R324" s="779"/>
      <c r="S324" s="780"/>
    </row>
    <row r="325" spans="1:19">
      <c r="A325" s="829"/>
      <c r="B325" s="808"/>
      <c r="C325" s="779"/>
      <c r="D325" s="817"/>
      <c r="E325" s="810"/>
      <c r="F325" s="779"/>
      <c r="G325" s="779"/>
      <c r="H325" s="825" t="s">
        <v>91</v>
      </c>
      <c r="I325" s="1248" t="s">
        <v>181</v>
      </c>
      <c r="J325" s="1249"/>
      <c r="K325" s="778">
        <v>10</v>
      </c>
      <c r="L325" s="827">
        <v>43845</v>
      </c>
      <c r="M325" s="791" t="s">
        <v>171</v>
      </c>
      <c r="N325" s="779"/>
      <c r="O325" s="779"/>
      <c r="P325" s="779"/>
      <c r="Q325" s="779"/>
      <c r="R325" s="779"/>
      <c r="S325" s="780"/>
    </row>
    <row r="326" spans="1:19">
      <c r="A326" s="829"/>
      <c r="B326" s="808"/>
      <c r="C326" s="779"/>
      <c r="D326" s="817"/>
      <c r="E326" s="810"/>
      <c r="F326" s="779"/>
      <c r="G326" s="779"/>
      <c r="H326" s="825" t="s">
        <v>91</v>
      </c>
      <c r="I326" s="1247" t="s">
        <v>61</v>
      </c>
      <c r="J326" s="1247"/>
      <c r="K326" s="778">
        <f>J289</f>
        <v>2957.59</v>
      </c>
      <c r="L326" s="827">
        <v>43850</v>
      </c>
      <c r="M326" s="791" t="s">
        <v>171</v>
      </c>
      <c r="N326" s="779"/>
      <c r="O326" s="779"/>
      <c r="P326" s="779"/>
      <c r="Q326" s="779"/>
      <c r="R326" s="779"/>
      <c r="S326" s="780"/>
    </row>
    <row r="327" spans="1:19" ht="15.75" thickBot="1">
      <c r="A327" s="834"/>
      <c r="B327" s="835"/>
      <c r="C327" s="836"/>
      <c r="D327" s="837"/>
      <c r="E327" s="835"/>
      <c r="F327" s="836"/>
      <c r="G327" s="836"/>
      <c r="H327" s="838"/>
      <c r="I327" s="836" t="s">
        <v>179</v>
      </c>
      <c r="J327" s="836">
        <f>SUM(K316:K326)</f>
        <v>7448.04</v>
      </c>
      <c r="K327" s="1252" t="s">
        <v>180</v>
      </c>
      <c r="L327" s="1252"/>
      <c r="M327" s="839">
        <v>0</v>
      </c>
      <c r="N327" s="779"/>
      <c r="O327" s="779"/>
      <c r="P327" s="779"/>
      <c r="Q327" s="779"/>
      <c r="R327" s="779"/>
      <c r="S327" s="780"/>
    </row>
    <row r="328" spans="1:19" ht="15.75" thickTop="1">
      <c r="A328" s="829"/>
      <c r="B328" s="779"/>
      <c r="C328" s="779"/>
      <c r="D328" s="779"/>
      <c r="E328" s="779"/>
      <c r="F328" s="779"/>
      <c r="G328" s="779"/>
      <c r="H328" s="1253"/>
      <c r="I328" s="1253"/>
      <c r="J328" s="1253"/>
      <c r="K328" s="1253"/>
      <c r="L328" s="779"/>
      <c r="M328" s="840"/>
      <c r="N328" s="779"/>
      <c r="O328" s="779"/>
      <c r="P328" s="779"/>
      <c r="Q328" s="779"/>
      <c r="R328" s="779"/>
      <c r="S328" s="780"/>
    </row>
    <row r="329" spans="1:19">
      <c r="A329" s="829"/>
      <c r="B329" s="1254" t="s">
        <v>238</v>
      </c>
      <c r="C329" s="1254"/>
      <c r="D329" s="1254"/>
      <c r="E329" s="1254"/>
      <c r="F329" s="1254"/>
      <c r="G329" s="1254"/>
      <c r="H329" s="1254"/>
      <c r="I329" s="1254"/>
      <c r="J329" s="1254"/>
      <c r="K329" s="1254"/>
      <c r="L329" s="779"/>
      <c r="M329" s="840"/>
      <c r="N329" s="779"/>
      <c r="O329" s="779"/>
      <c r="P329" s="779"/>
      <c r="Q329" s="779"/>
      <c r="R329" s="779"/>
      <c r="S329" s="780"/>
    </row>
    <row r="330" spans="1:19" ht="15.75" thickBot="1">
      <c r="A330" s="829"/>
      <c r="B330" s="1255"/>
      <c r="C330" s="1255"/>
      <c r="D330" s="1255"/>
      <c r="E330" s="1255"/>
      <c r="F330" s="1255"/>
      <c r="G330" s="1255"/>
      <c r="H330" s="1255"/>
      <c r="I330" s="1255"/>
      <c r="J330" s="1255"/>
      <c r="K330" s="1255"/>
      <c r="L330" s="779"/>
      <c r="M330" s="779"/>
      <c r="N330" s="779"/>
      <c r="O330" s="779"/>
      <c r="P330" s="779"/>
      <c r="Q330" s="779"/>
      <c r="R330" s="779"/>
      <c r="S330" s="780"/>
    </row>
    <row r="331" spans="1:19" ht="15.75" thickTop="1">
      <c r="A331" s="1256" t="s">
        <v>28</v>
      </c>
      <c r="B331" s="1257"/>
      <c r="C331" s="1257"/>
      <c r="D331" s="1257"/>
      <c r="E331" s="1257"/>
      <c r="F331" s="1257"/>
      <c r="G331" s="1258"/>
      <c r="H331" s="1259" t="s">
        <v>202</v>
      </c>
      <c r="I331" s="1260"/>
      <c r="J331" s="1260"/>
      <c r="K331" s="1260"/>
      <c r="L331" s="1260"/>
      <c r="M331" s="1261"/>
      <c r="N331" s="779"/>
      <c r="O331" s="779"/>
      <c r="P331" s="779"/>
      <c r="Q331" s="779"/>
      <c r="R331" s="779"/>
      <c r="S331" s="780"/>
    </row>
    <row r="332" spans="1:19">
      <c r="A332" s="774" t="s">
        <v>2</v>
      </c>
      <c r="B332" s="775" t="s">
        <v>34</v>
      </c>
      <c r="C332" s="776" t="s">
        <v>35</v>
      </c>
      <c r="D332" s="776" t="s">
        <v>38</v>
      </c>
      <c r="E332" s="776" t="s">
        <v>42</v>
      </c>
      <c r="F332" s="775" t="s">
        <v>36</v>
      </c>
      <c r="G332" s="777" t="s">
        <v>173</v>
      </c>
      <c r="H332" s="789"/>
      <c r="I332" s="778" t="s">
        <v>35</v>
      </c>
      <c r="J332" s="778" t="s">
        <v>38</v>
      </c>
      <c r="K332" s="778" t="s">
        <v>42</v>
      </c>
      <c r="L332" s="841" t="s">
        <v>44</v>
      </c>
      <c r="M332" s="842"/>
      <c r="N332" s="779"/>
      <c r="O332" s="779"/>
      <c r="P332" s="779"/>
      <c r="Q332" s="779"/>
      <c r="R332" s="779"/>
      <c r="S332" s="780"/>
    </row>
    <row r="333" spans="1:19">
      <c r="A333" s="781">
        <v>43835</v>
      </c>
      <c r="B333" s="782" t="s">
        <v>235</v>
      </c>
      <c r="C333" s="783">
        <v>679.7</v>
      </c>
      <c r="D333" s="783">
        <v>679.7</v>
      </c>
      <c r="E333" s="784" t="str">
        <f>IF(C333-D333=0,"",C333-D333)</f>
        <v/>
      </c>
      <c r="F333" s="782" t="str">
        <f t="shared" ref="F333:F349" si="20">IF(C333=0,"",IF(C333-D333=0,"оплачено","ОЖИДАЕТСЯ оплата"))</f>
        <v>оплачено</v>
      </c>
      <c r="G333" s="785"/>
      <c r="H333" s="789"/>
      <c r="I333" s="786">
        <v>703.01</v>
      </c>
      <c r="J333" s="786">
        <v>703.01</v>
      </c>
      <c r="K333" s="784">
        <f>I333-J333</f>
        <v>0</v>
      </c>
      <c r="L333" s="602">
        <v>43851</v>
      </c>
      <c r="M333" s="843"/>
      <c r="N333" s="779"/>
      <c r="O333" s="779"/>
      <c r="P333" s="779"/>
      <c r="Q333" s="779"/>
      <c r="R333" s="779"/>
      <c r="S333" s="780"/>
    </row>
    <row r="334" spans="1:19">
      <c r="A334" s="781">
        <v>43839</v>
      </c>
      <c r="B334" s="782" t="s">
        <v>205</v>
      </c>
      <c r="C334" s="783">
        <v>412.54</v>
      </c>
      <c r="D334" s="783">
        <v>412.54</v>
      </c>
      <c r="E334" s="784"/>
      <c r="F334" s="782" t="str">
        <f t="shared" si="20"/>
        <v>оплачено</v>
      </c>
      <c r="G334" s="785"/>
      <c r="H334" s="789"/>
      <c r="I334" s="844"/>
      <c r="J334" s="844"/>
      <c r="K334" s="845"/>
      <c r="L334" s="846"/>
      <c r="M334" s="843"/>
      <c r="N334" s="779"/>
      <c r="O334" s="779"/>
      <c r="P334" s="779"/>
      <c r="Q334" s="779"/>
      <c r="R334" s="779"/>
      <c r="S334" s="780"/>
    </row>
    <row r="335" spans="1:19">
      <c r="A335" s="781">
        <v>43844</v>
      </c>
      <c r="B335" s="782" t="s">
        <v>29</v>
      </c>
      <c r="C335" s="682">
        <v>230.2</v>
      </c>
      <c r="D335" s="682">
        <v>230.2</v>
      </c>
      <c r="E335" s="784"/>
      <c r="F335" s="782" t="str">
        <f t="shared" si="20"/>
        <v>оплачено</v>
      </c>
      <c r="G335" s="785"/>
      <c r="H335" s="789"/>
      <c r="I335" s="779"/>
      <c r="J335" s="779"/>
      <c r="K335" s="779"/>
      <c r="L335" s="779"/>
      <c r="M335" s="791"/>
      <c r="N335" s="779"/>
      <c r="O335" s="779"/>
      <c r="P335" s="779"/>
      <c r="Q335" s="779"/>
      <c r="R335" s="779"/>
      <c r="S335" s="780"/>
    </row>
    <row r="336" spans="1:19">
      <c r="A336" s="781">
        <v>43852</v>
      </c>
      <c r="B336" s="782" t="s">
        <v>29</v>
      </c>
      <c r="C336" s="783">
        <v>330.3</v>
      </c>
      <c r="D336" s="783">
        <v>330.3</v>
      </c>
      <c r="E336" s="784"/>
      <c r="F336" s="782" t="str">
        <f t="shared" si="20"/>
        <v>оплачено</v>
      </c>
      <c r="G336" s="785"/>
      <c r="H336" s="789"/>
      <c r="I336" s="779"/>
      <c r="J336" s="779"/>
      <c r="K336" s="779"/>
      <c r="L336" s="779"/>
      <c r="M336" s="791"/>
      <c r="N336" s="779"/>
      <c r="O336" s="779"/>
      <c r="P336" s="779"/>
      <c r="Q336" s="779"/>
      <c r="R336" s="779"/>
      <c r="S336" s="780"/>
    </row>
    <row r="337" spans="1:19">
      <c r="A337" s="781">
        <v>43859</v>
      </c>
      <c r="B337" s="782" t="s">
        <v>212</v>
      </c>
      <c r="C337" s="783">
        <v>445.5</v>
      </c>
      <c r="D337" s="783">
        <v>445.5</v>
      </c>
      <c r="E337" s="784"/>
      <c r="F337" s="782" t="str">
        <f t="shared" si="20"/>
        <v>оплачено</v>
      </c>
      <c r="G337" s="785"/>
      <c r="H337" s="789"/>
      <c r="I337" s="779"/>
      <c r="J337" s="779"/>
      <c r="K337" s="779"/>
      <c r="L337" s="779"/>
      <c r="M337" s="791"/>
      <c r="N337" s="779"/>
      <c r="O337" s="779"/>
      <c r="P337" s="779"/>
      <c r="Q337" s="779"/>
      <c r="R337" s="779"/>
      <c r="S337" s="780"/>
    </row>
    <row r="338" spans="1:19">
      <c r="A338" s="781"/>
      <c r="B338" s="782"/>
      <c r="C338" s="682"/>
      <c r="D338" s="682"/>
      <c r="E338" s="784"/>
      <c r="F338" s="782" t="str">
        <f t="shared" si="20"/>
        <v/>
      </c>
      <c r="G338" s="785"/>
      <c r="H338" s="789"/>
      <c r="I338" s="779"/>
      <c r="J338" s="779"/>
      <c r="K338" s="779"/>
      <c r="L338" s="779"/>
      <c r="M338" s="791"/>
      <c r="N338" s="779"/>
      <c r="O338" s="779"/>
      <c r="P338" s="779"/>
      <c r="Q338" s="779"/>
      <c r="R338" s="779"/>
      <c r="S338" s="780"/>
    </row>
    <row r="339" spans="1:19">
      <c r="A339" s="781"/>
      <c r="B339" s="782"/>
      <c r="C339" s="682"/>
      <c r="D339" s="682"/>
      <c r="E339" s="784"/>
      <c r="F339" s="782" t="str">
        <f t="shared" si="20"/>
        <v/>
      </c>
      <c r="G339" s="785"/>
      <c r="H339" s="789"/>
      <c r="I339" s="779"/>
      <c r="J339" s="779"/>
      <c r="K339" s="779"/>
      <c r="L339" s="779"/>
      <c r="M339" s="791"/>
      <c r="N339" s="779"/>
      <c r="O339" s="779"/>
      <c r="P339" s="779"/>
      <c r="Q339" s="779"/>
      <c r="R339" s="779"/>
      <c r="S339" s="780"/>
    </row>
    <row r="340" spans="1:19">
      <c r="A340" s="781"/>
      <c r="B340" s="782"/>
      <c r="C340" s="682"/>
      <c r="D340" s="682"/>
      <c r="E340" s="784"/>
      <c r="F340" s="782" t="str">
        <f t="shared" si="20"/>
        <v/>
      </c>
      <c r="G340" s="785"/>
      <c r="H340" s="789"/>
      <c r="I340" s="779"/>
      <c r="J340" s="779"/>
      <c r="K340" s="779"/>
      <c r="L340" s="779"/>
      <c r="M340" s="791"/>
      <c r="N340" s="779"/>
      <c r="O340" s="779"/>
      <c r="P340" s="779"/>
      <c r="Q340" s="779"/>
      <c r="R340" s="779"/>
      <c r="S340" s="780"/>
    </row>
    <row r="341" spans="1:19">
      <c r="A341" s="781"/>
      <c r="B341" s="782"/>
      <c r="C341" s="682"/>
      <c r="D341" s="682"/>
      <c r="E341" s="784"/>
      <c r="F341" s="782" t="str">
        <f t="shared" si="20"/>
        <v/>
      </c>
      <c r="G341" s="785"/>
      <c r="H341" s="789"/>
      <c r="I341" s="779"/>
      <c r="J341" s="779"/>
      <c r="K341" s="779"/>
      <c r="L341" s="779"/>
      <c r="M341" s="791"/>
      <c r="N341" s="779"/>
      <c r="O341" s="779"/>
      <c r="P341" s="779"/>
      <c r="Q341" s="779"/>
      <c r="R341" s="779"/>
      <c r="S341" s="780"/>
    </row>
    <row r="342" spans="1:19">
      <c r="A342" s="781"/>
      <c r="B342" s="782"/>
      <c r="C342" s="682"/>
      <c r="D342" s="782"/>
      <c r="E342" s="784"/>
      <c r="F342" s="782" t="str">
        <f t="shared" si="20"/>
        <v/>
      </c>
      <c r="G342" s="785"/>
      <c r="H342" s="789"/>
      <c r="I342" s="779"/>
      <c r="J342" s="779"/>
      <c r="K342" s="779"/>
      <c r="L342" s="779"/>
      <c r="M342" s="791"/>
      <c r="N342" s="779"/>
      <c r="O342" s="779"/>
      <c r="P342" s="779"/>
      <c r="Q342" s="779"/>
      <c r="R342" s="779"/>
      <c r="S342" s="780"/>
    </row>
    <row r="343" spans="1:19">
      <c r="A343" s="781"/>
      <c r="B343" s="782"/>
      <c r="C343" s="682"/>
      <c r="D343" s="782"/>
      <c r="E343" s="784"/>
      <c r="F343" s="782" t="str">
        <f t="shared" si="20"/>
        <v/>
      </c>
      <c r="G343" s="785"/>
      <c r="H343" s="789"/>
      <c r="I343" s="779"/>
      <c r="J343" s="779"/>
      <c r="K343" s="779"/>
      <c r="L343" s="779"/>
      <c r="M343" s="791"/>
      <c r="N343" s="779"/>
      <c r="O343" s="779"/>
      <c r="P343" s="779"/>
      <c r="Q343" s="779"/>
      <c r="R343" s="779"/>
      <c r="S343" s="780"/>
    </row>
    <row r="344" spans="1:19">
      <c r="A344" s="781"/>
      <c r="B344" s="782"/>
      <c r="C344" s="682"/>
      <c r="D344" s="682"/>
      <c r="E344" s="784"/>
      <c r="F344" s="782" t="str">
        <f t="shared" si="20"/>
        <v/>
      </c>
      <c r="G344" s="785"/>
      <c r="H344" s="789"/>
      <c r="I344" s="779"/>
      <c r="J344" s="779"/>
      <c r="K344" s="779"/>
      <c r="L344" s="779"/>
      <c r="M344" s="791"/>
      <c r="N344" s="779"/>
      <c r="O344" s="779"/>
      <c r="P344" s="779"/>
      <c r="Q344" s="779"/>
      <c r="R344" s="779"/>
      <c r="S344" s="780"/>
    </row>
    <row r="345" spans="1:19">
      <c r="A345" s="792"/>
      <c r="B345" s="782"/>
      <c r="C345" s="782"/>
      <c r="D345" s="782"/>
      <c r="E345" s="784"/>
      <c r="F345" s="782" t="str">
        <f t="shared" si="20"/>
        <v/>
      </c>
      <c r="G345" s="785"/>
      <c r="H345" s="789"/>
      <c r="I345" s="779"/>
      <c r="J345" s="779"/>
      <c r="K345" s="779"/>
      <c r="L345" s="779"/>
      <c r="M345" s="791"/>
      <c r="N345" s="779"/>
      <c r="O345" s="779"/>
      <c r="P345" s="779"/>
      <c r="Q345" s="779"/>
      <c r="R345" s="779"/>
      <c r="S345" s="780"/>
    </row>
    <row r="346" spans="1:19">
      <c r="A346" s="793"/>
      <c r="B346" s="782"/>
      <c r="C346" s="782"/>
      <c r="D346" s="782"/>
      <c r="E346" s="784"/>
      <c r="F346" s="782" t="str">
        <f t="shared" si="20"/>
        <v/>
      </c>
      <c r="G346" s="785"/>
      <c r="H346" s="789"/>
      <c r="I346" s="779"/>
      <c r="J346" s="779"/>
      <c r="K346" s="779"/>
      <c r="L346" s="779"/>
      <c r="M346" s="791"/>
      <c r="N346" s="779"/>
      <c r="O346" s="779"/>
      <c r="P346" s="779"/>
      <c r="Q346" s="779"/>
      <c r="R346" s="779"/>
      <c r="S346" s="780"/>
    </row>
    <row r="347" spans="1:19">
      <c r="A347" s="793"/>
      <c r="B347" s="782"/>
      <c r="C347" s="782"/>
      <c r="D347" s="782"/>
      <c r="E347" s="784"/>
      <c r="F347" s="782" t="str">
        <f t="shared" si="20"/>
        <v/>
      </c>
      <c r="G347" s="785"/>
      <c r="H347" s="789"/>
      <c r="I347" s="779"/>
      <c r="J347" s="779"/>
      <c r="K347" s="779"/>
      <c r="L347" s="779"/>
      <c r="M347" s="791"/>
      <c r="N347" s="779"/>
      <c r="O347" s="779"/>
      <c r="P347" s="779"/>
      <c r="Q347" s="779"/>
      <c r="R347" s="779"/>
      <c r="S347" s="780"/>
    </row>
    <row r="348" spans="1:19">
      <c r="A348" s="792"/>
      <c r="B348" s="782"/>
      <c r="C348" s="782"/>
      <c r="D348" s="782"/>
      <c r="E348" s="784"/>
      <c r="F348" s="782" t="str">
        <f t="shared" si="20"/>
        <v/>
      </c>
      <c r="G348" s="785"/>
      <c r="H348" s="789"/>
      <c r="I348" s="779"/>
      <c r="J348" s="779"/>
      <c r="K348" s="779"/>
      <c r="L348" s="779"/>
      <c r="M348" s="791"/>
      <c r="N348" s="779"/>
      <c r="O348" s="779"/>
      <c r="P348" s="779"/>
      <c r="Q348" s="779"/>
      <c r="R348" s="779"/>
      <c r="S348" s="780"/>
    </row>
    <row r="349" spans="1:19" ht="15.75" thickBot="1">
      <c r="A349" s="794"/>
      <c r="B349" s="795"/>
      <c r="C349" s="796"/>
      <c r="D349" s="796"/>
      <c r="E349" s="784" t="str">
        <f>IF(C349-D349=0,"",C349-D349)</f>
        <v/>
      </c>
      <c r="F349" s="782" t="str">
        <f t="shared" si="20"/>
        <v/>
      </c>
      <c r="G349" s="797"/>
      <c r="H349" s="789"/>
      <c r="I349" s="779"/>
      <c r="J349" s="779"/>
      <c r="K349" s="779"/>
      <c r="L349" s="779"/>
      <c r="M349" s="791"/>
      <c r="N349" s="779"/>
      <c r="O349" s="779"/>
      <c r="P349" s="779"/>
      <c r="Q349" s="779"/>
      <c r="R349" s="779"/>
      <c r="S349" s="780"/>
    </row>
    <row r="350" spans="1:19" ht="15.75" thickTop="1">
      <c r="A350" s="798"/>
      <c r="B350" s="799"/>
      <c r="C350" s="800"/>
      <c r="D350" s="800"/>
      <c r="E350" s="801"/>
      <c r="F350" s="799"/>
      <c r="G350" s="802"/>
      <c r="H350" s="1225" t="s">
        <v>16</v>
      </c>
      <c r="I350" s="1227" t="s">
        <v>17</v>
      </c>
      <c r="J350" s="1227" t="s">
        <v>21</v>
      </c>
      <c r="K350" s="1227"/>
      <c r="L350" s="1229" t="s">
        <v>93</v>
      </c>
      <c r="M350" s="1231" t="s">
        <v>95</v>
      </c>
      <c r="N350" s="779"/>
      <c r="O350" s="779"/>
      <c r="P350" s="779"/>
      <c r="Q350" s="779"/>
      <c r="R350" s="779"/>
      <c r="S350" s="780"/>
    </row>
    <row r="351" spans="1:19" ht="24">
      <c r="A351" s="803"/>
      <c r="B351" s="804"/>
      <c r="C351" s="804"/>
      <c r="D351" s="804"/>
      <c r="E351" s="805"/>
      <c r="F351" s="804"/>
      <c r="G351" s="804"/>
      <c r="H351" s="1226"/>
      <c r="I351" s="1228"/>
      <c r="J351" s="806" t="s">
        <v>21</v>
      </c>
      <c r="K351" s="806" t="s">
        <v>25</v>
      </c>
      <c r="L351" s="1230"/>
      <c r="M351" s="1232"/>
      <c r="N351" s="779"/>
      <c r="O351" s="779"/>
      <c r="P351" s="779"/>
      <c r="Q351" s="779"/>
      <c r="R351" s="779"/>
      <c r="S351" s="780"/>
    </row>
    <row r="352" spans="1:19">
      <c r="A352" s="807"/>
      <c r="B352" s="808"/>
      <c r="C352" s="809"/>
      <c r="D352" s="810"/>
      <c r="E352" s="790"/>
      <c r="F352" s="808"/>
      <c r="G352" s="808"/>
      <c r="H352" s="811" t="s">
        <v>163</v>
      </c>
      <c r="I352" s="812">
        <v>2420.3999999999996</v>
      </c>
      <c r="J352" s="812">
        <v>115.5</v>
      </c>
      <c r="K352" s="847">
        <v>132.61000000000001</v>
      </c>
      <c r="L352" s="814">
        <v>22665.5</v>
      </c>
      <c r="M352" s="815">
        <f>L352-I352-J352-K352</f>
        <v>19996.989999999998</v>
      </c>
      <c r="N352" s="779"/>
      <c r="O352" s="779"/>
      <c r="P352" s="779"/>
      <c r="Q352" s="779"/>
      <c r="R352" s="779"/>
      <c r="S352" s="780"/>
    </row>
    <row r="353" spans="1:19">
      <c r="A353" s="816"/>
      <c r="B353" s="808"/>
      <c r="C353" s="808"/>
      <c r="D353" s="817"/>
      <c r="E353" s="779"/>
      <c r="F353" s="790"/>
      <c r="G353" s="779"/>
      <c r="H353" s="811" t="s">
        <v>192</v>
      </c>
      <c r="I353" s="812">
        <v>7629.69</v>
      </c>
      <c r="J353" s="812">
        <v>352.29</v>
      </c>
      <c r="K353" s="812">
        <v>193.85000000000002</v>
      </c>
      <c r="L353" s="814">
        <v>10342</v>
      </c>
      <c r="M353" s="815">
        <f>M352-I353-J353-K353+L353</f>
        <v>22163.159999999996</v>
      </c>
      <c r="N353" s="779"/>
      <c r="O353" s="779"/>
      <c r="P353" s="779"/>
      <c r="Q353" s="779"/>
      <c r="R353" s="779"/>
      <c r="S353" s="780"/>
    </row>
    <row r="354" spans="1:19">
      <c r="A354" s="816"/>
      <c r="B354" s="779"/>
      <c r="C354" s="808"/>
      <c r="D354" s="817"/>
      <c r="E354" s="779"/>
      <c r="F354" s="779"/>
      <c r="G354" s="779"/>
      <c r="H354" s="811" t="s">
        <v>199</v>
      </c>
      <c r="I354" s="818">
        <v>8423.6400000000012</v>
      </c>
      <c r="J354" s="812">
        <v>921.3</v>
      </c>
      <c r="K354" s="603">
        <v>312.46000000000004</v>
      </c>
      <c r="L354" s="603">
        <v>16668</v>
      </c>
      <c r="M354" s="815">
        <f>M353-I354-J354-K354+L354</f>
        <v>29173.759999999995</v>
      </c>
      <c r="N354" s="779"/>
      <c r="O354" s="779"/>
      <c r="P354" s="779"/>
      <c r="Q354" s="779"/>
      <c r="R354" s="779"/>
      <c r="S354" s="780"/>
    </row>
    <row r="355" spans="1:19">
      <c r="A355" s="816"/>
      <c r="B355" s="779"/>
      <c r="C355" s="819"/>
      <c r="D355" s="817"/>
      <c r="E355" s="779"/>
      <c r="F355" s="779"/>
      <c r="G355" s="790"/>
      <c r="H355" s="811" t="s">
        <v>209</v>
      </c>
      <c r="I355" s="603"/>
      <c r="J355" s="813"/>
      <c r="K355" s="813"/>
      <c r="L355" s="603"/>
      <c r="M355" s="815"/>
      <c r="N355" s="779"/>
      <c r="O355" s="779"/>
      <c r="P355" s="779"/>
      <c r="Q355" s="779"/>
      <c r="R355" s="779"/>
      <c r="S355" s="780"/>
    </row>
    <row r="356" spans="1:19">
      <c r="A356" s="816"/>
      <c r="B356" s="808"/>
      <c r="C356" s="779"/>
      <c r="D356" s="817"/>
      <c r="E356" s="779"/>
      <c r="F356" s="779"/>
      <c r="G356" s="779"/>
      <c r="H356" s="811" t="s">
        <v>210</v>
      </c>
      <c r="I356" s="813"/>
      <c r="J356" s="603"/>
      <c r="K356" s="813"/>
      <c r="L356" s="603"/>
      <c r="M356" s="815"/>
      <c r="N356" s="779"/>
      <c r="O356" s="779"/>
      <c r="P356" s="779"/>
      <c r="Q356" s="779"/>
      <c r="R356" s="779"/>
      <c r="S356" s="780"/>
    </row>
    <row r="357" spans="1:19" ht="15.75" thickBot="1">
      <c r="A357" s="816"/>
      <c r="B357" s="808"/>
      <c r="C357" s="779"/>
      <c r="D357" s="817"/>
      <c r="E357" s="779"/>
      <c r="F357" s="779"/>
      <c r="G357" s="779"/>
      <c r="H357" s="820" t="s">
        <v>211</v>
      </c>
      <c r="I357" s="821"/>
      <c r="J357" s="822"/>
      <c r="K357" s="848"/>
      <c r="L357" s="823"/>
      <c r="M357" s="849"/>
      <c r="N357" s="779"/>
      <c r="O357" s="779"/>
      <c r="P357" s="779"/>
      <c r="Q357" s="779"/>
      <c r="R357" s="779"/>
      <c r="S357" s="780"/>
    </row>
    <row r="358" spans="1:19" ht="15.75" thickTop="1">
      <c r="A358" s="816"/>
      <c r="B358" s="808"/>
      <c r="C358" s="779"/>
      <c r="D358" s="817"/>
      <c r="E358" s="790"/>
      <c r="F358" s="779"/>
      <c r="G358" s="779"/>
      <c r="H358" s="1233" t="s">
        <v>36</v>
      </c>
      <c r="I358" s="1235" t="s">
        <v>178</v>
      </c>
      <c r="J358" s="1236"/>
      <c r="K358" s="1237"/>
      <c r="L358" s="1241" t="s">
        <v>159</v>
      </c>
      <c r="M358" s="1242"/>
      <c r="N358" s="779"/>
      <c r="O358" s="779"/>
      <c r="P358" s="779"/>
      <c r="Q358" s="779"/>
      <c r="R358" s="779"/>
      <c r="S358" s="780"/>
    </row>
    <row r="359" spans="1:19">
      <c r="A359" s="816"/>
      <c r="B359" s="808"/>
      <c r="C359" s="819"/>
      <c r="D359" s="817"/>
      <c r="E359" s="819"/>
      <c r="F359" s="779"/>
      <c r="G359" s="824"/>
      <c r="H359" s="1234"/>
      <c r="I359" s="1238"/>
      <c r="J359" s="1239"/>
      <c r="K359" s="1240"/>
      <c r="L359" s="1243"/>
      <c r="M359" s="1244"/>
      <c r="N359" s="779"/>
      <c r="O359" s="779"/>
      <c r="P359" s="779"/>
      <c r="Q359" s="779"/>
      <c r="R359" s="779"/>
      <c r="S359" s="780"/>
    </row>
    <row r="360" spans="1:19">
      <c r="A360" s="816"/>
      <c r="B360" s="808"/>
      <c r="C360" s="808"/>
      <c r="D360" s="817"/>
      <c r="E360" s="808"/>
      <c r="F360" s="779"/>
      <c r="G360" s="824"/>
      <c r="H360" s="825" t="s">
        <v>91</v>
      </c>
      <c r="I360" s="1245" t="s">
        <v>47</v>
      </c>
      <c r="J360" s="1245"/>
      <c r="K360" s="826">
        <v>28.88</v>
      </c>
      <c r="L360" s="827">
        <v>15</v>
      </c>
      <c r="M360" s="791" t="s">
        <v>171</v>
      </c>
      <c r="N360" s="779"/>
      <c r="O360" s="779"/>
      <c r="P360" s="779"/>
      <c r="Q360" s="779"/>
      <c r="R360" s="779"/>
      <c r="S360" s="780"/>
    </row>
    <row r="361" spans="1:19">
      <c r="A361" s="816"/>
      <c r="B361" s="779"/>
      <c r="C361" s="828"/>
      <c r="D361" s="817"/>
      <c r="E361" s="828"/>
      <c r="F361" s="779"/>
      <c r="G361" s="779"/>
      <c r="H361" s="850" t="s">
        <v>241</v>
      </c>
      <c r="I361" s="1246" t="s">
        <v>51</v>
      </c>
      <c r="J361" s="1246"/>
      <c r="K361" s="778">
        <v>0</v>
      </c>
      <c r="L361" s="827">
        <v>15</v>
      </c>
      <c r="M361" s="791" t="s">
        <v>171</v>
      </c>
      <c r="N361" s="779"/>
      <c r="O361" s="779"/>
      <c r="P361" s="779"/>
      <c r="Q361" s="779"/>
      <c r="R361" s="779"/>
      <c r="S361" s="780"/>
    </row>
    <row r="362" spans="1:19">
      <c r="A362" s="829"/>
      <c r="B362" s="779"/>
      <c r="C362" s="779"/>
      <c r="D362" s="817"/>
      <c r="E362" s="808"/>
      <c r="F362" s="779"/>
      <c r="G362" s="779"/>
      <c r="H362" s="825" t="s">
        <v>91</v>
      </c>
      <c r="I362" s="1246" t="s">
        <v>52</v>
      </c>
      <c r="J362" s="1246"/>
      <c r="K362" s="778">
        <v>0.5</v>
      </c>
      <c r="L362" s="827">
        <v>15</v>
      </c>
      <c r="M362" s="791" t="s">
        <v>171</v>
      </c>
      <c r="N362" s="779"/>
      <c r="O362" s="779"/>
      <c r="P362" s="779"/>
      <c r="Q362" s="779"/>
      <c r="R362" s="779"/>
      <c r="S362" s="780"/>
    </row>
    <row r="363" spans="1:19">
      <c r="A363" s="829"/>
      <c r="B363" s="779"/>
      <c r="C363" s="779"/>
      <c r="D363" s="817"/>
      <c r="E363" s="779"/>
      <c r="F363" s="779"/>
      <c r="G363" s="779"/>
      <c r="H363" s="825" t="s">
        <v>91</v>
      </c>
      <c r="I363" s="1246" t="s">
        <v>49</v>
      </c>
      <c r="J363" s="1246"/>
      <c r="K363" s="778">
        <v>89</v>
      </c>
      <c r="L363" s="827">
        <v>20</v>
      </c>
      <c r="M363" s="791" t="s">
        <v>237</v>
      </c>
      <c r="N363" s="779"/>
      <c r="O363" s="779"/>
      <c r="P363" s="779"/>
      <c r="Q363" s="779"/>
      <c r="R363" s="779"/>
      <c r="S363" s="780"/>
    </row>
    <row r="364" spans="1:19">
      <c r="A364" s="829"/>
      <c r="B364" s="779"/>
      <c r="C364" s="779"/>
      <c r="D364" s="817"/>
      <c r="E364" s="779"/>
      <c r="F364" s="779"/>
      <c r="G364" s="779"/>
      <c r="H364" s="825" t="s">
        <v>91</v>
      </c>
      <c r="I364" s="1247" t="s">
        <v>59</v>
      </c>
      <c r="J364" s="1247"/>
      <c r="K364" s="830">
        <v>247.96</v>
      </c>
      <c r="L364" s="831" t="s">
        <v>177</v>
      </c>
      <c r="M364" s="791" t="s">
        <v>171</v>
      </c>
      <c r="N364" s="779"/>
      <c r="O364" s="779"/>
      <c r="P364" s="779"/>
      <c r="Q364" s="779"/>
      <c r="R364" s="779"/>
      <c r="S364" s="780"/>
    </row>
    <row r="365" spans="1:19">
      <c r="A365" s="829"/>
      <c r="B365" s="808"/>
      <c r="C365" s="808"/>
      <c r="D365" s="817"/>
      <c r="E365" s="808"/>
      <c r="F365" s="779"/>
      <c r="G365" s="779"/>
      <c r="H365" s="825" t="s">
        <v>91</v>
      </c>
      <c r="I365" s="1248" t="s">
        <v>68</v>
      </c>
      <c r="J365" s="1249"/>
      <c r="K365" s="778">
        <v>69.5</v>
      </c>
      <c r="L365" s="827">
        <v>20</v>
      </c>
      <c r="M365" s="791" t="s">
        <v>171</v>
      </c>
      <c r="N365" s="779"/>
      <c r="O365" s="779"/>
      <c r="P365" s="779"/>
      <c r="Q365" s="779"/>
      <c r="R365" s="779"/>
      <c r="S365" s="780"/>
    </row>
    <row r="366" spans="1:19">
      <c r="A366" s="829"/>
      <c r="B366" s="808"/>
      <c r="C366" s="779"/>
      <c r="D366" s="817"/>
      <c r="E366" s="808"/>
      <c r="F366" s="779"/>
      <c r="G366" s="779"/>
      <c r="H366" s="850" t="s">
        <v>241</v>
      </c>
      <c r="I366" s="832" t="s">
        <v>174</v>
      </c>
      <c r="J366" s="833"/>
      <c r="K366" s="778"/>
      <c r="L366" s="827">
        <v>15</v>
      </c>
      <c r="M366" s="791" t="s">
        <v>171</v>
      </c>
      <c r="N366" s="779"/>
      <c r="O366" s="779"/>
      <c r="P366" s="779"/>
      <c r="Q366" s="779"/>
      <c r="R366" s="779"/>
      <c r="S366" s="780"/>
    </row>
    <row r="367" spans="1:19">
      <c r="A367" s="829"/>
      <c r="B367" s="808"/>
      <c r="C367" s="779"/>
      <c r="D367" s="817"/>
      <c r="E367" s="808"/>
      <c r="F367" s="779"/>
      <c r="G367" s="779"/>
      <c r="H367" s="850" t="s">
        <v>241</v>
      </c>
      <c r="I367" s="832" t="s">
        <v>176</v>
      </c>
      <c r="J367" s="833"/>
      <c r="K367" s="778"/>
      <c r="L367" s="827">
        <v>20</v>
      </c>
      <c r="M367" s="791" t="s">
        <v>171</v>
      </c>
      <c r="N367" s="779"/>
      <c r="O367" s="779"/>
      <c r="P367" s="779"/>
      <c r="Q367" s="779"/>
      <c r="R367" s="779"/>
      <c r="S367" s="780"/>
    </row>
    <row r="368" spans="1:19">
      <c r="A368" s="829"/>
      <c r="B368" s="808"/>
      <c r="C368" s="779"/>
      <c r="D368" s="817"/>
      <c r="E368" s="810"/>
      <c r="F368" s="779"/>
      <c r="G368" s="779"/>
      <c r="H368" s="825" t="s">
        <v>91</v>
      </c>
      <c r="I368" s="1248" t="s">
        <v>81</v>
      </c>
      <c r="J368" s="1249"/>
      <c r="K368" s="778">
        <v>588.1</v>
      </c>
      <c r="L368" s="827">
        <v>43840</v>
      </c>
      <c r="M368" s="791" t="s">
        <v>171</v>
      </c>
      <c r="N368" s="779"/>
      <c r="O368" s="779"/>
      <c r="P368" s="779"/>
      <c r="Q368" s="779"/>
      <c r="R368" s="779"/>
      <c r="S368" s="780"/>
    </row>
    <row r="369" spans="1:19">
      <c r="A369" s="829"/>
      <c r="B369" s="808"/>
      <c r="C369" s="779"/>
      <c r="D369" s="817"/>
      <c r="E369" s="810"/>
      <c r="F369" s="779"/>
      <c r="G369" s="779"/>
      <c r="H369" s="825" t="s">
        <v>91</v>
      </c>
      <c r="I369" s="1248" t="s">
        <v>53</v>
      </c>
      <c r="J369" s="1249"/>
      <c r="K369" s="851">
        <v>10</v>
      </c>
      <c r="L369" s="827">
        <v>15</v>
      </c>
      <c r="M369" s="791" t="s">
        <v>171</v>
      </c>
      <c r="N369" s="779"/>
      <c r="O369" s="779"/>
      <c r="P369" s="779"/>
      <c r="Q369" s="779"/>
      <c r="R369" s="779"/>
      <c r="S369" s="780"/>
    </row>
    <row r="370" spans="1:19">
      <c r="A370" s="829"/>
      <c r="B370" s="808"/>
      <c r="C370" s="779"/>
      <c r="D370" s="817"/>
      <c r="E370" s="810"/>
      <c r="F370" s="779"/>
      <c r="G370" s="779"/>
      <c r="H370" s="825" t="s">
        <v>91</v>
      </c>
      <c r="I370" s="1247" t="s">
        <v>61</v>
      </c>
      <c r="J370" s="1247"/>
      <c r="K370" s="778">
        <v>703.01</v>
      </c>
      <c r="L370" s="827">
        <v>20</v>
      </c>
      <c r="M370" s="791" t="s">
        <v>171</v>
      </c>
      <c r="N370" s="779"/>
      <c r="O370" s="779"/>
      <c r="P370" s="779"/>
      <c r="Q370" s="779"/>
      <c r="R370" s="779"/>
      <c r="S370" s="780"/>
    </row>
    <row r="371" spans="1:19" ht="15.75" thickBot="1">
      <c r="A371" s="852"/>
      <c r="B371" s="853"/>
      <c r="C371" s="854"/>
      <c r="D371" s="855"/>
      <c r="E371" s="853"/>
      <c r="F371" s="854"/>
      <c r="G371" s="854"/>
      <c r="H371" s="856"/>
      <c r="I371" s="854" t="s">
        <v>179</v>
      </c>
      <c r="J371" s="854">
        <f>SUM(K360:K370)</f>
        <v>1736.95</v>
      </c>
      <c r="K371" s="1250" t="s">
        <v>180</v>
      </c>
      <c r="L371" s="1250"/>
      <c r="M371" s="857">
        <v>0</v>
      </c>
      <c r="N371" s="854"/>
      <c r="O371" s="854"/>
      <c r="P371" s="854"/>
      <c r="Q371" s="854"/>
      <c r="R371" s="854"/>
      <c r="S371" s="858"/>
    </row>
    <row r="372" spans="1:19">
      <c r="A372" s="1163" t="s">
        <v>262</v>
      </c>
      <c r="B372" s="1163"/>
      <c r="C372" s="1163"/>
      <c r="D372" s="1163"/>
      <c r="E372" s="1163"/>
      <c r="F372" s="1163"/>
      <c r="G372" s="1163"/>
      <c r="H372" s="1163"/>
      <c r="I372" s="1163"/>
      <c r="J372" s="1163"/>
      <c r="K372" s="1163"/>
      <c r="L372" s="1163"/>
      <c r="M372" s="1163"/>
      <c r="N372" s="1274" t="s">
        <v>209</v>
      </c>
      <c r="O372" s="1274"/>
      <c r="P372" s="1274"/>
      <c r="Q372" s="1274"/>
      <c r="R372" s="1274"/>
      <c r="S372" s="1274"/>
    </row>
    <row r="373" spans="1:19" ht="15.75" thickBot="1">
      <c r="A373" s="1164"/>
      <c r="B373" s="1164"/>
      <c r="C373" s="1164"/>
      <c r="D373" s="1164"/>
      <c r="E373" s="1164"/>
      <c r="F373" s="1164"/>
      <c r="G373" s="1164"/>
      <c r="H373" s="1164"/>
      <c r="I373" s="1164"/>
      <c r="J373" s="1164"/>
      <c r="K373" s="1164"/>
      <c r="L373" s="1164"/>
      <c r="M373" s="1164"/>
      <c r="N373" s="1275"/>
      <c r="O373" s="1275"/>
      <c r="P373" s="1275"/>
      <c r="Q373" s="1275"/>
      <c r="R373" s="1275"/>
      <c r="S373" s="1275"/>
    </row>
    <row r="374" spans="1:19" ht="15.75" thickTop="1">
      <c r="A374" s="1266" t="s">
        <v>28</v>
      </c>
      <c r="B374" s="1166"/>
      <c r="C374" s="1166"/>
      <c r="D374" s="1166"/>
      <c r="E374" s="1166"/>
      <c r="F374" s="1166"/>
      <c r="G374" s="1167"/>
      <c r="H374" s="1267" t="s">
        <v>246</v>
      </c>
      <c r="I374" s="1268"/>
      <c r="J374" s="1268"/>
      <c r="K374" s="1268"/>
      <c r="L374" s="1268"/>
      <c r="M374" s="1269"/>
      <c r="N374" s="1275"/>
      <c r="O374" s="1275"/>
      <c r="P374" s="1275"/>
      <c r="Q374" s="1275"/>
      <c r="R374" s="1275"/>
      <c r="S374" s="1275"/>
    </row>
    <row r="375" spans="1:19">
      <c r="A375" s="324" t="s">
        <v>2</v>
      </c>
      <c r="B375" s="1049" t="s">
        <v>34</v>
      </c>
      <c r="C375" s="36" t="s">
        <v>35</v>
      </c>
      <c r="D375" s="36" t="s">
        <v>38</v>
      </c>
      <c r="E375" s="36" t="s">
        <v>42</v>
      </c>
      <c r="F375" s="1049" t="s">
        <v>36</v>
      </c>
      <c r="G375" s="100" t="s">
        <v>173</v>
      </c>
      <c r="H375" s="1185"/>
      <c r="I375" s="1186"/>
      <c r="J375" s="1050" t="s">
        <v>35</v>
      </c>
      <c r="K375" s="1050" t="s">
        <v>38</v>
      </c>
      <c r="L375" s="1050" t="s">
        <v>42</v>
      </c>
      <c r="M375" s="100" t="s">
        <v>44</v>
      </c>
      <c r="N375" s="1275"/>
      <c r="O375" s="1275"/>
      <c r="P375" s="1275"/>
      <c r="Q375" s="1275"/>
      <c r="R375" s="1275"/>
      <c r="S375" s="1275"/>
    </row>
    <row r="376" spans="1:19">
      <c r="A376" s="325">
        <v>43866</v>
      </c>
      <c r="B376" s="161" t="s">
        <v>254</v>
      </c>
      <c r="C376" s="98">
        <v>294</v>
      </c>
      <c r="D376" s="98">
        <v>294</v>
      </c>
      <c r="E376" s="160" t="str">
        <f>IF(C376-D376=0,"",C376-D376)</f>
        <v/>
      </c>
      <c r="F376" s="162" t="str">
        <f>IF(C376=0,"",IF(C376-D376=0,"оплачено","ОЖИДАЕТСЯ оплата"))</f>
        <v>оплачено</v>
      </c>
      <c r="G376" s="449"/>
      <c r="H376" s="1187" t="s">
        <v>39</v>
      </c>
      <c r="I376" s="1188"/>
      <c r="J376" s="513">
        <v>1633.61</v>
      </c>
      <c r="K376" s="1057">
        <v>1633.61</v>
      </c>
      <c r="L376" s="160">
        <f>J376-K376</f>
        <v>0</v>
      </c>
      <c r="M376" s="101">
        <v>43886</v>
      </c>
      <c r="N376" s="1275"/>
      <c r="O376" s="1275"/>
      <c r="P376" s="1275"/>
      <c r="Q376" s="1275"/>
      <c r="R376" s="1275"/>
      <c r="S376" s="1275"/>
    </row>
    <row r="377" spans="1:19">
      <c r="A377" s="325">
        <v>43867</v>
      </c>
      <c r="B377" s="161" t="s">
        <v>221</v>
      </c>
      <c r="C377" s="98">
        <v>325.49</v>
      </c>
      <c r="D377" s="98">
        <v>325.49</v>
      </c>
      <c r="E377" s="160" t="str">
        <f t="shared" ref="E377:E391" si="21">IF(C377-D377=0,"",C377-D377)</f>
        <v/>
      </c>
      <c r="F377" s="162" t="str">
        <f t="shared" ref="F377:F391" si="22">IF(C377=0,"",IF(C377-D377=0,"оплачено","ОЖИДАЕТСЯ оплата"))</f>
        <v>оплачено</v>
      </c>
      <c r="G377" s="449"/>
      <c r="H377" s="1270" t="s">
        <v>40</v>
      </c>
      <c r="I377" s="1271"/>
      <c r="J377" s="481">
        <v>899.78</v>
      </c>
      <c r="K377" s="1061">
        <f>394.39+260+245.39</f>
        <v>899.78</v>
      </c>
      <c r="L377" s="480">
        <f>J377-K377</f>
        <v>0</v>
      </c>
      <c r="M377" s="482">
        <v>43887</v>
      </c>
      <c r="N377" s="1275"/>
      <c r="O377" s="1275"/>
      <c r="P377" s="1275"/>
      <c r="Q377" s="1275"/>
      <c r="R377" s="1275"/>
      <c r="S377" s="1275"/>
    </row>
    <row r="378" spans="1:19">
      <c r="A378" s="325">
        <v>43872</v>
      </c>
      <c r="B378" s="161" t="s">
        <v>155</v>
      </c>
      <c r="C378" s="98">
        <v>108.65</v>
      </c>
      <c r="D378" s="98">
        <v>108.65</v>
      </c>
      <c r="E378" s="160" t="str">
        <f t="shared" si="21"/>
        <v/>
      </c>
      <c r="F378" s="162" t="str">
        <f t="shared" si="22"/>
        <v>оплачено</v>
      </c>
      <c r="G378" s="449"/>
      <c r="H378" s="340"/>
      <c r="I378" s="366"/>
      <c r="J378" s="498">
        <f>SUM(J376:J377)</f>
        <v>2533.39</v>
      </c>
      <c r="K378" s="366"/>
      <c r="L378" s="84"/>
      <c r="M378" s="314"/>
      <c r="N378" s="1275"/>
      <c r="O378" s="1275"/>
      <c r="P378" s="1275"/>
      <c r="Q378" s="1275"/>
      <c r="R378" s="1275"/>
      <c r="S378" s="1275"/>
    </row>
    <row r="379" spans="1:19">
      <c r="A379" s="325">
        <v>43872</v>
      </c>
      <c r="B379" s="161" t="s">
        <v>205</v>
      </c>
      <c r="C379" s="275">
        <v>285.2</v>
      </c>
      <c r="D379" s="275">
        <v>285.2</v>
      </c>
      <c r="E379" s="160" t="str">
        <f t="shared" si="21"/>
        <v/>
      </c>
      <c r="F379" s="162" t="str">
        <f t="shared" si="22"/>
        <v>оплачено</v>
      </c>
      <c r="G379" s="449"/>
      <c r="H379" s="340"/>
      <c r="I379" s="366"/>
      <c r="J379" s="366"/>
      <c r="K379" s="366"/>
      <c r="L379" s="366"/>
      <c r="M379" s="314"/>
      <c r="N379" s="1275"/>
      <c r="O379" s="1275"/>
      <c r="P379" s="1275"/>
      <c r="Q379" s="1275"/>
      <c r="R379" s="1275"/>
      <c r="S379" s="1275"/>
    </row>
    <row r="380" spans="1:19">
      <c r="A380" s="325">
        <v>43873</v>
      </c>
      <c r="B380" s="161" t="s">
        <v>257</v>
      </c>
      <c r="C380" s="275">
        <v>331.86</v>
      </c>
      <c r="D380" s="275">
        <v>331.86</v>
      </c>
      <c r="E380" s="160" t="str">
        <f t="shared" si="21"/>
        <v/>
      </c>
      <c r="F380" s="162" t="str">
        <f t="shared" si="22"/>
        <v>оплачено</v>
      </c>
      <c r="G380" s="449"/>
      <c r="H380" s="340"/>
      <c r="I380" s="366"/>
      <c r="J380" s="366"/>
      <c r="K380" s="366"/>
      <c r="L380" s="366"/>
      <c r="M380" s="314"/>
      <c r="N380" s="1275"/>
      <c r="O380" s="1275"/>
      <c r="P380" s="1275"/>
      <c r="Q380" s="1275"/>
      <c r="R380" s="1275"/>
      <c r="S380" s="1275"/>
    </row>
    <row r="381" spans="1:19">
      <c r="A381" s="325">
        <v>43871</v>
      </c>
      <c r="B381" s="161" t="s">
        <v>256</v>
      </c>
      <c r="C381" s="275">
        <v>280.52999999999997</v>
      </c>
      <c r="D381" s="275">
        <v>280.52999999999997</v>
      </c>
      <c r="E381" s="160" t="str">
        <f t="shared" si="21"/>
        <v/>
      </c>
      <c r="F381" s="162" t="str">
        <f t="shared" si="22"/>
        <v>оплачено</v>
      </c>
      <c r="G381" s="449"/>
      <c r="H381" s="340"/>
      <c r="I381" s="366"/>
      <c r="J381" s="366"/>
      <c r="K381" s="366"/>
      <c r="L381" s="366"/>
      <c r="M381" s="314"/>
      <c r="N381" s="1275"/>
      <c r="O381" s="1275"/>
      <c r="P381" s="1275"/>
      <c r="Q381" s="1275"/>
      <c r="R381" s="1275"/>
      <c r="S381" s="1275"/>
    </row>
    <row r="382" spans="1:19">
      <c r="A382" s="325" t="s">
        <v>219</v>
      </c>
      <c r="B382" s="161" t="s">
        <v>222</v>
      </c>
      <c r="C382" s="275">
        <v>342.57</v>
      </c>
      <c r="D382" s="275">
        <f>330+12.57</f>
        <v>342.57</v>
      </c>
      <c r="E382" s="160" t="str">
        <f t="shared" si="21"/>
        <v/>
      </c>
      <c r="F382" s="162" t="str">
        <f t="shared" si="22"/>
        <v>оплачено</v>
      </c>
      <c r="G382" s="449"/>
      <c r="H382" s="43"/>
      <c r="I382" s="1"/>
      <c r="J382" s="366"/>
      <c r="K382" s="1"/>
      <c r="L382" s="1"/>
      <c r="M382" s="44"/>
      <c r="N382" s="1275"/>
      <c r="O382" s="1275"/>
      <c r="P382" s="1275"/>
      <c r="Q382" s="1275"/>
      <c r="R382" s="1275"/>
      <c r="S382" s="1275"/>
    </row>
    <row r="383" spans="1:19">
      <c r="A383" s="325" t="s">
        <v>219</v>
      </c>
      <c r="B383" s="161" t="s">
        <v>155</v>
      </c>
      <c r="C383" s="275">
        <v>116.37</v>
      </c>
      <c r="D383" s="275">
        <v>116.37</v>
      </c>
      <c r="E383" s="160" t="str">
        <f t="shared" si="21"/>
        <v/>
      </c>
      <c r="F383" s="162" t="str">
        <f t="shared" si="22"/>
        <v>оплачено</v>
      </c>
      <c r="G383" s="449"/>
      <c r="H383" s="43"/>
      <c r="I383" s="1"/>
      <c r="J383" s="366"/>
      <c r="K383" s="1"/>
      <c r="L383" s="1"/>
      <c r="M383" s="44"/>
      <c r="N383" s="1275"/>
      <c r="O383" s="1275"/>
      <c r="P383" s="1275"/>
      <c r="Q383" s="1275"/>
      <c r="R383" s="1275"/>
      <c r="S383" s="1275"/>
    </row>
    <row r="384" spans="1:19">
      <c r="A384" s="325">
        <v>43880</v>
      </c>
      <c r="B384" s="161" t="s">
        <v>278</v>
      </c>
      <c r="C384" s="275">
        <v>384.6</v>
      </c>
      <c r="D384" s="275">
        <v>384.6</v>
      </c>
      <c r="E384" s="160" t="str">
        <f t="shared" si="21"/>
        <v/>
      </c>
      <c r="F384" s="162" t="str">
        <f t="shared" si="22"/>
        <v>оплачено</v>
      </c>
      <c r="G384" s="449"/>
      <c r="H384" s="43"/>
      <c r="I384" s="1"/>
      <c r="J384" s="366"/>
      <c r="K384" s="1"/>
      <c r="L384" s="1"/>
      <c r="M384" s="44"/>
      <c r="N384" s="1275"/>
      <c r="O384" s="1275"/>
      <c r="P384" s="1275"/>
      <c r="Q384" s="1275"/>
      <c r="R384" s="1275"/>
      <c r="S384" s="1275"/>
    </row>
    <row r="385" spans="1:19">
      <c r="A385" s="325"/>
      <c r="B385" s="161"/>
      <c r="C385" s="275"/>
      <c r="D385" s="275"/>
      <c r="E385" s="160" t="str">
        <f t="shared" si="21"/>
        <v/>
      </c>
      <c r="F385" s="162" t="str">
        <f t="shared" si="22"/>
        <v/>
      </c>
      <c r="G385" s="449"/>
      <c r="H385" s="43"/>
      <c r="I385" s="1"/>
      <c r="J385" s="366"/>
      <c r="K385" s="1"/>
      <c r="L385" s="1"/>
      <c r="M385" s="44"/>
      <c r="N385" s="1275"/>
      <c r="O385" s="1275"/>
      <c r="P385" s="1275"/>
      <c r="Q385" s="1275"/>
      <c r="R385" s="1275"/>
      <c r="S385" s="1275"/>
    </row>
    <row r="386" spans="1:19">
      <c r="A386" s="325"/>
      <c r="B386" s="161"/>
      <c r="C386" s="275"/>
      <c r="D386" s="161"/>
      <c r="E386" s="160" t="str">
        <f t="shared" si="21"/>
        <v/>
      </c>
      <c r="F386" s="162" t="str">
        <f t="shared" si="22"/>
        <v/>
      </c>
      <c r="G386" s="449"/>
      <c r="H386" s="43"/>
      <c r="I386" s="1"/>
      <c r="J386" s="366"/>
      <c r="K386" s="1"/>
      <c r="L386" s="1"/>
      <c r="M386" s="44"/>
      <c r="N386" s="1275"/>
      <c r="O386" s="1275"/>
      <c r="P386" s="1275"/>
      <c r="Q386" s="1275"/>
      <c r="R386" s="1275"/>
      <c r="S386" s="1275"/>
    </row>
    <row r="387" spans="1:19">
      <c r="A387" s="325"/>
      <c r="B387" s="161"/>
      <c r="C387" s="275"/>
      <c r="D387" s="161"/>
      <c r="E387" s="160" t="str">
        <f t="shared" si="21"/>
        <v/>
      </c>
      <c r="F387" s="162" t="str">
        <f t="shared" si="22"/>
        <v/>
      </c>
      <c r="G387" s="449"/>
      <c r="H387" s="43"/>
      <c r="I387" s="1"/>
      <c r="J387" s="366"/>
      <c r="K387" s="1"/>
      <c r="L387" s="1"/>
      <c r="M387" s="44"/>
      <c r="N387" s="1275"/>
      <c r="O387" s="1275"/>
      <c r="P387" s="1275"/>
      <c r="Q387" s="1275"/>
      <c r="R387" s="1275"/>
      <c r="S387" s="1275"/>
    </row>
    <row r="388" spans="1:19">
      <c r="A388" s="327"/>
      <c r="B388" s="161"/>
      <c r="C388" s="161"/>
      <c r="D388" s="161"/>
      <c r="E388" s="160" t="str">
        <f t="shared" si="21"/>
        <v/>
      </c>
      <c r="F388" s="162" t="str">
        <f t="shared" si="22"/>
        <v/>
      </c>
      <c r="G388" s="449"/>
      <c r="H388" s="43"/>
      <c r="I388" s="1"/>
      <c r="J388" s="366"/>
      <c r="K388" s="1"/>
      <c r="L388" s="1"/>
      <c r="M388" s="44"/>
      <c r="N388" s="1275"/>
      <c r="O388" s="1275"/>
      <c r="P388" s="1275"/>
      <c r="Q388" s="1275"/>
      <c r="R388" s="1275"/>
      <c r="S388" s="1275"/>
    </row>
    <row r="389" spans="1:19">
      <c r="A389" s="328"/>
      <c r="B389" s="161"/>
      <c r="C389" s="161"/>
      <c r="D389" s="161"/>
      <c r="E389" s="160" t="str">
        <f t="shared" si="21"/>
        <v/>
      </c>
      <c r="F389" s="162" t="str">
        <f t="shared" si="22"/>
        <v/>
      </c>
      <c r="G389" s="449"/>
      <c r="H389" s="43"/>
      <c r="I389" s="1"/>
      <c r="J389" s="366"/>
      <c r="K389" s="1"/>
      <c r="L389" s="1"/>
      <c r="M389" s="44"/>
      <c r="N389" s="1275"/>
      <c r="O389" s="1275"/>
      <c r="P389" s="1275"/>
      <c r="Q389" s="1275"/>
      <c r="R389" s="1275"/>
      <c r="S389" s="1275"/>
    </row>
    <row r="390" spans="1:19">
      <c r="A390" s="328"/>
      <c r="B390" s="161"/>
      <c r="C390" s="161"/>
      <c r="D390" s="161"/>
      <c r="E390" s="160" t="str">
        <f t="shared" si="21"/>
        <v/>
      </c>
      <c r="F390" s="162" t="str">
        <f t="shared" si="22"/>
        <v/>
      </c>
      <c r="G390" s="449"/>
      <c r="H390" s="43"/>
      <c r="I390" s="1"/>
      <c r="J390" s="366"/>
      <c r="K390" s="1"/>
      <c r="L390" s="1"/>
      <c r="M390" s="44"/>
      <c r="N390" s="1275"/>
      <c r="O390" s="1275"/>
      <c r="P390" s="1275"/>
      <c r="Q390" s="1275"/>
      <c r="R390" s="1275"/>
      <c r="S390" s="1275"/>
    </row>
    <row r="391" spans="1:19">
      <c r="A391" s="327"/>
      <c r="B391" s="161"/>
      <c r="C391" s="161"/>
      <c r="D391" s="161"/>
      <c r="E391" s="160" t="str">
        <f t="shared" si="21"/>
        <v/>
      </c>
      <c r="F391" s="162" t="str">
        <f t="shared" si="22"/>
        <v/>
      </c>
      <c r="G391" s="449"/>
      <c r="H391" s="43"/>
      <c r="I391" s="1"/>
      <c r="J391" s="366"/>
      <c r="K391" s="1"/>
      <c r="L391" s="1"/>
      <c r="M391" s="44"/>
      <c r="N391" s="1275"/>
      <c r="O391" s="1275"/>
      <c r="P391" s="1275"/>
      <c r="Q391" s="1275"/>
      <c r="R391" s="1275"/>
      <c r="S391" s="1275"/>
    </row>
    <row r="392" spans="1:19" ht="15.75" thickBot="1">
      <c r="A392" s="1272" t="s">
        <v>259</v>
      </c>
      <c r="B392" s="1273"/>
      <c r="C392" s="358">
        <f>SUM(C376:C391)</f>
        <v>2469.2699999999995</v>
      </c>
      <c r="D392" s="358"/>
      <c r="E392" s="160">
        <f>SUM(E376:E391)</f>
        <v>0</v>
      </c>
      <c r="F392" s="162"/>
      <c r="G392" s="450"/>
      <c r="H392" s="43"/>
      <c r="I392" s="1"/>
      <c r="J392" s="366"/>
      <c r="K392" s="1"/>
      <c r="L392" s="1"/>
      <c r="M392" s="44"/>
      <c r="N392" s="1275"/>
      <c r="O392" s="1275"/>
      <c r="P392" s="1275"/>
      <c r="Q392" s="1275"/>
      <c r="R392" s="1275"/>
      <c r="S392" s="1275"/>
    </row>
    <row r="393" spans="1:19" ht="15.75" thickTop="1">
      <c r="A393" s="351"/>
      <c r="B393" s="352"/>
      <c r="C393" s="353"/>
      <c r="D393" s="353"/>
      <c r="E393" s="354"/>
      <c r="F393" s="352"/>
      <c r="G393" s="376"/>
      <c r="H393" s="1171" t="s">
        <v>16</v>
      </c>
      <c r="I393" s="1173" t="s">
        <v>17</v>
      </c>
      <c r="J393" s="1173" t="s">
        <v>21</v>
      </c>
      <c r="K393" s="1173"/>
      <c r="L393" s="1175" t="s">
        <v>93</v>
      </c>
      <c r="M393" s="1177" t="s">
        <v>95</v>
      </c>
      <c r="N393" s="1275"/>
      <c r="O393" s="1275"/>
      <c r="P393" s="1275"/>
      <c r="Q393" s="1275"/>
      <c r="R393" s="1275"/>
      <c r="S393" s="1275"/>
    </row>
    <row r="394" spans="1:19" ht="24">
      <c r="A394" s="355"/>
      <c r="B394" s="201"/>
      <c r="C394" s="201"/>
      <c r="D394" s="201"/>
      <c r="E394" s="216"/>
      <c r="F394" s="201"/>
      <c r="G394" s="201"/>
      <c r="H394" s="1172"/>
      <c r="I394" s="1174"/>
      <c r="J394" s="1054" t="s">
        <v>21</v>
      </c>
      <c r="K394" s="1054" t="s">
        <v>25</v>
      </c>
      <c r="L394" s="1176"/>
      <c r="M394" s="1178"/>
      <c r="N394" s="1275"/>
      <c r="O394" s="1275"/>
      <c r="P394" s="1275"/>
      <c r="Q394" s="1275"/>
      <c r="R394" s="1275"/>
      <c r="S394" s="1275"/>
    </row>
    <row r="395" spans="1:19">
      <c r="A395" s="338"/>
      <c r="B395" s="199"/>
      <c r="C395" s="288"/>
      <c r="D395" s="232"/>
      <c r="E395" s="84"/>
      <c r="F395" s="199"/>
      <c r="G395" s="199"/>
      <c r="H395" s="347" t="s">
        <v>18</v>
      </c>
      <c r="I395" s="94">
        <v>32809.9</v>
      </c>
      <c r="J395" s="94">
        <v>1675.7199999999998</v>
      </c>
      <c r="K395" s="297">
        <v>1047.01</v>
      </c>
      <c r="L395" s="96">
        <v>52152</v>
      </c>
      <c r="M395" s="104">
        <f>82159.79-I395-J395-K395+L395</f>
        <v>98779.159999999989</v>
      </c>
      <c r="N395" s="1275"/>
      <c r="O395" s="1275"/>
      <c r="P395" s="1275"/>
      <c r="Q395" s="1275"/>
      <c r="R395" s="1275"/>
      <c r="S395" s="1275"/>
    </row>
    <row r="396" spans="1:19">
      <c r="A396" s="339"/>
      <c r="B396" s="199"/>
      <c r="C396" s="199"/>
      <c r="D396" s="273"/>
      <c r="E396" s="366"/>
      <c r="F396" s="84"/>
      <c r="G396" s="366"/>
      <c r="H396" s="347" t="s">
        <v>19</v>
      </c>
      <c r="I396" s="94">
        <v>35259.58</v>
      </c>
      <c r="J396" s="94">
        <v>1363.3000000000002</v>
      </c>
      <c r="K396" s="94">
        <v>1176.05</v>
      </c>
      <c r="L396" s="96">
        <v>40465.950000000004</v>
      </c>
      <c r="M396" s="104">
        <f t="shared" ref="M396:M403" si="23">M395-I396-J396-K396+L396</f>
        <v>101446.18</v>
      </c>
      <c r="N396" s="1275"/>
      <c r="O396" s="1275"/>
      <c r="P396" s="1275"/>
      <c r="Q396" s="1275"/>
      <c r="R396" s="1275"/>
      <c r="S396" s="1275"/>
    </row>
    <row r="397" spans="1:19">
      <c r="A397" s="339"/>
      <c r="B397" s="366"/>
      <c r="C397" s="199"/>
      <c r="D397" s="273"/>
      <c r="E397" s="366"/>
      <c r="F397" s="366"/>
      <c r="G397" s="366"/>
      <c r="H397" s="347" t="s">
        <v>20</v>
      </c>
      <c r="I397" s="298">
        <v>34690.219999999994</v>
      </c>
      <c r="J397" s="94">
        <v>1209.3000000000002</v>
      </c>
      <c r="K397" s="299">
        <v>1213.33</v>
      </c>
      <c r="L397" s="299">
        <v>19306</v>
      </c>
      <c r="M397" s="104">
        <f t="shared" si="23"/>
        <v>83639.329999999987</v>
      </c>
      <c r="N397" s="1275"/>
      <c r="O397" s="1275"/>
      <c r="P397" s="1275"/>
      <c r="Q397" s="1275"/>
      <c r="R397" s="1275"/>
      <c r="S397" s="1275"/>
    </row>
    <row r="398" spans="1:19">
      <c r="A398" s="339"/>
      <c r="B398" s="1"/>
      <c r="C398" s="284"/>
      <c r="D398" s="273"/>
      <c r="E398" s="366"/>
      <c r="F398" s="366"/>
      <c r="G398" s="84"/>
      <c r="H398" s="347" t="s">
        <v>148</v>
      </c>
      <c r="I398" s="299">
        <v>30955.479999999996</v>
      </c>
      <c r="J398" s="300">
        <v>3184.46</v>
      </c>
      <c r="K398" s="300">
        <v>1035.6600000000001</v>
      </c>
      <c r="L398" s="299">
        <v>59195.5</v>
      </c>
      <c r="M398" s="104">
        <f t="shared" si="23"/>
        <v>107659.22999999998</v>
      </c>
      <c r="N398" s="1275"/>
      <c r="O398" s="1275"/>
      <c r="P398" s="1275"/>
      <c r="Q398" s="1275"/>
      <c r="R398" s="1275"/>
      <c r="S398" s="1275"/>
    </row>
    <row r="399" spans="1:19">
      <c r="A399" s="339"/>
      <c r="B399" s="199"/>
      <c r="C399" s="1"/>
      <c r="D399" s="273"/>
      <c r="E399" s="366"/>
      <c r="F399" s="366"/>
      <c r="G399" s="366"/>
      <c r="H399" s="348" t="s">
        <v>162</v>
      </c>
      <c r="I399" s="300">
        <v>31239.439999999995</v>
      </c>
      <c r="J399" s="299">
        <v>2443.4</v>
      </c>
      <c r="K399" s="300">
        <v>1496.52</v>
      </c>
      <c r="L399" s="299">
        <v>40132</v>
      </c>
      <c r="M399" s="104">
        <f t="shared" si="23"/>
        <v>112611.86999999998</v>
      </c>
      <c r="N399" s="1275"/>
      <c r="O399" s="1275"/>
      <c r="P399" s="1275"/>
      <c r="Q399" s="1275"/>
      <c r="R399" s="1275"/>
      <c r="S399" s="1275"/>
    </row>
    <row r="400" spans="1:19">
      <c r="A400" s="339"/>
      <c r="B400" s="199"/>
      <c r="C400" s="1"/>
      <c r="D400" s="273"/>
      <c r="E400" s="366"/>
      <c r="F400" s="366"/>
      <c r="G400" s="366"/>
      <c r="H400" s="379" t="s">
        <v>163</v>
      </c>
      <c r="I400" s="380">
        <v>28986.99</v>
      </c>
      <c r="J400" s="432">
        <v>6271.4999999999991</v>
      </c>
      <c r="K400" s="433">
        <v>1046.56</v>
      </c>
      <c r="L400" s="433">
        <v>22678.1</v>
      </c>
      <c r="M400" s="104">
        <f t="shared" si="23"/>
        <v>98984.919999999984</v>
      </c>
      <c r="N400" s="1275"/>
      <c r="O400" s="1275"/>
      <c r="P400" s="1275"/>
      <c r="Q400" s="1275"/>
      <c r="R400" s="1275"/>
      <c r="S400" s="1275"/>
    </row>
    <row r="401" spans="1:19">
      <c r="A401" s="339"/>
      <c r="B401" s="199"/>
      <c r="C401" s="1"/>
      <c r="D401" s="273"/>
      <c r="E401" s="366"/>
      <c r="F401" s="366"/>
      <c r="G401" s="366"/>
      <c r="H401" s="379" t="s">
        <v>192</v>
      </c>
      <c r="I401" s="380">
        <v>31654.69</v>
      </c>
      <c r="J401" s="432">
        <v>7124.02</v>
      </c>
      <c r="K401" s="433">
        <v>1268.5600000000002</v>
      </c>
      <c r="L401" s="433">
        <v>32888</v>
      </c>
      <c r="M401" s="104">
        <f t="shared" si="23"/>
        <v>91825.64999999998</v>
      </c>
      <c r="N401" s="1275"/>
      <c r="O401" s="1275"/>
      <c r="P401" s="1275"/>
      <c r="Q401" s="1275"/>
      <c r="R401" s="1275"/>
      <c r="S401" s="1275"/>
    </row>
    <row r="402" spans="1:19">
      <c r="A402" s="339"/>
      <c r="B402" s="199"/>
      <c r="C402" s="1"/>
      <c r="D402" s="273"/>
      <c r="E402" s="366"/>
      <c r="F402" s="366"/>
      <c r="G402" s="366"/>
      <c r="H402" s="379" t="s">
        <v>199</v>
      </c>
      <c r="I402" s="380">
        <v>28891.4</v>
      </c>
      <c r="J402" s="432">
        <v>8339.34</v>
      </c>
      <c r="K402" s="433">
        <v>1310.53</v>
      </c>
      <c r="L402" s="433">
        <v>36419</v>
      </c>
      <c r="M402" s="104">
        <f t="shared" si="23"/>
        <v>89703.379999999976</v>
      </c>
      <c r="N402" s="1275"/>
      <c r="O402" s="1275"/>
      <c r="P402" s="1275"/>
      <c r="Q402" s="1275"/>
      <c r="R402" s="1275"/>
      <c r="S402" s="1275"/>
    </row>
    <row r="403" spans="1:19" ht="15.75" thickBot="1">
      <c r="A403" s="339"/>
      <c r="B403" s="199"/>
      <c r="C403" s="1"/>
      <c r="D403" s="273"/>
      <c r="E403" s="366"/>
      <c r="F403" s="366"/>
      <c r="G403" s="366"/>
      <c r="H403" s="379" t="s">
        <v>209</v>
      </c>
      <c r="I403" s="380">
        <v>28339.37</v>
      </c>
      <c r="J403" s="432">
        <v>1758.9</v>
      </c>
      <c r="K403" s="433">
        <v>1141.96</v>
      </c>
      <c r="L403" s="433">
        <v>35862.5</v>
      </c>
      <c r="M403" s="104">
        <f t="shared" si="23"/>
        <v>94325.64999999998</v>
      </c>
      <c r="N403" s="1275"/>
      <c r="O403" s="1275"/>
      <c r="P403" s="1275"/>
      <c r="Q403" s="1275"/>
      <c r="R403" s="1275"/>
      <c r="S403" s="1275"/>
    </row>
    <row r="404" spans="1:19" ht="15.75" thickTop="1">
      <c r="A404" s="339"/>
      <c r="B404" s="199"/>
      <c r="C404" s="1"/>
      <c r="D404" s="273"/>
      <c r="E404" s="84"/>
      <c r="F404" s="366"/>
      <c r="G404" s="366"/>
      <c r="H404" s="1148" t="s">
        <v>36</v>
      </c>
      <c r="I404" s="1150" t="s">
        <v>178</v>
      </c>
      <c r="J404" s="1151"/>
      <c r="K404" s="1152"/>
      <c r="L404" s="1156" t="s">
        <v>159</v>
      </c>
      <c r="M404" s="1157"/>
      <c r="N404" s="1275"/>
      <c r="O404" s="1275"/>
      <c r="P404" s="1275"/>
      <c r="Q404" s="1275"/>
      <c r="R404" s="1275"/>
      <c r="S404" s="1275"/>
    </row>
    <row r="405" spans="1:19">
      <c r="A405" s="339"/>
      <c r="B405" s="199"/>
      <c r="C405" s="284"/>
      <c r="D405" s="273"/>
      <c r="E405" s="284"/>
      <c r="F405" s="366"/>
      <c r="G405" s="378"/>
      <c r="H405" s="1149"/>
      <c r="I405" s="1153"/>
      <c r="J405" s="1154"/>
      <c r="K405" s="1155"/>
      <c r="L405" s="1158"/>
      <c r="M405" s="1159"/>
      <c r="N405" s="1275"/>
      <c r="O405" s="1275"/>
      <c r="P405" s="1275"/>
      <c r="Q405" s="1275"/>
      <c r="R405" s="1275"/>
      <c r="S405" s="1275"/>
    </row>
    <row r="406" spans="1:19">
      <c r="A406" s="339"/>
      <c r="B406" s="199"/>
      <c r="C406" s="199"/>
      <c r="D406" s="273"/>
      <c r="E406" s="199"/>
      <c r="F406" s="366"/>
      <c r="G406" s="378"/>
      <c r="H406" s="377" t="s">
        <v>250</v>
      </c>
      <c r="I406" s="1278" t="s">
        <v>47</v>
      </c>
      <c r="J406" s="1278"/>
      <c r="K406" s="1062">
        <v>328.13</v>
      </c>
      <c r="L406" s="282">
        <v>43876</v>
      </c>
      <c r="M406" s="44" t="s">
        <v>207</v>
      </c>
      <c r="N406" s="1275"/>
      <c r="O406" s="1275"/>
      <c r="P406" s="1275"/>
      <c r="Q406" s="1275"/>
      <c r="R406" s="1275"/>
      <c r="S406" s="1275"/>
    </row>
    <row r="407" spans="1:19">
      <c r="A407" s="339"/>
      <c r="B407" s="366"/>
      <c r="C407" s="274"/>
      <c r="D407" s="273"/>
      <c r="E407" s="274"/>
      <c r="F407" s="366"/>
      <c r="G407" s="366"/>
      <c r="H407" s="377" t="s">
        <v>250</v>
      </c>
      <c r="I407" s="1262" t="s">
        <v>51</v>
      </c>
      <c r="J407" s="1262"/>
      <c r="K407" s="1061">
        <v>71.83</v>
      </c>
      <c r="L407" s="282">
        <v>43876</v>
      </c>
      <c r="M407" s="44" t="s">
        <v>207</v>
      </c>
      <c r="N407" s="1275"/>
      <c r="O407" s="1275"/>
      <c r="P407" s="1275"/>
      <c r="Q407" s="1275"/>
      <c r="R407" s="1275"/>
      <c r="S407" s="1275"/>
    </row>
    <row r="408" spans="1:19">
      <c r="A408" s="340"/>
      <c r="B408" s="366"/>
      <c r="C408" s="366"/>
      <c r="D408" s="273"/>
      <c r="E408" s="199"/>
      <c r="F408" s="366"/>
      <c r="G408" s="366"/>
      <c r="H408" s="377" t="s">
        <v>250</v>
      </c>
      <c r="I408" s="1262" t="s">
        <v>52</v>
      </c>
      <c r="J408" s="1262"/>
      <c r="K408" s="1061">
        <v>5.63</v>
      </c>
      <c r="L408" s="282">
        <v>43876</v>
      </c>
      <c r="M408" s="44" t="s">
        <v>207</v>
      </c>
      <c r="N408" s="1275"/>
      <c r="O408" s="1275"/>
      <c r="P408" s="1275"/>
      <c r="Q408" s="1275"/>
      <c r="R408" s="1275"/>
      <c r="S408" s="1275"/>
    </row>
    <row r="409" spans="1:19">
      <c r="A409" s="340"/>
      <c r="B409" s="366"/>
      <c r="C409" s="366"/>
      <c r="D409" s="273"/>
      <c r="E409" s="366"/>
      <c r="F409" s="366"/>
      <c r="G409" s="366"/>
      <c r="H409" s="377" t="s">
        <v>250</v>
      </c>
      <c r="I409" s="1262" t="s">
        <v>49</v>
      </c>
      <c r="J409" s="1262"/>
      <c r="K409" s="1061">
        <v>257</v>
      </c>
      <c r="L409" s="282">
        <v>43881</v>
      </c>
      <c r="M409" s="44" t="s">
        <v>247</v>
      </c>
      <c r="N409" s="1275"/>
      <c r="O409" s="1275"/>
      <c r="P409" s="1275"/>
      <c r="Q409" s="1275"/>
      <c r="R409" s="1275"/>
      <c r="S409" s="1275"/>
    </row>
    <row r="410" spans="1:19">
      <c r="A410" s="340"/>
      <c r="B410" s="366"/>
      <c r="C410" s="366"/>
      <c r="D410" s="273"/>
      <c r="E410" s="366"/>
      <c r="F410" s="366"/>
      <c r="G410" s="366"/>
      <c r="H410" s="377" t="s">
        <v>250</v>
      </c>
      <c r="I410" s="1263" t="s">
        <v>59</v>
      </c>
      <c r="J410" s="1263"/>
      <c r="K410" s="1063">
        <v>846.17</v>
      </c>
      <c r="L410" s="302" t="s">
        <v>177</v>
      </c>
      <c r="M410" s="44" t="s">
        <v>207</v>
      </c>
      <c r="N410" s="1275"/>
      <c r="O410" s="1275"/>
      <c r="P410" s="1275"/>
      <c r="Q410" s="1275"/>
      <c r="R410" s="1275"/>
      <c r="S410" s="1275"/>
    </row>
    <row r="411" spans="1:19">
      <c r="A411" s="340"/>
      <c r="B411" s="199"/>
      <c r="C411" s="199"/>
      <c r="D411" s="273"/>
      <c r="E411" s="199"/>
      <c r="F411" s="366"/>
      <c r="G411" s="366"/>
      <c r="H411" s="377" t="s">
        <v>250</v>
      </c>
      <c r="I411" s="1264" t="s">
        <v>68</v>
      </c>
      <c r="J411" s="1265"/>
      <c r="K411" s="1061">
        <v>333.58</v>
      </c>
      <c r="L411" s="282">
        <v>43881</v>
      </c>
      <c r="M411" s="44" t="s">
        <v>207</v>
      </c>
      <c r="N411" s="1275"/>
      <c r="O411" s="1275"/>
      <c r="P411" s="1275"/>
      <c r="Q411" s="1275"/>
      <c r="R411" s="1275"/>
      <c r="S411" s="1275"/>
    </row>
    <row r="412" spans="1:19">
      <c r="A412" s="340"/>
      <c r="B412" s="199"/>
      <c r="C412" s="366"/>
      <c r="D412" s="273"/>
      <c r="E412" s="199"/>
      <c r="F412" s="366"/>
      <c r="G412" s="366"/>
      <c r="H412" s="377" t="s">
        <v>250</v>
      </c>
      <c r="I412" s="1059" t="s">
        <v>174</v>
      </c>
      <c r="J412" s="1060"/>
      <c r="K412" s="5">
        <v>518.58999999999992</v>
      </c>
      <c r="L412" s="282">
        <v>43876</v>
      </c>
      <c r="M412" s="44" t="s">
        <v>207</v>
      </c>
      <c r="N412" s="1275"/>
      <c r="O412" s="1275"/>
      <c r="P412" s="1275"/>
      <c r="Q412" s="1275"/>
      <c r="R412" s="1275"/>
      <c r="S412" s="1275"/>
    </row>
    <row r="413" spans="1:19">
      <c r="A413" s="340"/>
      <c r="B413" s="199"/>
      <c r="C413" s="366"/>
      <c r="D413" s="273"/>
      <c r="E413" s="199"/>
      <c r="F413" s="366"/>
      <c r="G413" s="366"/>
      <c r="H413" s="377" t="s">
        <v>258</v>
      </c>
      <c r="I413" s="1059" t="s">
        <v>176</v>
      </c>
      <c r="J413" s="1060"/>
      <c r="K413" s="1061"/>
      <c r="L413" s="282">
        <v>43881</v>
      </c>
      <c r="M413" s="44" t="s">
        <v>207</v>
      </c>
      <c r="N413" s="1275"/>
      <c r="O413" s="1275"/>
      <c r="P413" s="1275"/>
      <c r="Q413" s="1275"/>
      <c r="R413" s="1275"/>
      <c r="S413" s="1275"/>
    </row>
    <row r="414" spans="1:19">
      <c r="A414" s="340"/>
      <c r="B414" s="199"/>
      <c r="C414" s="366"/>
      <c r="D414" s="273"/>
      <c r="E414" s="232"/>
      <c r="F414" s="366"/>
      <c r="G414" s="366"/>
      <c r="H414" s="377" t="s">
        <v>250</v>
      </c>
      <c r="I414" s="1264" t="s">
        <v>81</v>
      </c>
      <c r="J414" s="1265"/>
      <c r="K414" s="1061">
        <v>1542</v>
      </c>
      <c r="L414" s="282">
        <v>43876</v>
      </c>
      <c r="M414" s="44" t="s">
        <v>207</v>
      </c>
      <c r="N414" s="1275"/>
      <c r="O414" s="1275"/>
      <c r="P414" s="1275"/>
      <c r="Q414" s="1275"/>
      <c r="R414" s="1275"/>
      <c r="S414" s="1275"/>
    </row>
    <row r="415" spans="1:19">
      <c r="A415" s="340"/>
      <c r="B415" s="199"/>
      <c r="C415" s="366"/>
      <c r="D415" s="273"/>
      <c r="E415" s="232"/>
      <c r="F415" s="366"/>
      <c r="G415" s="366"/>
      <c r="H415" s="377" t="s">
        <v>250</v>
      </c>
      <c r="I415" s="1264" t="s">
        <v>181</v>
      </c>
      <c r="J415" s="1265"/>
      <c r="K415" s="1061">
        <v>10</v>
      </c>
      <c r="L415" s="282">
        <v>43876</v>
      </c>
      <c r="M415" s="44" t="s">
        <v>207</v>
      </c>
      <c r="N415" s="1275"/>
      <c r="O415" s="1275"/>
      <c r="P415" s="1275"/>
      <c r="Q415" s="1275"/>
      <c r="R415" s="1275"/>
      <c r="S415" s="1275"/>
    </row>
    <row r="416" spans="1:19">
      <c r="A416" s="340"/>
      <c r="B416" s="199"/>
      <c r="C416" s="366"/>
      <c r="D416" s="273"/>
      <c r="E416" s="232"/>
      <c r="F416" s="366"/>
      <c r="G416" s="366"/>
      <c r="H416" s="377" t="s">
        <v>250</v>
      </c>
      <c r="I416" s="1145" t="s">
        <v>61</v>
      </c>
      <c r="J416" s="1145"/>
      <c r="K416" s="1061">
        <f>J378</f>
        <v>2533.39</v>
      </c>
      <c r="L416" s="282">
        <v>43881</v>
      </c>
      <c r="M416" s="44" t="s">
        <v>207</v>
      </c>
      <c r="N416" s="1275"/>
      <c r="O416" s="1275"/>
      <c r="P416" s="1275"/>
      <c r="Q416" s="1275"/>
      <c r="R416" s="1275"/>
      <c r="S416" s="1275"/>
    </row>
    <row r="417" spans="1:19" ht="15.75" thickBot="1">
      <c r="A417" s="341"/>
      <c r="B417" s="330"/>
      <c r="C417" s="331"/>
      <c r="D417" s="342"/>
      <c r="E417" s="330"/>
      <c r="F417" s="331"/>
      <c r="G417" s="331"/>
      <c r="H417" s="346"/>
      <c r="I417" s="361" t="s">
        <v>179</v>
      </c>
      <c r="J417" s="361">
        <f>SUM(K406:K416)</f>
        <v>6446.32</v>
      </c>
      <c r="K417" s="1146" t="s">
        <v>180</v>
      </c>
      <c r="L417" s="1146"/>
      <c r="M417" s="484">
        <v>0</v>
      </c>
      <c r="N417" s="1275"/>
      <c r="O417" s="1275"/>
      <c r="P417" s="1275"/>
      <c r="Q417" s="1275"/>
      <c r="R417" s="1275"/>
      <c r="S417" s="1275"/>
    </row>
    <row r="418" spans="1:19" ht="15.75" thickTop="1">
      <c r="A418" s="366"/>
      <c r="B418" s="366"/>
      <c r="C418" s="366"/>
      <c r="D418" s="366"/>
      <c r="E418" s="366"/>
      <c r="F418" s="366"/>
      <c r="G418" s="366"/>
      <c r="H418" s="1162"/>
      <c r="I418" s="1162"/>
      <c r="J418" s="1162"/>
      <c r="K418" s="1162"/>
      <c r="L418" s="366"/>
      <c r="M418" s="441"/>
      <c r="N418" s="1275"/>
      <c r="O418" s="1275"/>
      <c r="P418" s="1275"/>
      <c r="Q418" s="1275"/>
      <c r="R418" s="1275"/>
      <c r="S418" s="1275"/>
    </row>
    <row r="419" spans="1:19">
      <c r="A419" s="1163" t="s">
        <v>261</v>
      </c>
      <c r="B419" s="1163"/>
      <c r="C419" s="1163"/>
      <c r="D419" s="1163"/>
      <c r="E419" s="1163"/>
      <c r="F419" s="1163"/>
      <c r="G419" s="1163"/>
      <c r="H419" s="1163"/>
      <c r="I419" s="1163"/>
      <c r="J419" s="1163"/>
      <c r="K419" s="1163"/>
      <c r="L419" s="1163"/>
      <c r="M419" s="1163"/>
      <c r="N419" s="1275"/>
      <c r="O419" s="1275"/>
      <c r="P419" s="1275"/>
      <c r="Q419" s="1275"/>
      <c r="R419" s="1275"/>
      <c r="S419" s="1275"/>
    </row>
    <row r="420" spans="1:19" ht="15.75" thickBot="1">
      <c r="A420" s="1164"/>
      <c r="B420" s="1164"/>
      <c r="C420" s="1164"/>
      <c r="D420" s="1164"/>
      <c r="E420" s="1164"/>
      <c r="F420" s="1164"/>
      <c r="G420" s="1164"/>
      <c r="H420" s="1164"/>
      <c r="I420" s="1164"/>
      <c r="J420" s="1164"/>
      <c r="K420" s="1164"/>
      <c r="L420" s="1164"/>
      <c r="M420" s="1164"/>
      <c r="N420" s="1275"/>
      <c r="O420" s="1275"/>
      <c r="P420" s="1275"/>
      <c r="Q420" s="1275"/>
      <c r="R420" s="1275"/>
      <c r="S420" s="1275"/>
    </row>
    <row r="421" spans="1:19" ht="15.75" thickTop="1">
      <c r="A421" s="1266" t="s">
        <v>28</v>
      </c>
      <c r="B421" s="1166"/>
      <c r="C421" s="1166"/>
      <c r="D421" s="1166"/>
      <c r="E421" s="1166"/>
      <c r="F421" s="1166"/>
      <c r="G421" s="1167"/>
      <c r="H421" s="1168" t="s">
        <v>260</v>
      </c>
      <c r="I421" s="1169"/>
      <c r="J421" s="1169"/>
      <c r="K421" s="1169"/>
      <c r="L421" s="1169"/>
      <c r="M421" s="1170"/>
      <c r="N421" s="1275"/>
      <c r="O421" s="1275"/>
      <c r="P421" s="1275"/>
      <c r="Q421" s="1275"/>
      <c r="R421" s="1275"/>
      <c r="S421" s="1275"/>
    </row>
    <row r="422" spans="1:19">
      <c r="A422" s="324" t="s">
        <v>2</v>
      </c>
      <c r="B422" s="1049" t="s">
        <v>34</v>
      </c>
      <c r="C422" s="36" t="s">
        <v>35</v>
      </c>
      <c r="D422" s="36" t="s">
        <v>38</v>
      </c>
      <c r="E422" s="36" t="s">
        <v>42</v>
      </c>
      <c r="F422" s="1049" t="s">
        <v>36</v>
      </c>
      <c r="G422" s="100" t="s">
        <v>173</v>
      </c>
      <c r="H422" s="43"/>
      <c r="I422" s="1050" t="s">
        <v>35</v>
      </c>
      <c r="J422" s="1050" t="s">
        <v>38</v>
      </c>
      <c r="K422" s="1050" t="s">
        <v>42</v>
      </c>
      <c r="L422" s="263" t="s">
        <v>44</v>
      </c>
      <c r="M422" s="442"/>
      <c r="N422" s="1275"/>
      <c r="O422" s="1275"/>
      <c r="P422" s="1275"/>
      <c r="Q422" s="1275"/>
      <c r="R422" s="1275"/>
      <c r="S422" s="1275"/>
    </row>
    <row r="423" spans="1:19">
      <c r="A423" s="325" t="s">
        <v>251</v>
      </c>
      <c r="B423" s="161" t="s">
        <v>253</v>
      </c>
      <c r="C423" s="98" t="s">
        <v>252</v>
      </c>
      <c r="D423" s="98"/>
      <c r="E423" s="160"/>
      <c r="F423" s="162"/>
      <c r="G423" s="449"/>
      <c r="H423" s="43"/>
      <c r="I423" s="1057">
        <v>529.24</v>
      </c>
      <c r="J423" s="1057">
        <v>529.24</v>
      </c>
      <c r="K423" s="160">
        <f>I423-J423</f>
        <v>0</v>
      </c>
      <c r="L423" s="3">
        <v>43886</v>
      </c>
      <c r="M423" s="434"/>
      <c r="N423" s="1275"/>
      <c r="O423" s="1275"/>
      <c r="P423" s="1275"/>
      <c r="Q423" s="1275"/>
      <c r="R423" s="1275"/>
      <c r="S423" s="1275"/>
    </row>
    <row r="424" spans="1:19">
      <c r="A424" s="325">
        <v>43868</v>
      </c>
      <c r="B424" s="161" t="s">
        <v>255</v>
      </c>
      <c r="C424" s="98">
        <v>519.79999999999995</v>
      </c>
      <c r="D424" s="98">
        <v>519.79999999999995</v>
      </c>
      <c r="E424" s="160" t="str">
        <f>IF(C424-D424=0,"",C424-D424)</f>
        <v/>
      </c>
      <c r="F424" s="162" t="str">
        <f>IF(C424=0,"",IF(C424-D424=0,"оплачено","ОЖИДАЕТСЯ оплата"))</f>
        <v>оплачено</v>
      </c>
      <c r="G424" s="449"/>
      <c r="H424" s="43"/>
      <c r="I424" s="293"/>
      <c r="J424" s="293"/>
      <c r="K424" s="443"/>
      <c r="L424" s="144"/>
      <c r="M424" s="434"/>
      <c r="N424" s="1275"/>
      <c r="O424" s="1275"/>
      <c r="P424" s="1275"/>
      <c r="Q424" s="1275"/>
      <c r="R424" s="1275"/>
      <c r="S424" s="1275"/>
    </row>
    <row r="425" spans="1:19">
      <c r="A425" s="325">
        <v>43871</v>
      </c>
      <c r="B425" s="161" t="s">
        <v>256</v>
      </c>
      <c r="C425" s="275">
        <v>172.49</v>
      </c>
      <c r="D425" s="275">
        <v>172.49</v>
      </c>
      <c r="E425" s="160" t="str">
        <f t="shared" ref="E425:E438" si="24">IF(C425-D425=0,"",C425-D425)</f>
        <v/>
      </c>
      <c r="F425" s="162" t="str">
        <f t="shared" ref="F425:F438" si="25">IF(C425=0,"",IF(C425-D425=0,"оплачено","ОЖИДАЕТСЯ оплата"))</f>
        <v>оплачено</v>
      </c>
      <c r="G425" s="449"/>
      <c r="H425" s="43"/>
      <c r="I425" s="1"/>
      <c r="J425" s="366"/>
      <c r="K425" s="1"/>
      <c r="L425" s="1"/>
      <c r="M425" s="44"/>
      <c r="N425" s="1275"/>
      <c r="O425" s="1275"/>
      <c r="P425" s="1275"/>
      <c r="Q425" s="1275"/>
      <c r="R425" s="1275"/>
      <c r="S425" s="1275"/>
    </row>
    <row r="426" spans="1:19">
      <c r="A426" s="325">
        <v>43872</v>
      </c>
      <c r="B426" s="161" t="s">
        <v>205</v>
      </c>
      <c r="C426" s="98">
        <v>107.47</v>
      </c>
      <c r="D426" s="98">
        <v>107.47</v>
      </c>
      <c r="E426" s="160" t="str">
        <f t="shared" si="24"/>
        <v/>
      </c>
      <c r="F426" s="162" t="str">
        <f t="shared" si="25"/>
        <v>оплачено</v>
      </c>
      <c r="G426" s="449"/>
      <c r="H426" s="43"/>
      <c r="I426" s="1"/>
      <c r="J426" s="366"/>
      <c r="K426" s="1"/>
      <c r="L426" s="1"/>
      <c r="M426" s="44"/>
      <c r="N426" s="1275"/>
      <c r="O426" s="1275"/>
      <c r="P426" s="1275"/>
      <c r="Q426" s="1275"/>
      <c r="R426" s="1275"/>
      <c r="S426" s="1275"/>
    </row>
    <row r="427" spans="1:19">
      <c r="A427" s="325">
        <v>43873</v>
      </c>
      <c r="B427" s="161" t="s">
        <v>222</v>
      </c>
      <c r="C427" s="98">
        <v>259.39</v>
      </c>
      <c r="D427" s="98">
        <v>259.39</v>
      </c>
      <c r="E427" s="160" t="str">
        <f t="shared" si="24"/>
        <v/>
      </c>
      <c r="F427" s="162" t="str">
        <f t="shared" si="25"/>
        <v>оплачено</v>
      </c>
      <c r="G427" s="449"/>
      <c r="H427" s="43"/>
      <c r="I427" s="1"/>
      <c r="J427" s="366"/>
      <c r="K427" s="1"/>
      <c r="L427" s="1"/>
      <c r="M427" s="44"/>
      <c r="N427" s="1275"/>
      <c r="O427" s="1275"/>
      <c r="P427" s="1275"/>
      <c r="Q427" s="1275"/>
      <c r="R427" s="1275"/>
      <c r="S427" s="1275"/>
    </row>
    <row r="428" spans="1:19">
      <c r="A428" s="325">
        <v>43874</v>
      </c>
      <c r="B428" s="161" t="s">
        <v>255</v>
      </c>
      <c r="C428" s="275">
        <v>53</v>
      </c>
      <c r="D428" s="275">
        <v>53</v>
      </c>
      <c r="E428" s="160" t="str">
        <f t="shared" si="24"/>
        <v/>
      </c>
      <c r="F428" s="162" t="str">
        <f t="shared" si="25"/>
        <v>оплачено</v>
      </c>
      <c r="G428" s="449"/>
      <c r="H428" s="43"/>
      <c r="I428" s="1"/>
      <c r="J428" s="366"/>
      <c r="K428" s="1"/>
      <c r="L428" s="1"/>
      <c r="M428" s="44"/>
      <c r="N428" s="1275"/>
      <c r="O428" s="1275"/>
      <c r="P428" s="1275"/>
      <c r="Q428" s="1275"/>
      <c r="R428" s="1275"/>
      <c r="S428" s="1275"/>
    </row>
    <row r="429" spans="1:19">
      <c r="A429" s="325">
        <v>43880</v>
      </c>
      <c r="B429" s="161" t="s">
        <v>205</v>
      </c>
      <c r="C429" s="275">
        <v>249.96</v>
      </c>
      <c r="D429" s="275">
        <v>249.96</v>
      </c>
      <c r="E429" s="160" t="str">
        <f t="shared" si="24"/>
        <v/>
      </c>
      <c r="F429" s="162" t="str">
        <f t="shared" si="25"/>
        <v>оплачено</v>
      </c>
      <c r="G429" s="449"/>
      <c r="H429" s="43"/>
      <c r="I429" s="1"/>
      <c r="J429" s="366"/>
      <c r="K429" s="1"/>
      <c r="L429" s="1"/>
      <c r="M429" s="44"/>
      <c r="N429" s="1275"/>
      <c r="O429" s="1275"/>
      <c r="P429" s="1275"/>
      <c r="Q429" s="1275"/>
      <c r="R429" s="1275"/>
      <c r="S429" s="1275"/>
    </row>
    <row r="430" spans="1:19">
      <c r="A430" s="325">
        <v>43882</v>
      </c>
      <c r="B430" s="161" t="s">
        <v>255</v>
      </c>
      <c r="C430" s="275">
        <v>129.15</v>
      </c>
      <c r="D430" s="275">
        <v>129.15</v>
      </c>
      <c r="E430" s="160" t="str">
        <f t="shared" si="24"/>
        <v/>
      </c>
      <c r="F430" s="162" t="str">
        <f>IF(C430=0,"",IF(C430-D430=0,"оплачено","ОЖИДАЕТСЯ оплата"))</f>
        <v>оплачено</v>
      </c>
      <c r="G430" s="162"/>
      <c r="H430" s="43"/>
      <c r="I430" s="1"/>
      <c r="J430" s="366"/>
      <c r="K430" s="1"/>
      <c r="L430" s="1"/>
      <c r="M430" s="44"/>
      <c r="N430" s="1275"/>
      <c r="O430" s="1275"/>
      <c r="P430" s="1275"/>
      <c r="Q430" s="1275"/>
      <c r="R430" s="1275"/>
      <c r="S430" s="1275"/>
    </row>
    <row r="431" spans="1:19">
      <c r="A431" s="325">
        <v>43887</v>
      </c>
      <c r="B431" s="161" t="s">
        <v>212</v>
      </c>
      <c r="C431" s="275">
        <v>266.66000000000003</v>
      </c>
      <c r="D431" s="275">
        <v>266.66000000000003</v>
      </c>
      <c r="E431" s="160" t="str">
        <f t="shared" si="24"/>
        <v/>
      </c>
      <c r="F431" s="162" t="str">
        <f t="shared" si="25"/>
        <v>оплачено</v>
      </c>
      <c r="G431" s="162"/>
      <c r="H431" s="43"/>
      <c r="I431" s="1"/>
      <c r="J431" s="366"/>
      <c r="K431" s="1"/>
      <c r="L431" s="1"/>
      <c r="M431" s="44"/>
      <c r="N431" s="1275"/>
      <c r="O431" s="1275"/>
      <c r="P431" s="1275"/>
      <c r="Q431" s="1275"/>
      <c r="R431" s="1275"/>
      <c r="S431" s="1275"/>
    </row>
    <row r="432" spans="1:19">
      <c r="A432" s="325"/>
      <c r="B432" s="161"/>
      <c r="C432" s="275"/>
      <c r="D432" s="161"/>
      <c r="E432" s="160" t="str">
        <f t="shared" si="24"/>
        <v/>
      </c>
      <c r="F432" s="162" t="str">
        <f t="shared" si="25"/>
        <v/>
      </c>
      <c r="G432" s="162"/>
      <c r="H432" s="43"/>
      <c r="I432" s="1"/>
      <c r="J432" s="366"/>
      <c r="K432" s="1"/>
      <c r="L432" s="1"/>
      <c r="M432" s="44"/>
      <c r="N432" s="1275"/>
      <c r="O432" s="1275"/>
      <c r="P432" s="1275"/>
      <c r="Q432" s="1275"/>
      <c r="R432" s="1275"/>
      <c r="S432" s="1275"/>
    </row>
    <row r="433" spans="1:19">
      <c r="A433" s="325"/>
      <c r="B433" s="161"/>
      <c r="C433" s="275"/>
      <c r="D433" s="161"/>
      <c r="E433" s="160" t="str">
        <f t="shared" si="24"/>
        <v/>
      </c>
      <c r="F433" s="162" t="str">
        <f t="shared" si="25"/>
        <v/>
      </c>
      <c r="G433" s="162" t="str">
        <f t="shared" ref="G433:G438" si="26">IF(C433=0,"",IF(C433-D433=0,"","нет накладной"))</f>
        <v/>
      </c>
      <c r="H433" s="43"/>
      <c r="I433" s="1"/>
      <c r="J433" s="366"/>
      <c r="K433" s="1"/>
      <c r="L433" s="1"/>
      <c r="M433" s="44"/>
      <c r="N433" s="1275"/>
      <c r="O433" s="1275"/>
      <c r="P433" s="1275"/>
      <c r="Q433" s="1275"/>
      <c r="R433" s="1275"/>
      <c r="S433" s="1275"/>
    </row>
    <row r="434" spans="1:19">
      <c r="A434" s="325"/>
      <c r="B434" s="161"/>
      <c r="C434" s="275"/>
      <c r="D434" s="275"/>
      <c r="E434" s="160" t="str">
        <f t="shared" si="24"/>
        <v/>
      </c>
      <c r="F434" s="162" t="str">
        <f t="shared" si="25"/>
        <v/>
      </c>
      <c r="G434" s="162" t="str">
        <f t="shared" si="26"/>
        <v/>
      </c>
      <c r="H434" s="43"/>
      <c r="I434" s="1"/>
      <c r="J434" s="366"/>
      <c r="K434" s="1"/>
      <c r="L434" s="1"/>
      <c r="M434" s="44"/>
      <c r="N434" s="1275"/>
      <c r="O434" s="1275"/>
      <c r="P434" s="1275"/>
      <c r="Q434" s="1275"/>
      <c r="R434" s="1275"/>
      <c r="S434" s="1275"/>
    </row>
    <row r="435" spans="1:19">
      <c r="A435" s="327"/>
      <c r="B435" s="161"/>
      <c r="C435" s="161"/>
      <c r="D435" s="161"/>
      <c r="E435" s="160" t="str">
        <f t="shared" si="24"/>
        <v/>
      </c>
      <c r="F435" s="162" t="str">
        <f t="shared" si="25"/>
        <v/>
      </c>
      <c r="G435" s="162" t="str">
        <f t="shared" si="26"/>
        <v/>
      </c>
      <c r="H435" s="43"/>
      <c r="I435" s="1"/>
      <c r="J435" s="366"/>
      <c r="K435" s="1"/>
      <c r="L435" s="1"/>
      <c r="M435" s="44"/>
      <c r="N435" s="1275"/>
      <c r="O435" s="1275"/>
      <c r="P435" s="1275"/>
      <c r="Q435" s="1275"/>
      <c r="R435" s="1275"/>
      <c r="S435" s="1275"/>
    </row>
    <row r="436" spans="1:19">
      <c r="A436" s="328"/>
      <c r="B436" s="161"/>
      <c r="C436" s="161"/>
      <c r="D436" s="161"/>
      <c r="E436" s="160" t="str">
        <f t="shared" si="24"/>
        <v/>
      </c>
      <c r="F436" s="162" t="str">
        <f t="shared" si="25"/>
        <v/>
      </c>
      <c r="G436" s="162" t="str">
        <f t="shared" si="26"/>
        <v/>
      </c>
      <c r="H436" s="43"/>
      <c r="I436" s="1"/>
      <c r="J436" s="366"/>
      <c r="K436" s="1"/>
      <c r="L436" s="1"/>
      <c r="M436" s="44"/>
      <c r="N436" s="1275"/>
      <c r="O436" s="1275"/>
      <c r="P436" s="1275"/>
      <c r="Q436" s="1275"/>
      <c r="R436" s="1275"/>
      <c r="S436" s="1275"/>
    </row>
    <row r="437" spans="1:19">
      <c r="A437" s="328"/>
      <c r="B437" s="161"/>
      <c r="C437" s="161"/>
      <c r="D437" s="161"/>
      <c r="E437" s="160" t="str">
        <f t="shared" si="24"/>
        <v/>
      </c>
      <c r="F437" s="162" t="str">
        <f t="shared" si="25"/>
        <v/>
      </c>
      <c r="G437" s="162" t="str">
        <f t="shared" si="26"/>
        <v/>
      </c>
      <c r="H437" s="43"/>
      <c r="I437" s="1"/>
      <c r="J437" s="366"/>
      <c r="K437" s="1"/>
      <c r="L437" s="1"/>
      <c r="M437" s="44"/>
      <c r="N437" s="1275"/>
      <c r="O437" s="1275"/>
      <c r="P437" s="1275"/>
      <c r="Q437" s="1275"/>
      <c r="R437" s="1275"/>
      <c r="S437" s="1275"/>
    </row>
    <row r="438" spans="1:19">
      <c r="A438" s="327"/>
      <c r="B438" s="161"/>
      <c r="C438" s="161"/>
      <c r="D438" s="161"/>
      <c r="E438" s="160" t="str">
        <f t="shared" si="24"/>
        <v/>
      </c>
      <c r="F438" s="162" t="str">
        <f t="shared" si="25"/>
        <v/>
      </c>
      <c r="G438" s="162" t="str">
        <f t="shared" si="26"/>
        <v/>
      </c>
      <c r="H438" s="43"/>
      <c r="I438" s="1"/>
      <c r="J438" s="366"/>
      <c r="K438" s="1"/>
      <c r="L438" s="1"/>
      <c r="M438" s="44"/>
      <c r="N438" s="1275"/>
      <c r="O438" s="1275"/>
      <c r="P438" s="1275"/>
      <c r="Q438" s="1275"/>
      <c r="R438" s="1275"/>
      <c r="S438" s="1275"/>
    </row>
    <row r="439" spans="1:19" ht="15.75" thickBot="1">
      <c r="A439" s="1272" t="s">
        <v>259</v>
      </c>
      <c r="B439" s="1273"/>
      <c r="C439" s="358">
        <f>SUM(C424:C438)</f>
        <v>1757.9200000000003</v>
      </c>
      <c r="D439" s="358"/>
      <c r="E439" s="160">
        <f>SUM(E423:E438)</f>
        <v>0</v>
      </c>
      <c r="F439" s="162"/>
      <c r="G439" s="450"/>
      <c r="H439" s="43"/>
      <c r="I439" s="1"/>
      <c r="J439" s="366"/>
      <c r="K439" s="1"/>
      <c r="L439" s="1"/>
      <c r="M439" s="44"/>
      <c r="N439" s="1275"/>
      <c r="O439" s="1275"/>
      <c r="P439" s="1275"/>
      <c r="Q439" s="1275"/>
      <c r="R439" s="1275"/>
      <c r="S439" s="1275"/>
    </row>
    <row r="440" spans="1:19" ht="15.75" thickTop="1">
      <c r="A440" s="351"/>
      <c r="B440" s="352"/>
      <c r="C440" s="353"/>
      <c r="D440" s="353"/>
      <c r="E440" s="354"/>
      <c r="F440" s="352"/>
      <c r="G440" s="376"/>
      <c r="H440" s="1171" t="s">
        <v>16</v>
      </c>
      <c r="I440" s="1173" t="s">
        <v>17</v>
      </c>
      <c r="J440" s="1173" t="s">
        <v>21</v>
      </c>
      <c r="K440" s="1173"/>
      <c r="L440" s="1175" t="s">
        <v>93</v>
      </c>
      <c r="M440" s="1177" t="s">
        <v>95</v>
      </c>
      <c r="N440" s="1275"/>
      <c r="O440" s="1275"/>
      <c r="P440" s="1275"/>
      <c r="Q440" s="1275"/>
      <c r="R440" s="1275"/>
      <c r="S440" s="1275"/>
    </row>
    <row r="441" spans="1:19" ht="24">
      <c r="A441" s="355"/>
      <c r="B441" s="201"/>
      <c r="C441" s="201"/>
      <c r="D441" s="201"/>
      <c r="E441" s="216"/>
      <c r="F441" s="201"/>
      <c r="G441" s="201"/>
      <c r="H441" s="1172"/>
      <c r="I441" s="1174"/>
      <c r="J441" s="1054" t="s">
        <v>21</v>
      </c>
      <c r="K441" s="1054" t="s">
        <v>25</v>
      </c>
      <c r="L441" s="1176"/>
      <c r="M441" s="1178"/>
      <c r="N441" s="1275"/>
      <c r="O441" s="1275"/>
      <c r="P441" s="1275"/>
      <c r="Q441" s="1275"/>
      <c r="R441" s="1275"/>
      <c r="S441" s="1275"/>
    </row>
    <row r="442" spans="1:19">
      <c r="A442" s="338"/>
      <c r="B442" s="199"/>
      <c r="C442" s="288"/>
      <c r="D442" s="232"/>
      <c r="E442" s="84"/>
      <c r="F442" s="199"/>
      <c r="G442" s="199"/>
      <c r="H442" s="347" t="s">
        <v>163</v>
      </c>
      <c r="I442" s="94">
        <v>2420.3999999999996</v>
      </c>
      <c r="J442" s="94">
        <v>115.5</v>
      </c>
      <c r="K442" s="1056">
        <v>132.61000000000001</v>
      </c>
      <c r="L442" s="96">
        <v>22665.5</v>
      </c>
      <c r="M442" s="104">
        <f>L442-I442-J442-K442</f>
        <v>19996.989999999998</v>
      </c>
      <c r="N442" s="1275"/>
      <c r="O442" s="1275"/>
      <c r="P442" s="1275"/>
      <c r="Q442" s="1275"/>
      <c r="R442" s="1275"/>
      <c r="S442" s="1275"/>
    </row>
    <row r="443" spans="1:19">
      <c r="A443" s="339"/>
      <c r="B443" s="199"/>
      <c r="C443" s="199"/>
      <c r="D443" s="273"/>
      <c r="E443" s="366"/>
      <c r="F443" s="84"/>
      <c r="G443" s="366"/>
      <c r="H443" s="347" t="s">
        <v>192</v>
      </c>
      <c r="I443" s="94">
        <v>7629.69</v>
      </c>
      <c r="J443" s="94">
        <v>352.29</v>
      </c>
      <c r="K443" s="94">
        <v>193.85000000000002</v>
      </c>
      <c r="L443" s="96">
        <v>10342</v>
      </c>
      <c r="M443" s="104">
        <f>M442-I443-J443-K443+L443</f>
        <v>22163.159999999996</v>
      </c>
      <c r="N443" s="1275"/>
      <c r="O443" s="1275"/>
      <c r="P443" s="1275"/>
      <c r="Q443" s="1275"/>
      <c r="R443" s="1275"/>
      <c r="S443" s="1275"/>
    </row>
    <row r="444" spans="1:19">
      <c r="A444" s="339"/>
      <c r="B444" s="366"/>
      <c r="C444" s="199"/>
      <c r="D444" s="273"/>
      <c r="E444" s="366"/>
      <c r="F444" s="366"/>
      <c r="G444" s="366"/>
      <c r="H444" s="347" t="s">
        <v>199</v>
      </c>
      <c r="I444" s="298">
        <v>8423.6400000000012</v>
      </c>
      <c r="J444" s="94">
        <v>921.3</v>
      </c>
      <c r="K444" s="299">
        <v>312.46000000000004</v>
      </c>
      <c r="L444" s="299">
        <v>16668</v>
      </c>
      <c r="M444" s="104">
        <f>M443-I444-J444-K444+L444</f>
        <v>29173.759999999995</v>
      </c>
      <c r="N444" s="1275"/>
      <c r="O444" s="1275"/>
      <c r="P444" s="1275"/>
      <c r="Q444" s="1275"/>
      <c r="R444" s="1275"/>
      <c r="S444" s="1275"/>
    </row>
    <row r="445" spans="1:19">
      <c r="A445" s="339"/>
      <c r="B445" s="1"/>
      <c r="C445" s="284"/>
      <c r="D445" s="273"/>
      <c r="E445" s="366"/>
      <c r="F445" s="366"/>
      <c r="G445" s="84"/>
      <c r="H445" s="347" t="s">
        <v>209</v>
      </c>
      <c r="I445" s="299">
        <v>8639.7199999999993</v>
      </c>
      <c r="J445" s="300">
        <v>749.49</v>
      </c>
      <c r="K445" s="526">
        <v>435.1</v>
      </c>
      <c r="L445" s="299">
        <v>17824.919999999998</v>
      </c>
      <c r="M445" s="104">
        <f>M444-I445-J445-K445+L445</f>
        <v>37174.369999999995</v>
      </c>
      <c r="N445" s="1275"/>
      <c r="O445" s="1275"/>
      <c r="P445" s="1275"/>
      <c r="Q445" s="1275"/>
      <c r="R445" s="1275"/>
      <c r="S445" s="1275"/>
    </row>
    <row r="446" spans="1:19">
      <c r="A446" s="339"/>
      <c r="B446" s="199"/>
      <c r="C446" s="1"/>
      <c r="D446" s="273"/>
      <c r="E446" s="366"/>
      <c r="F446" s="366"/>
      <c r="G446" s="366"/>
      <c r="H446" s="348" t="s">
        <v>210</v>
      </c>
      <c r="I446" s="300"/>
      <c r="J446" s="299"/>
      <c r="K446" s="300"/>
      <c r="L446" s="299"/>
      <c r="M446" s="104"/>
      <c r="N446" s="1275"/>
      <c r="O446" s="1275"/>
      <c r="P446" s="1275"/>
      <c r="Q446" s="1275"/>
      <c r="R446" s="1275"/>
      <c r="S446" s="1275"/>
    </row>
    <row r="447" spans="1:19" ht="15.75" thickBot="1">
      <c r="A447" s="339"/>
      <c r="B447" s="199"/>
      <c r="C447" s="1"/>
      <c r="D447" s="273"/>
      <c r="E447" s="366"/>
      <c r="F447" s="366"/>
      <c r="G447" s="366"/>
      <c r="H447" s="379" t="s">
        <v>211</v>
      </c>
      <c r="I447" s="380"/>
      <c r="J447" s="432"/>
      <c r="K447" s="381"/>
      <c r="L447" s="433"/>
      <c r="M447" s="382"/>
      <c r="N447" s="1275"/>
      <c r="O447" s="1275"/>
      <c r="P447" s="1275"/>
      <c r="Q447" s="1275"/>
      <c r="R447" s="1275"/>
      <c r="S447" s="1275"/>
    </row>
    <row r="448" spans="1:19" ht="15.75" thickTop="1">
      <c r="A448" s="339"/>
      <c r="B448" s="199"/>
      <c r="C448" s="1"/>
      <c r="D448" s="273"/>
      <c r="E448" s="84"/>
      <c r="F448" s="366"/>
      <c r="G448" s="366"/>
      <c r="H448" s="1148" t="s">
        <v>36</v>
      </c>
      <c r="I448" s="1150" t="s">
        <v>178</v>
      </c>
      <c r="J448" s="1151"/>
      <c r="K448" s="1152"/>
      <c r="L448" s="1156" t="s">
        <v>159</v>
      </c>
      <c r="M448" s="1157"/>
      <c r="N448" s="1275"/>
      <c r="O448" s="1275"/>
      <c r="P448" s="1275"/>
      <c r="Q448" s="1275"/>
      <c r="R448" s="1275"/>
      <c r="S448" s="1275"/>
    </row>
    <row r="449" spans="1:19">
      <c r="A449" s="339"/>
      <c r="B449" s="199"/>
      <c r="C449" s="284"/>
      <c r="D449" s="273"/>
      <c r="E449" s="284"/>
      <c r="F449" s="366"/>
      <c r="G449" s="378"/>
      <c r="H449" s="1149"/>
      <c r="I449" s="1153"/>
      <c r="J449" s="1154"/>
      <c r="K449" s="1155"/>
      <c r="L449" s="1158"/>
      <c r="M449" s="1159"/>
      <c r="N449" s="1275"/>
      <c r="O449" s="1275"/>
      <c r="P449" s="1275"/>
      <c r="Q449" s="1275"/>
      <c r="R449" s="1275"/>
      <c r="S449" s="1275"/>
    </row>
    <row r="450" spans="1:19">
      <c r="A450" s="339"/>
      <c r="B450" s="199"/>
      <c r="C450" s="199"/>
      <c r="D450" s="273"/>
      <c r="E450" s="199"/>
      <c r="F450" s="366"/>
      <c r="G450" s="378"/>
      <c r="H450" s="377" t="s">
        <v>250</v>
      </c>
      <c r="I450" s="1160" t="s">
        <v>47</v>
      </c>
      <c r="J450" s="1160"/>
      <c r="K450" s="1062">
        <v>131.25</v>
      </c>
      <c r="L450" s="282">
        <v>46</v>
      </c>
      <c r="M450" s="44" t="s">
        <v>207</v>
      </c>
      <c r="N450" s="1275"/>
      <c r="O450" s="1275"/>
      <c r="P450" s="1275"/>
      <c r="Q450" s="1275"/>
      <c r="R450" s="1275"/>
      <c r="S450" s="1275"/>
    </row>
    <row r="451" spans="1:19">
      <c r="A451" s="339"/>
      <c r="B451" s="366"/>
      <c r="C451" s="274"/>
      <c r="D451" s="273"/>
      <c r="E451" s="274"/>
      <c r="F451" s="366"/>
      <c r="G451" s="366"/>
      <c r="H451" s="512" t="s">
        <v>250</v>
      </c>
      <c r="I451" s="1161" t="s">
        <v>51</v>
      </c>
      <c r="J451" s="1161"/>
      <c r="K451" s="1061">
        <v>21.35</v>
      </c>
      <c r="L451" s="282">
        <v>46</v>
      </c>
      <c r="M451" s="44" t="s">
        <v>207</v>
      </c>
      <c r="N451" s="1275"/>
      <c r="O451" s="1275"/>
      <c r="P451" s="1275"/>
      <c r="Q451" s="1275"/>
      <c r="R451" s="1275"/>
      <c r="S451" s="1275"/>
    </row>
    <row r="452" spans="1:19">
      <c r="A452" s="340"/>
      <c r="B452" s="366"/>
      <c r="C452" s="366"/>
      <c r="D452" s="273"/>
      <c r="E452" s="199"/>
      <c r="F452" s="366"/>
      <c r="G452" s="366"/>
      <c r="H452" s="512" t="s">
        <v>250</v>
      </c>
      <c r="I452" s="1161" t="s">
        <v>52</v>
      </c>
      <c r="J452" s="1161"/>
      <c r="K452" s="1061">
        <v>2.25</v>
      </c>
      <c r="L452" s="282">
        <v>46</v>
      </c>
      <c r="M452" s="44" t="s">
        <v>207</v>
      </c>
      <c r="N452" s="1275"/>
      <c r="O452" s="1275"/>
      <c r="P452" s="1275"/>
      <c r="Q452" s="1275"/>
      <c r="R452" s="1275"/>
      <c r="S452" s="1275"/>
    </row>
    <row r="453" spans="1:19">
      <c r="A453" s="340"/>
      <c r="B453" s="366"/>
      <c r="C453" s="366"/>
      <c r="D453" s="273"/>
      <c r="E453" s="366"/>
      <c r="F453" s="366"/>
      <c r="G453" s="366"/>
      <c r="H453" s="512" t="s">
        <v>250</v>
      </c>
      <c r="I453" s="1161" t="s">
        <v>49</v>
      </c>
      <c r="J453" s="1161"/>
      <c r="K453" s="1061">
        <v>89</v>
      </c>
      <c r="L453" s="282">
        <v>46</v>
      </c>
      <c r="M453" s="44" t="s">
        <v>247</v>
      </c>
      <c r="N453" s="1275"/>
      <c r="O453" s="1275"/>
      <c r="P453" s="1275"/>
      <c r="Q453" s="1275"/>
      <c r="R453" s="1275"/>
      <c r="S453" s="1275"/>
    </row>
    <row r="454" spans="1:19">
      <c r="A454" s="340"/>
      <c r="B454" s="366"/>
      <c r="C454" s="366"/>
      <c r="D454" s="273"/>
      <c r="E454" s="366"/>
      <c r="F454" s="366"/>
      <c r="G454" s="366"/>
      <c r="H454" s="512" t="s">
        <v>250</v>
      </c>
      <c r="I454" s="1276" t="s">
        <v>59</v>
      </c>
      <c r="J454" s="1276"/>
      <c r="K454" s="1063">
        <v>234.83</v>
      </c>
      <c r="L454" s="302" t="s">
        <v>177</v>
      </c>
      <c r="M454" s="44" t="s">
        <v>207</v>
      </c>
      <c r="N454" s="1275"/>
      <c r="O454" s="1275"/>
      <c r="P454" s="1275"/>
      <c r="Q454" s="1275"/>
      <c r="R454" s="1275"/>
      <c r="S454" s="1275"/>
    </row>
    <row r="455" spans="1:19">
      <c r="A455" s="340"/>
      <c r="B455" s="199"/>
      <c r="C455" s="199"/>
      <c r="D455" s="273"/>
      <c r="E455" s="199"/>
      <c r="F455" s="366"/>
      <c r="G455" s="366"/>
      <c r="H455" s="512" t="s">
        <v>250</v>
      </c>
      <c r="I455" s="1264" t="s">
        <v>68</v>
      </c>
      <c r="J455" s="1265"/>
      <c r="K455" s="1061">
        <v>56.96</v>
      </c>
      <c r="L455" s="282">
        <v>51</v>
      </c>
      <c r="M455" s="44" t="s">
        <v>207</v>
      </c>
      <c r="N455" s="1275"/>
      <c r="O455" s="1275"/>
      <c r="P455" s="1275"/>
      <c r="Q455" s="1275"/>
      <c r="R455" s="1275"/>
      <c r="S455" s="1275"/>
    </row>
    <row r="456" spans="1:19">
      <c r="A456" s="340"/>
      <c r="B456" s="199"/>
      <c r="C456" s="366"/>
      <c r="D456" s="273"/>
      <c r="E456" s="199"/>
      <c r="F456" s="366"/>
      <c r="G456" s="366"/>
      <c r="H456" s="512" t="s">
        <v>250</v>
      </c>
      <c r="I456" s="1143" t="s">
        <v>174</v>
      </c>
      <c r="J456" s="1144"/>
      <c r="K456" s="1061">
        <v>257.08999999999997</v>
      </c>
      <c r="L456" s="282">
        <v>46</v>
      </c>
      <c r="M456" s="44" t="s">
        <v>207</v>
      </c>
      <c r="N456" s="1275"/>
      <c r="O456" s="1275"/>
      <c r="P456" s="1275"/>
      <c r="Q456" s="1275"/>
      <c r="R456" s="1275"/>
      <c r="S456" s="1275"/>
    </row>
    <row r="457" spans="1:19">
      <c r="A457" s="340"/>
      <c r="B457" s="199"/>
      <c r="C457" s="366"/>
      <c r="D457" s="273"/>
      <c r="E457" s="199"/>
      <c r="F457" s="366"/>
      <c r="G457" s="366"/>
      <c r="H457" s="350" t="s">
        <v>258</v>
      </c>
      <c r="I457" s="1051" t="s">
        <v>176</v>
      </c>
      <c r="J457" s="1052"/>
      <c r="K457" s="1061"/>
      <c r="L457" s="282">
        <v>51</v>
      </c>
      <c r="M457" s="44" t="s">
        <v>207</v>
      </c>
      <c r="N457" s="1275"/>
      <c r="O457" s="1275"/>
      <c r="P457" s="1275"/>
      <c r="Q457" s="1275"/>
      <c r="R457" s="1275"/>
      <c r="S457" s="1275"/>
    </row>
    <row r="458" spans="1:19">
      <c r="A458" s="340"/>
      <c r="B458" s="199"/>
      <c r="C458" s="366"/>
      <c r="D458" s="273"/>
      <c r="E458" s="232"/>
      <c r="F458" s="366"/>
      <c r="G458" s="366"/>
      <c r="H458" s="512" t="s">
        <v>250</v>
      </c>
      <c r="I458" s="1143" t="s">
        <v>81</v>
      </c>
      <c r="J458" s="1144"/>
      <c r="K458" s="1061">
        <v>588.48</v>
      </c>
      <c r="L458" s="282">
        <v>43871</v>
      </c>
      <c r="M458" s="44" t="s">
        <v>207</v>
      </c>
      <c r="N458" s="1275"/>
      <c r="O458" s="1275"/>
      <c r="P458" s="1275"/>
      <c r="Q458" s="1275"/>
      <c r="R458" s="1275"/>
      <c r="S458" s="1275"/>
    </row>
    <row r="459" spans="1:19">
      <c r="A459" s="340"/>
      <c r="B459" s="199"/>
      <c r="C459" s="366"/>
      <c r="D459" s="273"/>
      <c r="E459" s="232"/>
      <c r="F459" s="366"/>
      <c r="G459" s="366"/>
      <c r="H459" s="512" t="s">
        <v>250</v>
      </c>
      <c r="I459" s="1143" t="s">
        <v>53</v>
      </c>
      <c r="J459" s="1144"/>
      <c r="K459" s="454">
        <v>10</v>
      </c>
      <c r="L459" s="282">
        <v>46</v>
      </c>
      <c r="M459" s="44" t="s">
        <v>207</v>
      </c>
      <c r="N459" s="1275"/>
      <c r="O459" s="1275"/>
      <c r="P459" s="1275"/>
      <c r="Q459" s="1275"/>
      <c r="R459" s="1275"/>
      <c r="S459" s="1275"/>
    </row>
    <row r="460" spans="1:19">
      <c r="A460" s="340"/>
      <c r="B460" s="199"/>
      <c r="C460" s="366"/>
      <c r="D460" s="273"/>
      <c r="E460" s="232"/>
      <c r="F460" s="366"/>
      <c r="G460" s="366"/>
      <c r="H460" s="512" t="s">
        <v>250</v>
      </c>
      <c r="I460" s="1277" t="s">
        <v>61</v>
      </c>
      <c r="J460" s="1277"/>
      <c r="K460" s="1057">
        <v>529.24</v>
      </c>
      <c r="L460" s="282">
        <v>51</v>
      </c>
      <c r="M460" s="44" t="s">
        <v>207</v>
      </c>
      <c r="N460" s="1275"/>
      <c r="O460" s="1275"/>
      <c r="P460" s="1275"/>
      <c r="Q460" s="1275"/>
      <c r="R460" s="1275"/>
      <c r="S460" s="1275"/>
    </row>
    <row r="461" spans="1:19" ht="15.75" thickBot="1">
      <c r="A461" s="341"/>
      <c r="B461" s="330"/>
      <c r="C461" s="331"/>
      <c r="D461" s="342"/>
      <c r="E461" s="330"/>
      <c r="F461" s="331"/>
      <c r="G461" s="331"/>
      <c r="H461" s="346"/>
      <c r="I461" s="361" t="s">
        <v>179</v>
      </c>
      <c r="J461" s="361">
        <f>SUM(K450:K460)</f>
        <v>1920.45</v>
      </c>
      <c r="K461" s="1146" t="s">
        <v>180</v>
      </c>
      <c r="L461" s="1146"/>
      <c r="M461" s="514">
        <v>0</v>
      </c>
      <c r="N461" s="1275"/>
      <c r="O461" s="1275"/>
      <c r="P461" s="1275"/>
      <c r="Q461" s="1275"/>
      <c r="R461" s="1275"/>
      <c r="S461" s="1275"/>
    </row>
    <row r="462" spans="1:19" ht="15.75" thickTop="1">
      <c r="A462" s="1163" t="s">
        <v>265</v>
      </c>
      <c r="B462" s="1163"/>
      <c r="C462" s="1163"/>
      <c r="D462" s="1163"/>
      <c r="E462" s="1163"/>
      <c r="F462" s="1163"/>
      <c r="G462" s="1163"/>
      <c r="H462" s="1163"/>
      <c r="I462" s="1163"/>
      <c r="J462" s="1163"/>
      <c r="K462" s="1163"/>
      <c r="L462" s="1163"/>
      <c r="M462" s="1163"/>
      <c r="N462" s="1275" t="s">
        <v>210</v>
      </c>
      <c r="O462" s="1275"/>
      <c r="P462" s="1275"/>
      <c r="Q462" s="1275"/>
      <c r="R462" s="1275"/>
      <c r="S462" s="1275"/>
    </row>
    <row r="463" spans="1:19" ht="15.75" thickBot="1">
      <c r="A463" s="1164"/>
      <c r="B463" s="1164"/>
      <c r="C463" s="1164"/>
      <c r="D463" s="1164"/>
      <c r="E463" s="1164"/>
      <c r="F463" s="1164"/>
      <c r="G463" s="1164"/>
      <c r="H463" s="1164"/>
      <c r="I463" s="1164"/>
      <c r="J463" s="1164"/>
      <c r="K463" s="1164"/>
      <c r="L463" s="1164"/>
      <c r="M463" s="1164"/>
      <c r="N463" s="1275"/>
      <c r="O463" s="1275"/>
      <c r="P463" s="1275"/>
      <c r="Q463" s="1275"/>
      <c r="R463" s="1275"/>
      <c r="S463" s="1275"/>
    </row>
    <row r="464" spans="1:19" ht="15.75" thickTop="1">
      <c r="A464" s="1266" t="s">
        <v>28</v>
      </c>
      <c r="B464" s="1166"/>
      <c r="C464" s="1166"/>
      <c r="D464" s="1166"/>
      <c r="E464" s="1166"/>
      <c r="F464" s="1166"/>
      <c r="G464" s="1167"/>
      <c r="H464" s="1267" t="s">
        <v>267</v>
      </c>
      <c r="I464" s="1268"/>
      <c r="J464" s="1268"/>
      <c r="K464" s="1268"/>
      <c r="L464" s="1268"/>
      <c r="M464" s="1269"/>
      <c r="N464" s="1275"/>
      <c r="O464" s="1275"/>
      <c r="P464" s="1275"/>
      <c r="Q464" s="1275"/>
      <c r="R464" s="1275"/>
      <c r="S464" s="1275"/>
    </row>
    <row r="465" spans="1:19">
      <c r="A465" s="324" t="s">
        <v>2</v>
      </c>
      <c r="B465" s="1094" t="s">
        <v>34</v>
      </c>
      <c r="C465" s="36" t="s">
        <v>35</v>
      </c>
      <c r="D465" s="36" t="s">
        <v>38</v>
      </c>
      <c r="E465" s="36" t="s">
        <v>42</v>
      </c>
      <c r="F465" s="1094" t="s">
        <v>36</v>
      </c>
      <c r="G465" s="100" t="s">
        <v>173</v>
      </c>
      <c r="H465" s="1185"/>
      <c r="I465" s="1186"/>
      <c r="J465" s="1089" t="s">
        <v>35</v>
      </c>
      <c r="K465" s="1089" t="s">
        <v>38</v>
      </c>
      <c r="L465" s="1089" t="s">
        <v>42</v>
      </c>
      <c r="M465" s="100" t="s">
        <v>44</v>
      </c>
      <c r="N465" s="1275"/>
      <c r="O465" s="1275"/>
      <c r="P465" s="1275"/>
      <c r="Q465" s="1275"/>
      <c r="R465" s="1275"/>
      <c r="S465" s="1275"/>
    </row>
    <row r="466" spans="1:19">
      <c r="A466" s="325">
        <v>43906</v>
      </c>
      <c r="B466" s="161" t="s">
        <v>221</v>
      </c>
      <c r="C466" s="275">
        <v>249.16</v>
      </c>
      <c r="D466" s="275">
        <v>249.16</v>
      </c>
      <c r="E466" s="160" t="str">
        <f>IF(C466-D466=0,"",C466-D466)</f>
        <v/>
      </c>
      <c r="F466" s="162" t="str">
        <f>IF(C466=0,"",IF(C466-D466=0,"оплачено","ОЖИДАЕТСЯ оплата"))</f>
        <v>оплачено</v>
      </c>
      <c r="G466" s="162"/>
      <c r="H466" s="1187" t="s">
        <v>39</v>
      </c>
      <c r="I466" s="1188"/>
      <c r="J466" s="513">
        <v>1564.38</v>
      </c>
      <c r="K466" s="543">
        <v>1564.38</v>
      </c>
      <c r="L466" s="160">
        <f>J466-K466</f>
        <v>0</v>
      </c>
      <c r="M466" s="101">
        <v>43910</v>
      </c>
      <c r="N466" s="1275"/>
      <c r="O466" s="1275"/>
      <c r="P466" s="1275"/>
      <c r="Q466" s="1275"/>
      <c r="R466" s="1275"/>
      <c r="S466" s="1275"/>
    </row>
    <row r="467" spans="1:19">
      <c r="A467" s="325">
        <v>43908</v>
      </c>
      <c r="B467" s="161" t="s">
        <v>273</v>
      </c>
      <c r="C467" s="275">
        <v>603.29999999999995</v>
      </c>
      <c r="D467" s="275">
        <v>603.29999999999995</v>
      </c>
      <c r="E467" s="160" t="str">
        <f t="shared" ref="E467:E481" si="27">IF(C467-D467=0,"",C467-D467)</f>
        <v/>
      </c>
      <c r="F467" s="162" t="str">
        <f t="shared" ref="F467:F481" si="28">IF(C467=0,"",IF(C467-D467=0,"оплачено","ОЖИДАЕТСЯ оплата"))</f>
        <v>оплачено</v>
      </c>
      <c r="G467" s="162" t="s">
        <v>279</v>
      </c>
      <c r="H467" s="1270" t="s">
        <v>40</v>
      </c>
      <c r="I467" s="1271"/>
      <c r="J467" s="481">
        <v>815.26</v>
      </c>
      <c r="K467" s="1099">
        <f>295+130+390.26</f>
        <v>815.26</v>
      </c>
      <c r="L467" s="480">
        <f>J467-K467</f>
        <v>0</v>
      </c>
      <c r="M467" s="482">
        <v>43914</v>
      </c>
      <c r="N467" s="1275"/>
      <c r="O467" s="1275"/>
      <c r="P467" s="1275"/>
      <c r="Q467" s="1275"/>
      <c r="R467" s="1275"/>
      <c r="S467" s="1275"/>
    </row>
    <row r="468" spans="1:19">
      <c r="A468" s="325"/>
      <c r="B468" s="161" t="s">
        <v>273</v>
      </c>
      <c r="C468" s="275">
        <v>803.3</v>
      </c>
      <c r="D468" s="275">
        <v>803.3</v>
      </c>
      <c r="E468" s="160" t="str">
        <f t="shared" si="27"/>
        <v/>
      </c>
      <c r="F468" s="162" t="str">
        <f t="shared" si="28"/>
        <v>оплачено</v>
      </c>
      <c r="G468" s="162" t="s">
        <v>279</v>
      </c>
      <c r="H468" s="340"/>
      <c r="I468" s="366"/>
      <c r="J468" s="498">
        <f>SUM(J466:J467)</f>
        <v>2379.6400000000003</v>
      </c>
      <c r="K468" s="366"/>
      <c r="L468" s="84"/>
      <c r="M468" s="314"/>
      <c r="N468" s="1275"/>
      <c r="O468" s="1275"/>
      <c r="P468" s="1275"/>
      <c r="Q468" s="1275"/>
      <c r="R468" s="1275"/>
      <c r="S468" s="1275"/>
    </row>
    <row r="469" spans="1:19">
      <c r="A469" s="325">
        <v>43913</v>
      </c>
      <c r="B469" s="161" t="s">
        <v>256</v>
      </c>
      <c r="C469" s="275">
        <v>258.97000000000003</v>
      </c>
      <c r="D469" s="275">
        <v>258.97000000000003</v>
      </c>
      <c r="E469" s="160" t="str">
        <f t="shared" si="27"/>
        <v/>
      </c>
      <c r="F469" s="162" t="str">
        <f t="shared" si="28"/>
        <v>оплачено</v>
      </c>
      <c r="G469" s="162"/>
      <c r="H469" s="340"/>
      <c r="I469" s="366"/>
      <c r="J469" s="366"/>
      <c r="K469" s="366"/>
      <c r="L469" s="366"/>
      <c r="M469" s="314"/>
      <c r="N469" s="1275"/>
      <c r="O469" s="1275"/>
      <c r="P469" s="1275"/>
      <c r="Q469" s="1275"/>
      <c r="R469" s="1275"/>
      <c r="S469" s="1275"/>
    </row>
    <row r="470" spans="1:19">
      <c r="A470" s="325">
        <v>43914</v>
      </c>
      <c r="B470" s="161" t="s">
        <v>254</v>
      </c>
      <c r="C470" s="630">
        <v>132.30000000000001</v>
      </c>
      <c r="D470" s="275">
        <v>132.30000000000001</v>
      </c>
      <c r="E470" s="160" t="str">
        <f t="shared" si="27"/>
        <v/>
      </c>
      <c r="F470" s="162" t="str">
        <f t="shared" si="28"/>
        <v>оплачено</v>
      </c>
      <c r="G470" s="162"/>
      <c r="H470" s="340"/>
      <c r="I470" s="366"/>
      <c r="J470" s="366"/>
      <c r="K470" s="366"/>
      <c r="L470" s="366"/>
      <c r="M470" s="314"/>
      <c r="N470" s="1275"/>
      <c r="O470" s="1275"/>
      <c r="P470" s="1275"/>
      <c r="Q470" s="1275"/>
      <c r="R470" s="1275"/>
      <c r="S470" s="1275"/>
    </row>
    <row r="471" spans="1:19">
      <c r="A471" s="325">
        <v>43920</v>
      </c>
      <c r="B471" s="276" t="s">
        <v>155</v>
      </c>
      <c r="C471" s="275">
        <v>66.099999999999994</v>
      </c>
      <c r="D471" s="275">
        <v>66.099999999999994</v>
      </c>
      <c r="E471" s="160" t="str">
        <f t="shared" si="27"/>
        <v/>
      </c>
      <c r="F471" s="162" t="str">
        <f t="shared" si="28"/>
        <v>оплачено</v>
      </c>
      <c r="G471" s="162"/>
      <c r="H471" s="340"/>
      <c r="I471" s="366"/>
      <c r="J471" s="366"/>
      <c r="K471" s="366"/>
      <c r="L471" s="366"/>
      <c r="M471" s="314"/>
      <c r="N471" s="1275"/>
      <c r="O471" s="1275"/>
      <c r="P471" s="1275"/>
      <c r="Q471" s="1275"/>
      <c r="R471" s="1275"/>
      <c r="S471" s="1275"/>
    </row>
    <row r="472" spans="1:19">
      <c r="A472" s="325">
        <v>43916</v>
      </c>
      <c r="B472" s="161" t="s">
        <v>205</v>
      </c>
      <c r="C472" s="630">
        <v>261.36</v>
      </c>
      <c r="D472" s="275">
        <v>261.36</v>
      </c>
      <c r="E472" s="160" t="str">
        <f t="shared" si="27"/>
        <v/>
      </c>
      <c r="F472" s="162" t="str">
        <f t="shared" si="28"/>
        <v>оплачено</v>
      </c>
      <c r="G472" s="162"/>
      <c r="H472" s="43"/>
      <c r="I472" s="1"/>
      <c r="J472" s="366"/>
      <c r="K472" s="1"/>
      <c r="L472" s="1"/>
      <c r="M472" s="44"/>
      <c r="N472" s="1275"/>
      <c r="O472" s="1275"/>
      <c r="P472" s="1275"/>
      <c r="Q472" s="1275"/>
      <c r="R472" s="1275"/>
      <c r="S472" s="1275"/>
    </row>
    <row r="473" spans="1:19">
      <c r="A473" s="325">
        <v>43921</v>
      </c>
      <c r="B473" s="161" t="s">
        <v>243</v>
      </c>
      <c r="C473" s="630">
        <v>450</v>
      </c>
      <c r="D473" s="275">
        <v>450</v>
      </c>
      <c r="E473" s="160" t="str">
        <f t="shared" si="27"/>
        <v/>
      </c>
      <c r="F473" s="162" t="str">
        <f t="shared" si="28"/>
        <v>оплачено</v>
      </c>
      <c r="G473" s="162" t="str">
        <f t="shared" ref="G473:G481" si="29">IF(C473=0,"",IF(C473-D473=0,"","нет накладной"))</f>
        <v/>
      </c>
      <c r="H473" s="43"/>
      <c r="I473" s="1"/>
      <c r="J473" s="366"/>
      <c r="K473" s="1"/>
      <c r="L473" s="1"/>
      <c r="M473" s="44"/>
      <c r="N473" s="1275"/>
      <c r="O473" s="1275"/>
      <c r="P473" s="1275"/>
      <c r="Q473" s="1275"/>
      <c r="R473" s="1275"/>
      <c r="S473" s="1275"/>
    </row>
    <row r="474" spans="1:19">
      <c r="A474" s="325"/>
      <c r="B474" s="161"/>
      <c r="C474" s="275"/>
      <c r="D474" s="275"/>
      <c r="E474" s="160" t="str">
        <f t="shared" si="27"/>
        <v/>
      </c>
      <c r="F474" s="162" t="str">
        <f t="shared" si="28"/>
        <v/>
      </c>
      <c r="G474" s="162" t="str">
        <f t="shared" si="29"/>
        <v/>
      </c>
      <c r="H474" s="43"/>
      <c r="I474" s="1"/>
      <c r="J474" s="366"/>
      <c r="K474" s="1"/>
      <c r="L474" s="1"/>
      <c r="M474" s="44"/>
      <c r="N474" s="1275"/>
      <c r="O474" s="1275"/>
      <c r="P474" s="1275"/>
      <c r="Q474" s="1275"/>
      <c r="R474" s="1275"/>
      <c r="S474" s="1275"/>
    </row>
    <row r="475" spans="1:19">
      <c r="A475" s="325"/>
      <c r="B475" s="161"/>
      <c r="C475" s="275"/>
      <c r="D475" s="275"/>
      <c r="E475" s="160" t="str">
        <f t="shared" si="27"/>
        <v/>
      </c>
      <c r="F475" s="162" t="str">
        <f t="shared" si="28"/>
        <v/>
      </c>
      <c r="G475" s="162" t="str">
        <f t="shared" si="29"/>
        <v/>
      </c>
      <c r="H475" s="43"/>
      <c r="I475" s="1"/>
      <c r="J475" s="366"/>
      <c r="K475" s="1"/>
      <c r="L475" s="1"/>
      <c r="M475" s="44"/>
      <c r="N475" s="1275"/>
      <c r="O475" s="1275"/>
      <c r="P475" s="1275"/>
      <c r="Q475" s="1275"/>
      <c r="R475" s="1275"/>
      <c r="S475" s="1275"/>
    </row>
    <row r="476" spans="1:19">
      <c r="A476" s="325"/>
      <c r="B476" s="161"/>
      <c r="C476" s="275"/>
      <c r="D476" s="275"/>
      <c r="E476" s="160" t="str">
        <f t="shared" si="27"/>
        <v/>
      </c>
      <c r="F476" s="162" t="str">
        <f t="shared" si="28"/>
        <v/>
      </c>
      <c r="G476" s="162" t="str">
        <f t="shared" si="29"/>
        <v/>
      </c>
      <c r="H476" s="43"/>
      <c r="I476" s="1"/>
      <c r="J476" s="366"/>
      <c r="K476" s="1"/>
      <c r="L476" s="1"/>
      <c r="M476" s="44"/>
      <c r="N476" s="1275"/>
      <c r="O476" s="1275"/>
      <c r="P476" s="1275"/>
      <c r="Q476" s="1275"/>
      <c r="R476" s="1275"/>
      <c r="S476" s="1275"/>
    </row>
    <row r="477" spans="1:19">
      <c r="A477" s="325"/>
      <c r="B477" s="161"/>
      <c r="C477" s="275"/>
      <c r="D477" s="275"/>
      <c r="E477" s="160" t="str">
        <f t="shared" si="27"/>
        <v/>
      </c>
      <c r="F477" s="162" t="str">
        <f t="shared" si="28"/>
        <v/>
      </c>
      <c r="G477" s="162" t="str">
        <f t="shared" si="29"/>
        <v/>
      </c>
      <c r="H477" s="43"/>
      <c r="I477" s="1"/>
      <c r="J477" s="366"/>
      <c r="K477" s="1"/>
      <c r="L477" s="1"/>
      <c r="M477" s="44"/>
      <c r="N477" s="1275"/>
      <c r="O477" s="1275"/>
      <c r="P477" s="1275"/>
      <c r="Q477" s="1275"/>
      <c r="R477" s="1275"/>
      <c r="S477" s="1275"/>
    </row>
    <row r="478" spans="1:19">
      <c r="A478" s="325"/>
      <c r="B478" s="161"/>
      <c r="C478" s="275"/>
      <c r="D478" s="275"/>
      <c r="E478" s="160" t="str">
        <f t="shared" si="27"/>
        <v/>
      </c>
      <c r="F478" s="162" t="str">
        <f t="shared" si="28"/>
        <v/>
      </c>
      <c r="G478" s="162" t="str">
        <f t="shared" si="29"/>
        <v/>
      </c>
      <c r="H478" s="43"/>
      <c r="I478" s="1"/>
      <c r="J478" s="366"/>
      <c r="K478" s="1"/>
      <c r="L478" s="1"/>
      <c r="M478" s="44"/>
      <c r="N478" s="1275"/>
      <c r="O478" s="1275"/>
      <c r="P478" s="1275"/>
      <c r="Q478" s="1275"/>
      <c r="R478" s="1275"/>
      <c r="S478" s="1275"/>
    </row>
    <row r="479" spans="1:19">
      <c r="A479" s="325"/>
      <c r="B479" s="161"/>
      <c r="C479" s="275"/>
      <c r="D479" s="275"/>
      <c r="E479" s="160" t="str">
        <f t="shared" si="27"/>
        <v/>
      </c>
      <c r="F479" s="162" t="str">
        <f t="shared" si="28"/>
        <v/>
      </c>
      <c r="G479" s="162" t="str">
        <f t="shared" si="29"/>
        <v/>
      </c>
      <c r="H479" s="43"/>
      <c r="I479" s="1"/>
      <c r="J479" s="366"/>
      <c r="K479" s="1"/>
      <c r="L479" s="1"/>
      <c r="M479" s="44"/>
      <c r="N479" s="1275"/>
      <c r="O479" s="1275"/>
      <c r="P479" s="1275"/>
      <c r="Q479" s="1275"/>
      <c r="R479" s="1275"/>
      <c r="S479" s="1275"/>
    </row>
    <row r="480" spans="1:19">
      <c r="A480" s="325"/>
      <c r="B480" s="161"/>
      <c r="C480" s="275"/>
      <c r="D480" s="275"/>
      <c r="E480" s="160" t="str">
        <f t="shared" si="27"/>
        <v/>
      </c>
      <c r="F480" s="162" t="str">
        <f t="shared" si="28"/>
        <v/>
      </c>
      <c r="G480" s="162" t="str">
        <f t="shared" si="29"/>
        <v/>
      </c>
      <c r="H480" s="43"/>
      <c r="I480" s="1"/>
      <c r="J480" s="366"/>
      <c r="K480" s="1"/>
      <c r="L480" s="1"/>
      <c r="M480" s="44"/>
      <c r="N480" s="1275"/>
      <c r="O480" s="1275"/>
      <c r="P480" s="1275"/>
      <c r="Q480" s="1275"/>
      <c r="R480" s="1275"/>
      <c r="S480" s="1275"/>
    </row>
    <row r="481" spans="1:19">
      <c r="A481" s="325"/>
      <c r="B481" s="161"/>
      <c r="C481" s="275"/>
      <c r="D481" s="275"/>
      <c r="E481" s="160" t="str">
        <f t="shared" si="27"/>
        <v/>
      </c>
      <c r="F481" s="162" t="str">
        <f t="shared" si="28"/>
        <v/>
      </c>
      <c r="G481" s="162" t="str">
        <f t="shared" si="29"/>
        <v/>
      </c>
      <c r="H481" s="43"/>
      <c r="I481" s="1"/>
      <c r="J481" s="366"/>
      <c r="K481" s="1"/>
      <c r="L481" s="1"/>
      <c r="M481" s="44"/>
      <c r="N481" s="1275"/>
      <c r="O481" s="1275"/>
      <c r="P481" s="1275"/>
      <c r="Q481" s="1275"/>
      <c r="R481" s="1275"/>
      <c r="S481" s="1275"/>
    </row>
    <row r="482" spans="1:19" ht="15.75" thickBot="1">
      <c r="A482" s="1272" t="s">
        <v>259</v>
      </c>
      <c r="B482" s="1273"/>
      <c r="C482" s="358">
        <f>SUM(C466:C481)</f>
        <v>2824.49</v>
      </c>
      <c r="D482" s="358"/>
      <c r="E482" s="160">
        <f>SUM(E466:E481)</f>
        <v>0</v>
      </c>
      <c r="F482" s="162"/>
      <c r="G482" s="450"/>
      <c r="H482" s="43"/>
      <c r="I482" s="1"/>
      <c r="J482" s="366"/>
      <c r="K482" s="1"/>
      <c r="L482" s="1"/>
      <c r="M482" s="44"/>
      <c r="N482" s="1275"/>
      <c r="O482" s="1275"/>
      <c r="P482" s="1275"/>
      <c r="Q482" s="1275"/>
      <c r="R482" s="1275"/>
      <c r="S482" s="1275"/>
    </row>
    <row r="483" spans="1:19" ht="15.75" thickTop="1">
      <c r="A483" s="351"/>
      <c r="B483" s="352"/>
      <c r="C483" s="353"/>
      <c r="D483" s="353"/>
      <c r="E483" s="354"/>
      <c r="F483" s="352"/>
      <c r="G483" s="376"/>
      <c r="H483" s="1171" t="s">
        <v>16</v>
      </c>
      <c r="I483" s="1173" t="s">
        <v>17</v>
      </c>
      <c r="J483" s="1173" t="s">
        <v>21</v>
      </c>
      <c r="K483" s="1173"/>
      <c r="L483" s="1175" t="s">
        <v>93</v>
      </c>
      <c r="M483" s="1177" t="s">
        <v>95</v>
      </c>
      <c r="N483" s="1275"/>
      <c r="O483" s="1275"/>
      <c r="P483" s="1275"/>
      <c r="Q483" s="1275"/>
      <c r="R483" s="1275"/>
      <c r="S483" s="1275"/>
    </row>
    <row r="484" spans="1:19" ht="24">
      <c r="A484" s="355"/>
      <c r="B484" s="201"/>
      <c r="C484" s="201"/>
      <c r="D484" s="201"/>
      <c r="E484" s="216"/>
      <c r="F484" s="201"/>
      <c r="G484" s="201"/>
      <c r="H484" s="1172"/>
      <c r="I484" s="1174"/>
      <c r="J484" s="1098" t="s">
        <v>21</v>
      </c>
      <c r="K484" s="1098" t="s">
        <v>25</v>
      </c>
      <c r="L484" s="1176"/>
      <c r="M484" s="1178"/>
      <c r="N484" s="1275"/>
      <c r="O484" s="1275"/>
      <c r="P484" s="1275"/>
      <c r="Q484" s="1275"/>
      <c r="R484" s="1275"/>
      <c r="S484" s="1275"/>
    </row>
    <row r="485" spans="1:19">
      <c r="A485" s="338"/>
      <c r="B485" s="199"/>
      <c r="C485" s="288"/>
      <c r="D485" s="232"/>
      <c r="E485" s="84"/>
      <c r="F485" s="199"/>
      <c r="G485" s="199"/>
      <c r="H485" s="347" t="s">
        <v>18</v>
      </c>
      <c r="I485" s="94">
        <v>32809.9</v>
      </c>
      <c r="J485" s="94">
        <v>1675.7199999999998</v>
      </c>
      <c r="K485" s="297">
        <v>1047.01</v>
      </c>
      <c r="L485" s="96">
        <v>52152</v>
      </c>
      <c r="M485" s="104">
        <f>82159.79-I485-J485-K485+L485</f>
        <v>98779.159999999989</v>
      </c>
      <c r="N485" s="1275"/>
      <c r="O485" s="1275"/>
      <c r="P485" s="1275"/>
      <c r="Q485" s="1275"/>
      <c r="R485" s="1275"/>
      <c r="S485" s="1275"/>
    </row>
    <row r="486" spans="1:19">
      <c r="A486" s="339"/>
      <c r="B486" s="199"/>
      <c r="C486" s="199"/>
      <c r="D486" s="273"/>
      <c r="E486" s="366"/>
      <c r="F486" s="84"/>
      <c r="G486" s="366"/>
      <c r="H486" s="347" t="s">
        <v>19</v>
      </c>
      <c r="I486" s="94">
        <v>35259.58</v>
      </c>
      <c r="J486" s="94">
        <v>1363.3000000000002</v>
      </c>
      <c r="K486" s="94">
        <v>1176.05</v>
      </c>
      <c r="L486" s="96">
        <v>40465.950000000004</v>
      </c>
      <c r="M486" s="104">
        <f t="shared" ref="M486:M494" si="30">M485-I486-J486-K486+L486</f>
        <v>101446.18</v>
      </c>
      <c r="N486" s="1275"/>
      <c r="O486" s="1275"/>
      <c r="P486" s="1275"/>
      <c r="Q486" s="1275"/>
      <c r="R486" s="1275"/>
      <c r="S486" s="1275"/>
    </row>
    <row r="487" spans="1:19">
      <c r="A487" s="339"/>
      <c r="B487" s="366"/>
      <c r="C487" s="199"/>
      <c r="D487" s="273"/>
      <c r="E487" s="366"/>
      <c r="F487" s="366"/>
      <c r="G487" s="366"/>
      <c r="H487" s="347" t="s">
        <v>20</v>
      </c>
      <c r="I487" s="298">
        <v>34690.219999999994</v>
      </c>
      <c r="J487" s="94">
        <v>1209.3000000000002</v>
      </c>
      <c r="K487" s="299">
        <v>1213.33</v>
      </c>
      <c r="L487" s="299">
        <v>19306</v>
      </c>
      <c r="M487" s="104">
        <f t="shared" si="30"/>
        <v>83639.329999999987</v>
      </c>
      <c r="N487" s="1275"/>
      <c r="O487" s="1275"/>
      <c r="P487" s="1275"/>
      <c r="Q487" s="1275"/>
      <c r="R487" s="1275"/>
      <c r="S487" s="1275"/>
    </row>
    <row r="488" spans="1:19">
      <c r="A488" s="339"/>
      <c r="B488" s="1"/>
      <c r="C488" s="284"/>
      <c r="D488" s="273"/>
      <c r="E488" s="366"/>
      <c r="F488" s="366"/>
      <c r="G488" s="84"/>
      <c r="H488" s="347" t="s">
        <v>148</v>
      </c>
      <c r="I488" s="299">
        <v>30955.479999999996</v>
      </c>
      <c r="J488" s="300">
        <v>3184.46</v>
      </c>
      <c r="K488" s="300">
        <v>1035.6600000000001</v>
      </c>
      <c r="L488" s="299">
        <v>59195.5</v>
      </c>
      <c r="M488" s="104">
        <f t="shared" si="30"/>
        <v>107659.22999999998</v>
      </c>
      <c r="N488" s="1275"/>
      <c r="O488" s="1275"/>
      <c r="P488" s="1275"/>
      <c r="Q488" s="1275"/>
      <c r="R488" s="1275"/>
      <c r="S488" s="1275"/>
    </row>
    <row r="489" spans="1:19">
      <c r="A489" s="339"/>
      <c r="B489" s="199"/>
      <c r="C489" s="1"/>
      <c r="D489" s="273"/>
      <c r="E489" s="366"/>
      <c r="F489" s="366"/>
      <c r="G489" s="366"/>
      <c r="H489" s="348" t="s">
        <v>162</v>
      </c>
      <c r="I489" s="300">
        <v>31239.439999999995</v>
      </c>
      <c r="J489" s="299">
        <v>2443.4</v>
      </c>
      <c r="K489" s="300">
        <v>1496.52</v>
      </c>
      <c r="L489" s="299">
        <v>40132</v>
      </c>
      <c r="M489" s="104">
        <f t="shared" si="30"/>
        <v>112611.86999999998</v>
      </c>
      <c r="N489" s="1275"/>
      <c r="O489" s="1275"/>
      <c r="P489" s="1275"/>
      <c r="Q489" s="1275"/>
      <c r="R489" s="1275"/>
      <c r="S489" s="1275"/>
    </row>
    <row r="490" spans="1:19">
      <c r="A490" s="339"/>
      <c r="B490" s="199"/>
      <c r="C490" s="1"/>
      <c r="D490" s="273"/>
      <c r="E490" s="366"/>
      <c r="F490" s="366"/>
      <c r="G490" s="366"/>
      <c r="H490" s="379" t="s">
        <v>163</v>
      </c>
      <c r="I490" s="380">
        <v>28986.99</v>
      </c>
      <c r="J490" s="432">
        <v>6271.4999999999991</v>
      </c>
      <c r="K490" s="433">
        <v>1046.56</v>
      </c>
      <c r="L490" s="433">
        <v>22678.1</v>
      </c>
      <c r="M490" s="104">
        <f t="shared" si="30"/>
        <v>98984.919999999984</v>
      </c>
      <c r="N490" s="1275"/>
      <c r="O490" s="1275"/>
      <c r="P490" s="1275"/>
      <c r="Q490" s="1275"/>
      <c r="R490" s="1275"/>
      <c r="S490" s="1275"/>
    </row>
    <row r="491" spans="1:19">
      <c r="A491" s="339"/>
      <c r="B491" s="199"/>
      <c r="C491" s="1"/>
      <c r="D491" s="273"/>
      <c r="E491" s="366"/>
      <c r="F491" s="366"/>
      <c r="G491" s="366"/>
      <c r="H491" s="379" t="s">
        <v>192</v>
      </c>
      <c r="I491" s="380">
        <v>31654.69</v>
      </c>
      <c r="J491" s="432">
        <v>7124.02</v>
      </c>
      <c r="K491" s="433">
        <v>1268.5600000000002</v>
      </c>
      <c r="L491" s="433">
        <v>32888</v>
      </c>
      <c r="M491" s="104">
        <f t="shared" si="30"/>
        <v>91825.64999999998</v>
      </c>
      <c r="N491" s="1275"/>
      <c r="O491" s="1275"/>
      <c r="P491" s="1275"/>
      <c r="Q491" s="1275"/>
      <c r="R491" s="1275"/>
      <c r="S491" s="1275"/>
    </row>
    <row r="492" spans="1:19">
      <c r="A492" s="339"/>
      <c r="B492" s="199"/>
      <c r="C492" s="1"/>
      <c r="D492" s="273"/>
      <c r="E492" s="366"/>
      <c r="F492" s="366"/>
      <c r="G492" s="366"/>
      <c r="H492" s="347" t="s">
        <v>199</v>
      </c>
      <c r="I492" s="297">
        <v>28891.4</v>
      </c>
      <c r="J492" s="438">
        <v>8339.34</v>
      </c>
      <c r="K492" s="606">
        <v>1310.53</v>
      </c>
      <c r="L492" s="606">
        <v>36419</v>
      </c>
      <c r="M492" s="104">
        <f t="shared" si="30"/>
        <v>89703.379999999976</v>
      </c>
      <c r="N492" s="1275"/>
      <c r="O492" s="1275"/>
      <c r="P492" s="1275"/>
      <c r="Q492" s="1275"/>
      <c r="R492" s="1275"/>
      <c r="S492" s="1275"/>
    </row>
    <row r="493" spans="1:19">
      <c r="A493" s="339"/>
      <c r="B493" s="199"/>
      <c r="C493" s="1"/>
      <c r="D493" s="273"/>
      <c r="E493" s="366"/>
      <c r="F493" s="366"/>
      <c r="G493" s="366"/>
      <c r="H493" s="347" t="s">
        <v>209</v>
      </c>
      <c r="I493" s="297">
        <v>28339.37</v>
      </c>
      <c r="J493" s="438">
        <v>1758.9</v>
      </c>
      <c r="K493" s="606">
        <v>1141.96</v>
      </c>
      <c r="L493" s="606">
        <v>35862.5</v>
      </c>
      <c r="M493" s="104">
        <f t="shared" si="30"/>
        <v>94325.64999999998</v>
      </c>
      <c r="N493" s="1275"/>
      <c r="O493" s="1275"/>
      <c r="P493" s="1275"/>
      <c r="Q493" s="1275"/>
      <c r="R493" s="1275"/>
      <c r="S493" s="1275"/>
    </row>
    <row r="494" spans="1:19" ht="15.75" thickBot="1">
      <c r="A494" s="339"/>
      <c r="B494" s="199"/>
      <c r="C494" s="1"/>
      <c r="D494" s="273"/>
      <c r="E494" s="366"/>
      <c r="F494" s="366"/>
      <c r="G494" s="366"/>
      <c r="H494" s="608" t="s">
        <v>210</v>
      </c>
      <c r="I494" s="609">
        <v>28933.9</v>
      </c>
      <c r="J494" s="610"/>
      <c r="K494" s="613">
        <v>1267.8599999999999</v>
      </c>
      <c r="L494" s="613">
        <v>22833.599999999999</v>
      </c>
      <c r="M494" s="612">
        <f t="shared" si="30"/>
        <v>86957.489999999976</v>
      </c>
      <c r="N494" s="1275"/>
      <c r="O494" s="1275"/>
      <c r="P494" s="1275"/>
      <c r="Q494" s="1275"/>
      <c r="R494" s="1275"/>
      <c r="S494" s="1275"/>
    </row>
    <row r="495" spans="1:19" ht="15.75" thickTop="1">
      <c r="A495" s="339"/>
      <c r="B495" s="199"/>
      <c r="C495" s="1"/>
      <c r="D495" s="273"/>
      <c r="E495" s="84"/>
      <c r="F495" s="366"/>
      <c r="G495" s="366"/>
      <c r="H495" s="1148" t="s">
        <v>36</v>
      </c>
      <c r="I495" s="1150" t="s">
        <v>178</v>
      </c>
      <c r="J495" s="1151"/>
      <c r="K495" s="1152"/>
      <c r="L495" s="1156" t="s">
        <v>159</v>
      </c>
      <c r="M495" s="1157"/>
      <c r="N495" s="1275"/>
      <c r="O495" s="1275"/>
      <c r="P495" s="1275"/>
      <c r="Q495" s="1275"/>
      <c r="R495" s="1275"/>
      <c r="S495" s="1275"/>
    </row>
    <row r="496" spans="1:19">
      <c r="A496" s="339"/>
      <c r="B496" s="199"/>
      <c r="C496" s="284"/>
      <c r="D496" s="273"/>
      <c r="E496" s="284"/>
      <c r="F496" s="366"/>
      <c r="G496" s="378"/>
      <c r="H496" s="1149"/>
      <c r="I496" s="1153"/>
      <c r="J496" s="1154"/>
      <c r="K496" s="1155"/>
      <c r="L496" s="1158"/>
      <c r="M496" s="1159"/>
      <c r="N496" s="1275"/>
      <c r="O496" s="1275"/>
      <c r="P496" s="1275"/>
      <c r="Q496" s="1275"/>
      <c r="R496" s="1275"/>
      <c r="S496" s="1275"/>
    </row>
    <row r="497" spans="1:19">
      <c r="A497" s="339"/>
      <c r="B497" s="199"/>
      <c r="C497" s="199"/>
      <c r="D497" s="273"/>
      <c r="E497" s="199"/>
      <c r="F497" s="366"/>
      <c r="G497" s="378"/>
      <c r="H497" s="512" t="s">
        <v>250</v>
      </c>
      <c r="I497" s="1278" t="s">
        <v>47</v>
      </c>
      <c r="J497" s="1278"/>
      <c r="K497" s="1097">
        <v>328.13</v>
      </c>
      <c r="L497" s="282">
        <v>43905</v>
      </c>
      <c r="M497" s="44" t="s">
        <v>237</v>
      </c>
      <c r="N497" s="1275"/>
      <c r="O497" s="1275"/>
      <c r="P497" s="1275"/>
      <c r="Q497" s="1275"/>
      <c r="R497" s="1275"/>
      <c r="S497" s="1275"/>
    </row>
    <row r="498" spans="1:19">
      <c r="A498" s="339"/>
      <c r="B498" s="366"/>
      <c r="C498" s="274"/>
      <c r="D498" s="273"/>
      <c r="E498" s="274"/>
      <c r="F498" s="366"/>
      <c r="G498" s="366"/>
      <c r="H498" s="512" t="s">
        <v>250</v>
      </c>
      <c r="I498" s="1262" t="s">
        <v>51</v>
      </c>
      <c r="J498" s="1262"/>
      <c r="K498" s="1099">
        <v>71.83</v>
      </c>
      <c r="L498" s="282">
        <v>43905</v>
      </c>
      <c r="M498" s="44" t="s">
        <v>237</v>
      </c>
      <c r="N498" s="1275"/>
      <c r="O498" s="1275"/>
      <c r="P498" s="1275"/>
      <c r="Q498" s="1275"/>
      <c r="R498" s="1275"/>
      <c r="S498" s="1275"/>
    </row>
    <row r="499" spans="1:19">
      <c r="A499" s="340"/>
      <c r="B499" s="366"/>
      <c r="C499" s="366"/>
      <c r="D499" s="273"/>
      <c r="E499" s="199"/>
      <c r="F499" s="366"/>
      <c r="G499" s="366"/>
      <c r="H499" s="512" t="s">
        <v>250</v>
      </c>
      <c r="I499" s="1262" t="s">
        <v>52</v>
      </c>
      <c r="J499" s="1262"/>
      <c r="K499" s="1099">
        <v>5.63</v>
      </c>
      <c r="L499" s="282">
        <v>43905</v>
      </c>
      <c r="M499" s="44" t="s">
        <v>237</v>
      </c>
      <c r="N499" s="1275"/>
      <c r="O499" s="1275"/>
      <c r="P499" s="1275"/>
      <c r="Q499" s="1275"/>
      <c r="R499" s="1275"/>
      <c r="S499" s="1275"/>
    </row>
    <row r="500" spans="1:19">
      <c r="A500" s="340"/>
      <c r="B500" s="366"/>
      <c r="C500" s="366"/>
      <c r="D500" s="273"/>
      <c r="E500" s="366"/>
      <c r="F500" s="366"/>
      <c r="G500" s="366"/>
      <c r="H500" s="512" t="s">
        <v>250</v>
      </c>
      <c r="I500" s="1262" t="s">
        <v>49</v>
      </c>
      <c r="J500" s="1262"/>
      <c r="K500" s="1099">
        <v>257</v>
      </c>
      <c r="L500" s="282">
        <v>43910</v>
      </c>
      <c r="M500" s="44" t="s">
        <v>269</v>
      </c>
      <c r="N500" s="1275"/>
      <c r="O500" s="1275"/>
      <c r="P500" s="1275"/>
      <c r="Q500" s="1275"/>
      <c r="R500" s="1275"/>
      <c r="S500" s="1275"/>
    </row>
    <row r="501" spans="1:19">
      <c r="A501" s="340"/>
      <c r="B501" s="366"/>
      <c r="C501" s="366"/>
      <c r="D501" s="273"/>
      <c r="E501" s="366"/>
      <c r="F501" s="366"/>
      <c r="G501" s="366"/>
      <c r="H501" s="512" t="s">
        <v>250</v>
      </c>
      <c r="I501" s="1263" t="s">
        <v>59</v>
      </c>
      <c r="J501" s="1263"/>
      <c r="K501" s="1103">
        <v>654.32000000000005</v>
      </c>
      <c r="L501" s="302" t="s">
        <v>177</v>
      </c>
      <c r="M501" s="44" t="s">
        <v>237</v>
      </c>
      <c r="N501" s="1275"/>
      <c r="O501" s="1275"/>
      <c r="P501" s="1275"/>
      <c r="Q501" s="1275"/>
      <c r="R501" s="1275"/>
      <c r="S501" s="1275"/>
    </row>
    <row r="502" spans="1:19">
      <c r="A502" s="340"/>
      <c r="B502" s="199"/>
      <c r="C502" s="199"/>
      <c r="D502" s="273"/>
      <c r="E502" s="199"/>
      <c r="F502" s="366"/>
      <c r="G502" s="366"/>
      <c r="H502" s="512" t="s">
        <v>250</v>
      </c>
      <c r="I502" s="1264" t="s">
        <v>68</v>
      </c>
      <c r="J502" s="1265"/>
      <c r="K502" s="1099">
        <v>324.85000000000002</v>
      </c>
      <c r="L502" s="282">
        <v>43910</v>
      </c>
      <c r="M502" s="44" t="s">
        <v>237</v>
      </c>
      <c r="N502" s="1275"/>
      <c r="O502" s="1275"/>
      <c r="P502" s="1275"/>
      <c r="Q502" s="1275"/>
      <c r="R502" s="1275"/>
      <c r="S502" s="1275"/>
    </row>
    <row r="503" spans="1:19">
      <c r="A503" s="340"/>
      <c r="B503" s="199"/>
      <c r="C503" s="366"/>
      <c r="D503" s="273"/>
      <c r="E503" s="199"/>
      <c r="F503" s="366"/>
      <c r="G503" s="366"/>
      <c r="H503" s="512" t="s">
        <v>250</v>
      </c>
      <c r="I503" s="1090" t="s">
        <v>174</v>
      </c>
      <c r="J503" s="1091"/>
      <c r="K503" s="5">
        <v>518.58999999999992</v>
      </c>
      <c r="L503" s="282">
        <v>43905</v>
      </c>
      <c r="M503" s="44" t="s">
        <v>237</v>
      </c>
      <c r="N503" s="1275"/>
      <c r="O503" s="1275"/>
      <c r="P503" s="1275"/>
      <c r="Q503" s="1275"/>
      <c r="R503" s="1275"/>
      <c r="S503" s="1275"/>
    </row>
    <row r="504" spans="1:19">
      <c r="A504" s="340"/>
      <c r="B504" s="199"/>
      <c r="C504" s="366"/>
      <c r="D504" s="273"/>
      <c r="E504" s="199"/>
      <c r="F504" s="366"/>
      <c r="G504" s="366"/>
      <c r="H504" s="350" t="s">
        <v>258</v>
      </c>
      <c r="I504" s="1090" t="s">
        <v>176</v>
      </c>
      <c r="J504" s="1091"/>
      <c r="K504" s="1099"/>
      <c r="L504" s="282">
        <v>43910</v>
      </c>
      <c r="M504" s="44" t="s">
        <v>237</v>
      </c>
      <c r="N504" s="1275"/>
      <c r="O504" s="1275"/>
      <c r="P504" s="1275"/>
      <c r="Q504" s="1275"/>
      <c r="R504" s="1275"/>
      <c r="S504" s="1275"/>
    </row>
    <row r="505" spans="1:19">
      <c r="A505" s="340"/>
      <c r="B505" s="199"/>
      <c r="C505" s="366"/>
      <c r="D505" s="273"/>
      <c r="E505" s="232"/>
      <c r="F505" s="366"/>
      <c r="G505" s="366"/>
      <c r="H505" s="512" t="s">
        <v>250</v>
      </c>
      <c r="I505" s="1264" t="s">
        <v>81</v>
      </c>
      <c r="J505" s="1265"/>
      <c r="K505" s="1099">
        <v>1575.56</v>
      </c>
      <c r="L505" s="282">
        <v>43905</v>
      </c>
      <c r="M505" s="44" t="s">
        <v>237</v>
      </c>
      <c r="N505" s="1275"/>
      <c r="O505" s="1275"/>
      <c r="P505" s="1275"/>
      <c r="Q505" s="1275"/>
      <c r="R505" s="1275"/>
      <c r="S505" s="1275"/>
    </row>
    <row r="506" spans="1:19">
      <c r="A506" s="340"/>
      <c r="B506" s="199"/>
      <c r="C506" s="366"/>
      <c r="D506" s="273"/>
      <c r="E506" s="232"/>
      <c r="F506" s="366"/>
      <c r="G506" s="366"/>
      <c r="H506" s="512" t="s">
        <v>250</v>
      </c>
      <c r="I506" s="1264" t="s">
        <v>181</v>
      </c>
      <c r="J506" s="1265"/>
      <c r="K506" s="1099">
        <v>10</v>
      </c>
      <c r="L506" s="282">
        <v>43905</v>
      </c>
      <c r="M506" s="44" t="s">
        <v>237</v>
      </c>
      <c r="N506" s="1275"/>
      <c r="O506" s="1275"/>
      <c r="P506" s="1275"/>
      <c r="Q506" s="1275"/>
      <c r="R506" s="1275"/>
      <c r="S506" s="1275"/>
    </row>
    <row r="507" spans="1:19">
      <c r="A507" s="340"/>
      <c r="B507" s="199"/>
      <c r="C507" s="366"/>
      <c r="D507" s="273"/>
      <c r="E507" s="232"/>
      <c r="F507" s="366"/>
      <c r="G507" s="366"/>
      <c r="H507" s="350" t="s">
        <v>250</v>
      </c>
      <c r="I507" s="1145" t="s">
        <v>61</v>
      </c>
      <c r="J507" s="1145"/>
      <c r="K507" s="93">
        <f>J466+J467</f>
        <v>2379.6400000000003</v>
      </c>
      <c r="L507" s="282">
        <v>43910</v>
      </c>
      <c r="M507" s="44" t="s">
        <v>237</v>
      </c>
      <c r="N507" s="1275"/>
      <c r="O507" s="1275"/>
      <c r="P507" s="1275"/>
      <c r="Q507" s="1275"/>
      <c r="R507" s="1275"/>
      <c r="S507" s="1275"/>
    </row>
    <row r="508" spans="1:19">
      <c r="A508" s="340"/>
      <c r="B508" s="199"/>
      <c r="C508" s="366"/>
      <c r="D508" s="273"/>
      <c r="E508" s="232"/>
      <c r="F508" s="366"/>
      <c r="G508" s="366"/>
      <c r="H508" s="350" t="s">
        <v>250</v>
      </c>
      <c r="I508" s="1145" t="s">
        <v>274</v>
      </c>
      <c r="J508" s="1145"/>
      <c r="K508" s="93">
        <v>72</v>
      </c>
      <c r="L508" s="282">
        <v>43900</v>
      </c>
      <c r="M508" s="44" t="s">
        <v>237</v>
      </c>
      <c r="N508" s="1275"/>
      <c r="O508" s="1275"/>
      <c r="P508" s="1275"/>
      <c r="Q508" s="1275"/>
      <c r="R508" s="1275"/>
      <c r="S508" s="1275"/>
    </row>
    <row r="509" spans="1:19">
      <c r="A509" s="340"/>
      <c r="B509" s="199"/>
      <c r="C509" s="366"/>
      <c r="D509" s="273"/>
      <c r="E509" s="232"/>
      <c r="F509" s="366"/>
      <c r="G509" s="366"/>
      <c r="H509" s="350" t="s">
        <v>250</v>
      </c>
      <c r="I509" s="1145" t="s">
        <v>275</v>
      </c>
      <c r="J509" s="1145"/>
      <c r="K509" s="93">
        <v>50</v>
      </c>
      <c r="L509" s="282">
        <v>43905</v>
      </c>
      <c r="M509" s="44" t="s">
        <v>237</v>
      </c>
      <c r="N509" s="1275"/>
      <c r="O509" s="1275"/>
      <c r="P509" s="1275"/>
      <c r="Q509" s="1275"/>
      <c r="R509" s="1275"/>
      <c r="S509" s="1275"/>
    </row>
    <row r="510" spans="1:19">
      <c r="A510" s="340"/>
      <c r="B510" s="199"/>
      <c r="C510" s="366"/>
      <c r="D510" s="273"/>
      <c r="E510" s="232"/>
      <c r="F510" s="366"/>
      <c r="G510" s="366"/>
      <c r="H510" s="350" t="s">
        <v>250</v>
      </c>
      <c r="I510" s="1145" t="s">
        <v>276</v>
      </c>
      <c r="J510" s="1145"/>
      <c r="K510" s="93">
        <v>150</v>
      </c>
      <c r="L510" s="282">
        <v>43920</v>
      </c>
      <c r="M510" s="44" t="s">
        <v>237</v>
      </c>
      <c r="N510" s="1275"/>
      <c r="O510" s="1275"/>
      <c r="P510" s="1275"/>
      <c r="Q510" s="1275"/>
      <c r="R510" s="1275"/>
      <c r="S510" s="1275"/>
    </row>
    <row r="511" spans="1:19" ht="15.75" thickBot="1">
      <c r="A511" s="341"/>
      <c r="B511" s="330"/>
      <c r="C511" s="331"/>
      <c r="D511" s="342"/>
      <c r="E511" s="330"/>
      <c r="F511" s="331"/>
      <c r="G511" s="331"/>
      <c r="H511" s="346"/>
      <c r="I511" s="361" t="s">
        <v>179</v>
      </c>
      <c r="J511" s="361">
        <f>SUM(K497:K507)</f>
        <v>6125.5499999999993</v>
      </c>
      <c r="K511" s="1146" t="s">
        <v>180</v>
      </c>
      <c r="L511" s="1146"/>
      <c r="M511" s="484">
        <v>0</v>
      </c>
      <c r="N511" s="1275"/>
      <c r="O511" s="1275"/>
      <c r="P511" s="1275"/>
      <c r="Q511" s="1275"/>
      <c r="R511" s="1275"/>
      <c r="S511" s="1275"/>
    </row>
    <row r="512" spans="1:19" ht="15.75" thickTop="1">
      <c r="A512" s="366"/>
      <c r="B512" s="366"/>
      <c r="C512" s="366"/>
      <c r="D512" s="366"/>
      <c r="E512" s="366"/>
      <c r="F512" s="366"/>
      <c r="G512" s="366"/>
      <c r="H512" s="1162"/>
      <c r="I512" s="1162"/>
      <c r="J512" s="1162"/>
      <c r="K512" s="1162"/>
      <c r="L512" s="366"/>
      <c r="M512" s="441"/>
      <c r="N512" s="1275"/>
      <c r="O512" s="1275"/>
      <c r="P512" s="1275"/>
      <c r="Q512" s="1275"/>
      <c r="R512" s="1275"/>
      <c r="S512" s="1275"/>
    </row>
    <row r="513" spans="1:19">
      <c r="A513" s="1163" t="s">
        <v>266</v>
      </c>
      <c r="B513" s="1163"/>
      <c r="C513" s="1163"/>
      <c r="D513" s="1163"/>
      <c r="E513" s="1163"/>
      <c r="F513" s="1163"/>
      <c r="G513" s="1163"/>
      <c r="H513" s="1163"/>
      <c r="I513" s="1163"/>
      <c r="J513" s="1163"/>
      <c r="K513" s="1163"/>
      <c r="L513" s="1163"/>
      <c r="M513" s="1163"/>
      <c r="N513" s="1275"/>
      <c r="O513" s="1275"/>
      <c r="P513" s="1275"/>
      <c r="Q513" s="1275"/>
      <c r="R513" s="1275"/>
      <c r="S513" s="1275"/>
    </row>
    <row r="514" spans="1:19" ht="15.75" thickBot="1">
      <c r="A514" s="1164"/>
      <c r="B514" s="1164"/>
      <c r="C514" s="1164"/>
      <c r="D514" s="1164"/>
      <c r="E514" s="1164"/>
      <c r="F514" s="1164"/>
      <c r="G514" s="1164"/>
      <c r="H514" s="1164"/>
      <c r="I514" s="1164"/>
      <c r="J514" s="1164"/>
      <c r="K514" s="1164"/>
      <c r="L514" s="1164"/>
      <c r="M514" s="1164"/>
      <c r="N514" s="1275"/>
      <c r="O514" s="1275"/>
      <c r="P514" s="1275"/>
      <c r="Q514" s="1275"/>
      <c r="R514" s="1275"/>
      <c r="S514" s="1275"/>
    </row>
    <row r="515" spans="1:19" ht="15.75" thickTop="1">
      <c r="A515" s="1266" t="s">
        <v>28</v>
      </c>
      <c r="B515" s="1166"/>
      <c r="C515" s="1166"/>
      <c r="D515" s="1166"/>
      <c r="E515" s="1166"/>
      <c r="F515" s="1166"/>
      <c r="G515" s="1167"/>
      <c r="H515" s="1168" t="s">
        <v>268</v>
      </c>
      <c r="I515" s="1169"/>
      <c r="J515" s="1169"/>
      <c r="K515" s="1169"/>
      <c r="L515" s="1169"/>
      <c r="M515" s="1170"/>
      <c r="N515" s="1275"/>
      <c r="O515" s="1275"/>
      <c r="P515" s="1275"/>
      <c r="Q515" s="1275"/>
      <c r="R515" s="1275"/>
      <c r="S515" s="1275"/>
    </row>
    <row r="516" spans="1:19">
      <c r="A516" s="324" t="s">
        <v>2</v>
      </c>
      <c r="B516" s="1094" t="s">
        <v>34</v>
      </c>
      <c r="C516" s="36" t="s">
        <v>35</v>
      </c>
      <c r="D516" s="36" t="s">
        <v>38</v>
      </c>
      <c r="E516" s="36" t="s">
        <v>42</v>
      </c>
      <c r="F516" s="1094" t="s">
        <v>36</v>
      </c>
      <c r="G516" s="100" t="s">
        <v>173</v>
      </c>
      <c r="H516" s="43"/>
      <c r="I516" s="1089" t="s">
        <v>35</v>
      </c>
      <c r="J516" s="1089" t="s">
        <v>38</v>
      </c>
      <c r="K516" s="1089" t="s">
        <v>42</v>
      </c>
      <c r="L516" s="263" t="s">
        <v>44</v>
      </c>
      <c r="M516" s="442"/>
      <c r="N516" s="1275"/>
      <c r="O516" s="1275"/>
      <c r="P516" s="1275"/>
      <c r="Q516" s="1275"/>
      <c r="R516" s="1275"/>
      <c r="S516" s="1275"/>
    </row>
    <row r="517" spans="1:19">
      <c r="A517" s="325">
        <v>43888</v>
      </c>
      <c r="B517" s="161" t="s">
        <v>263</v>
      </c>
      <c r="C517" s="275">
        <v>1008.8</v>
      </c>
      <c r="D517" s="275">
        <v>508.79999999999995</v>
      </c>
      <c r="E517" s="542">
        <f>IF(C517-D517=0,"",C517-D517)</f>
        <v>500</v>
      </c>
      <c r="F517" s="162" t="str">
        <f>IF(C517=0,"",IF(C517-D517=0,"оплачено","ОЖИДАЕТСЯ оплата"))</f>
        <v>ОЖИДАЕТСЯ оплата</v>
      </c>
      <c r="G517" s="162"/>
      <c r="H517" s="43"/>
      <c r="I517" s="1102">
        <v>500.24</v>
      </c>
      <c r="J517" s="1102">
        <f>150+350.24</f>
        <v>500.24</v>
      </c>
      <c r="K517" s="160">
        <f>I517-J517</f>
        <v>0</v>
      </c>
      <c r="L517" s="3">
        <v>43914</v>
      </c>
      <c r="M517" s="434"/>
      <c r="N517" s="1275"/>
      <c r="O517" s="1275"/>
      <c r="P517" s="1275"/>
      <c r="Q517" s="1275"/>
      <c r="R517" s="1275"/>
      <c r="S517" s="1275"/>
    </row>
    <row r="518" spans="1:19">
      <c r="A518" s="325">
        <v>43894</v>
      </c>
      <c r="B518" s="161" t="s">
        <v>205</v>
      </c>
      <c r="C518" s="275">
        <v>236.18</v>
      </c>
      <c r="D518" s="275">
        <v>236.18</v>
      </c>
      <c r="E518" s="542" t="str">
        <f t="shared" ref="E518:E532" si="31">IF(C518-D518=0,"",C518-D518)</f>
        <v/>
      </c>
      <c r="F518" s="162" t="str">
        <f t="shared" ref="F518:F532" si="32">IF(C518=0,"",IF(C518-D518=0,"оплачено","ОЖИДАЕТСЯ оплата"))</f>
        <v>оплачено</v>
      </c>
      <c r="G518" s="162"/>
      <c r="H518" s="43"/>
      <c r="I518" s="293"/>
      <c r="J518" s="293"/>
      <c r="K518" s="443"/>
      <c r="L518" s="144"/>
      <c r="M518" s="434"/>
      <c r="N518" s="1275"/>
      <c r="O518" s="1275"/>
      <c r="P518" s="1275"/>
      <c r="Q518" s="1275"/>
      <c r="R518" s="1275"/>
      <c r="S518" s="1275"/>
    </row>
    <row r="519" spans="1:19">
      <c r="A519" s="325">
        <v>43894</v>
      </c>
      <c r="B519" s="161" t="s">
        <v>222</v>
      </c>
      <c r="C519" s="275">
        <v>232.91</v>
      </c>
      <c r="D519" s="275">
        <v>232.91</v>
      </c>
      <c r="E519" s="542" t="str">
        <f t="shared" si="31"/>
        <v/>
      </c>
      <c r="F519" s="162" t="str">
        <f t="shared" si="32"/>
        <v>оплачено</v>
      </c>
      <c r="G519" s="162"/>
      <c r="H519" s="43"/>
      <c r="I519" s="1"/>
      <c r="J519" s="366"/>
      <c r="K519" s="1"/>
      <c r="L519" s="1"/>
      <c r="M519" s="44"/>
      <c r="N519" s="1275"/>
      <c r="O519" s="1275"/>
      <c r="P519" s="1275"/>
      <c r="Q519" s="1275"/>
      <c r="R519" s="1275"/>
      <c r="S519" s="1275"/>
    </row>
    <row r="520" spans="1:19">
      <c r="A520" s="325">
        <v>43895</v>
      </c>
      <c r="B520" s="161" t="s">
        <v>221</v>
      </c>
      <c r="C520" s="275">
        <v>343.62</v>
      </c>
      <c r="D520" s="275">
        <v>343.62</v>
      </c>
      <c r="E520" s="542" t="str">
        <f t="shared" si="31"/>
        <v/>
      </c>
      <c r="F520" s="162" t="str">
        <f t="shared" si="32"/>
        <v>оплачено</v>
      </c>
      <c r="G520" s="162"/>
      <c r="H520" s="43"/>
      <c r="I520" s="1"/>
      <c r="J520" s="366"/>
      <c r="K520" s="1"/>
      <c r="L520" s="1"/>
      <c r="M520" s="44"/>
      <c r="N520" s="1275"/>
      <c r="O520" s="1275"/>
      <c r="P520" s="1275"/>
      <c r="Q520" s="1275"/>
      <c r="R520" s="1275"/>
      <c r="S520" s="1275"/>
    </row>
    <row r="521" spans="1:19">
      <c r="A521" s="325">
        <v>43901</v>
      </c>
      <c r="B521" s="161" t="s">
        <v>255</v>
      </c>
      <c r="C521" s="275">
        <v>428.25</v>
      </c>
      <c r="D521" s="275">
        <v>428.25</v>
      </c>
      <c r="E521" s="542" t="str">
        <f t="shared" si="31"/>
        <v/>
      </c>
      <c r="F521" s="162" t="str">
        <f t="shared" si="32"/>
        <v>оплачено</v>
      </c>
      <c r="G521" s="162"/>
      <c r="H521" s="43"/>
      <c r="I521" s="1"/>
      <c r="J521" s="366"/>
      <c r="K521" s="1"/>
      <c r="L521" s="1"/>
      <c r="M521" s="44"/>
      <c r="N521" s="1275"/>
      <c r="O521" s="1275"/>
      <c r="P521" s="1275"/>
      <c r="Q521" s="1275"/>
      <c r="R521" s="1275"/>
      <c r="S521" s="1275"/>
    </row>
    <row r="522" spans="1:19">
      <c r="A522" s="325">
        <v>43908</v>
      </c>
      <c r="B522" s="161" t="s">
        <v>255</v>
      </c>
      <c r="C522" s="275">
        <v>241</v>
      </c>
      <c r="D522" s="275">
        <v>241</v>
      </c>
      <c r="E522" s="542" t="str">
        <f t="shared" si="31"/>
        <v/>
      </c>
      <c r="F522" s="162" t="str">
        <f t="shared" si="32"/>
        <v>оплачено</v>
      </c>
      <c r="G522" s="162"/>
      <c r="H522" s="43"/>
      <c r="I522" s="1"/>
      <c r="J522" s="366"/>
      <c r="K522" s="1"/>
      <c r="L522" s="1"/>
      <c r="M522" s="44"/>
      <c r="N522" s="1275"/>
      <c r="O522" s="1275"/>
      <c r="P522" s="1275"/>
      <c r="Q522" s="1275"/>
      <c r="R522" s="1275"/>
      <c r="S522" s="1275"/>
    </row>
    <row r="523" spans="1:19">
      <c r="A523" s="325">
        <v>43913</v>
      </c>
      <c r="B523" s="161" t="s">
        <v>256</v>
      </c>
      <c r="C523" s="275">
        <v>233.61</v>
      </c>
      <c r="D523" s="275">
        <v>233.61</v>
      </c>
      <c r="E523" s="542" t="str">
        <f t="shared" si="31"/>
        <v/>
      </c>
      <c r="F523" s="162" t="str">
        <f t="shared" si="32"/>
        <v>оплачено</v>
      </c>
      <c r="G523" s="162"/>
      <c r="H523" s="43"/>
      <c r="I523" s="1"/>
      <c r="J523" s="366"/>
      <c r="K523" s="1"/>
      <c r="L523" s="1"/>
      <c r="M523" s="44"/>
      <c r="N523" s="1275"/>
      <c r="O523" s="1275"/>
      <c r="P523" s="1275"/>
      <c r="Q523" s="1275"/>
      <c r="R523" s="1275"/>
      <c r="S523" s="1275"/>
    </row>
    <row r="524" spans="1:19">
      <c r="A524" s="325">
        <v>43909</v>
      </c>
      <c r="B524" s="161" t="s">
        <v>212</v>
      </c>
      <c r="C524" s="275">
        <v>332.52</v>
      </c>
      <c r="D524" s="275">
        <v>332.52</v>
      </c>
      <c r="E524" s="542" t="str">
        <f t="shared" si="31"/>
        <v/>
      </c>
      <c r="F524" s="162" t="str">
        <f t="shared" si="32"/>
        <v>оплачено</v>
      </c>
      <c r="G524" s="162"/>
      <c r="H524" s="43"/>
      <c r="I524" s="1"/>
      <c r="J524" s="366"/>
      <c r="K524" s="1"/>
      <c r="L524" s="1"/>
      <c r="M524" s="44"/>
      <c r="N524" s="1275"/>
      <c r="O524" s="1275"/>
      <c r="P524" s="1275"/>
      <c r="Q524" s="1275"/>
      <c r="R524" s="1275"/>
      <c r="S524" s="1275"/>
    </row>
    <row r="525" spans="1:19">
      <c r="A525" s="325">
        <v>43916</v>
      </c>
      <c r="B525" s="161" t="s">
        <v>155</v>
      </c>
      <c r="C525" s="275">
        <v>328.15</v>
      </c>
      <c r="D525" s="275">
        <v>328.15</v>
      </c>
      <c r="E525" s="542" t="str">
        <f t="shared" si="31"/>
        <v/>
      </c>
      <c r="F525" s="162" t="str">
        <f t="shared" si="32"/>
        <v>оплачено</v>
      </c>
      <c r="G525" s="162"/>
      <c r="H525" s="43"/>
      <c r="I525" s="1"/>
      <c r="J525" s="366"/>
      <c r="K525" s="1"/>
      <c r="L525" s="1"/>
      <c r="M525" s="44"/>
      <c r="N525" s="1275"/>
      <c r="O525" s="1275"/>
      <c r="P525" s="1275"/>
      <c r="Q525" s="1275"/>
      <c r="R525" s="1275"/>
      <c r="S525" s="1275"/>
    </row>
    <row r="526" spans="1:19">
      <c r="A526" s="325">
        <v>43916</v>
      </c>
      <c r="B526" s="161" t="s">
        <v>222</v>
      </c>
      <c r="C526" s="275">
        <v>561.41999999999996</v>
      </c>
      <c r="D526" s="275">
        <v>561.41999999999996</v>
      </c>
      <c r="E526" s="542" t="str">
        <f t="shared" si="31"/>
        <v/>
      </c>
      <c r="F526" s="162" t="str">
        <f t="shared" si="32"/>
        <v>оплачено</v>
      </c>
      <c r="G526" s="162"/>
      <c r="H526" s="43"/>
      <c r="I526" s="1"/>
      <c r="J526" s="366"/>
      <c r="K526" s="1"/>
      <c r="L526" s="1"/>
      <c r="M526" s="44"/>
      <c r="N526" s="1275"/>
      <c r="O526" s="1275"/>
      <c r="P526" s="1275"/>
      <c r="Q526" s="1275"/>
      <c r="R526" s="1275"/>
      <c r="S526" s="1275"/>
    </row>
    <row r="527" spans="1:19">
      <c r="A527" s="325"/>
      <c r="B527" s="161"/>
      <c r="C527" s="275"/>
      <c r="D527" s="275"/>
      <c r="E527" s="542" t="str">
        <f t="shared" si="31"/>
        <v/>
      </c>
      <c r="F527" s="162" t="str">
        <f t="shared" si="32"/>
        <v/>
      </c>
      <c r="G527" s="162"/>
      <c r="H527" s="43"/>
      <c r="I527" s="1"/>
      <c r="J527" s="366"/>
      <c r="K527" s="1"/>
      <c r="L527" s="1"/>
      <c r="M527" s="44"/>
      <c r="N527" s="1275"/>
      <c r="O527" s="1275"/>
      <c r="P527" s="1275"/>
      <c r="Q527" s="1275"/>
      <c r="R527" s="1275"/>
      <c r="S527" s="1275"/>
    </row>
    <row r="528" spans="1:19">
      <c r="A528" s="325"/>
      <c r="B528" s="161"/>
      <c r="C528" s="275"/>
      <c r="D528" s="275"/>
      <c r="E528" s="542" t="str">
        <f t="shared" si="31"/>
        <v/>
      </c>
      <c r="F528" s="162" t="str">
        <f t="shared" si="32"/>
        <v/>
      </c>
      <c r="G528" s="162"/>
      <c r="H528" s="43"/>
      <c r="I528" s="1"/>
      <c r="J528" s="366"/>
      <c r="K528" s="1"/>
      <c r="L528" s="1"/>
      <c r="M528" s="44"/>
      <c r="N528" s="1275"/>
      <c r="O528" s="1275"/>
      <c r="P528" s="1275"/>
      <c r="Q528" s="1275"/>
      <c r="R528" s="1275"/>
      <c r="S528" s="1275"/>
    </row>
    <row r="529" spans="1:19">
      <c r="A529" s="325"/>
      <c r="B529" s="161"/>
      <c r="C529" s="275"/>
      <c r="D529" s="275"/>
      <c r="E529" s="542" t="str">
        <f t="shared" si="31"/>
        <v/>
      </c>
      <c r="F529" s="162" t="str">
        <f t="shared" si="32"/>
        <v/>
      </c>
      <c r="G529" s="162"/>
      <c r="H529" s="43"/>
      <c r="I529" s="1"/>
      <c r="J529" s="366"/>
      <c r="K529" s="1"/>
      <c r="L529" s="1"/>
      <c r="M529" s="44"/>
      <c r="N529" s="1275"/>
      <c r="O529" s="1275"/>
      <c r="P529" s="1275"/>
      <c r="Q529" s="1275"/>
      <c r="R529" s="1275"/>
      <c r="S529" s="1275"/>
    </row>
    <row r="530" spans="1:19">
      <c r="A530" s="325"/>
      <c r="B530" s="161"/>
      <c r="C530" s="275"/>
      <c r="D530" s="275"/>
      <c r="E530" s="542" t="str">
        <f t="shared" si="31"/>
        <v/>
      </c>
      <c r="F530" s="162" t="str">
        <f t="shared" si="32"/>
        <v/>
      </c>
      <c r="G530" s="162"/>
      <c r="H530" s="43"/>
      <c r="I530" s="1"/>
      <c r="J530" s="366"/>
      <c r="K530" s="1"/>
      <c r="L530" s="1"/>
      <c r="M530" s="44"/>
      <c r="N530" s="1275"/>
      <c r="O530" s="1275"/>
      <c r="P530" s="1275"/>
      <c r="Q530" s="1275"/>
      <c r="R530" s="1275"/>
      <c r="S530" s="1275"/>
    </row>
    <row r="531" spans="1:19">
      <c r="A531" s="325"/>
      <c r="B531" s="161"/>
      <c r="C531" s="275"/>
      <c r="D531" s="275"/>
      <c r="E531" s="542" t="str">
        <f t="shared" si="31"/>
        <v/>
      </c>
      <c r="F531" s="162" t="str">
        <f t="shared" si="32"/>
        <v/>
      </c>
      <c r="G531" s="162"/>
      <c r="H531" s="43"/>
      <c r="I531" s="1"/>
      <c r="J531" s="366"/>
      <c r="K531" s="1"/>
      <c r="L531" s="1"/>
      <c r="M531" s="44"/>
      <c r="N531" s="1275"/>
      <c r="O531" s="1275"/>
      <c r="P531" s="1275"/>
      <c r="Q531" s="1275"/>
      <c r="R531" s="1275"/>
      <c r="S531" s="1275"/>
    </row>
    <row r="532" spans="1:19">
      <c r="A532" s="325"/>
      <c r="B532" s="161"/>
      <c r="C532" s="275"/>
      <c r="D532" s="275"/>
      <c r="E532" s="542" t="str">
        <f t="shared" si="31"/>
        <v/>
      </c>
      <c r="F532" s="162" t="str">
        <f t="shared" si="32"/>
        <v/>
      </c>
      <c r="G532" s="162"/>
      <c r="H532" s="43"/>
      <c r="I532" s="1"/>
      <c r="J532" s="366"/>
      <c r="K532" s="1"/>
      <c r="L532" s="1"/>
      <c r="M532" s="44"/>
      <c r="N532" s="1275"/>
      <c r="O532" s="1275"/>
      <c r="P532" s="1275"/>
      <c r="Q532" s="1275"/>
      <c r="R532" s="1275"/>
      <c r="S532" s="1275"/>
    </row>
    <row r="533" spans="1:19" ht="15.75" thickBot="1">
      <c r="A533" s="1272" t="s">
        <v>259</v>
      </c>
      <c r="B533" s="1273"/>
      <c r="C533" s="358">
        <f>SUM(C517:C532)</f>
        <v>3946.4600000000005</v>
      </c>
      <c r="D533" s="358"/>
      <c r="E533" s="542">
        <f>SUM(E517:E532)</f>
        <v>500</v>
      </c>
      <c r="F533" s="162"/>
      <c r="G533" s="450"/>
      <c r="H533" s="43"/>
      <c r="I533" s="1"/>
      <c r="J533" s="366"/>
      <c r="K533" s="1"/>
      <c r="L533" s="1"/>
      <c r="M533" s="44"/>
      <c r="N533" s="1275"/>
      <c r="O533" s="1275"/>
      <c r="P533" s="1275"/>
      <c r="Q533" s="1275"/>
      <c r="R533" s="1275"/>
      <c r="S533" s="1275"/>
    </row>
    <row r="534" spans="1:19" ht="15.75" thickTop="1">
      <c r="A534" s="351"/>
      <c r="B534" s="352"/>
      <c r="C534" s="353"/>
      <c r="D534" s="353"/>
      <c r="E534" s="354"/>
      <c r="F534" s="352"/>
      <c r="G534" s="376"/>
      <c r="H534" s="1171" t="s">
        <v>16</v>
      </c>
      <c r="I534" s="1173" t="s">
        <v>17</v>
      </c>
      <c r="J534" s="1173" t="s">
        <v>21</v>
      </c>
      <c r="K534" s="1173"/>
      <c r="L534" s="1175" t="s">
        <v>93</v>
      </c>
      <c r="M534" s="1177" t="s">
        <v>95</v>
      </c>
      <c r="N534" s="1275"/>
      <c r="O534" s="1275"/>
      <c r="P534" s="1275"/>
      <c r="Q534" s="1275"/>
      <c r="R534" s="1275"/>
      <c r="S534" s="1275"/>
    </row>
    <row r="535" spans="1:19" ht="24">
      <c r="A535" s="355"/>
      <c r="B535" s="201"/>
      <c r="C535" s="201"/>
      <c r="D535" s="201"/>
      <c r="E535" s="216"/>
      <c r="F535" s="201"/>
      <c r="G535" s="201"/>
      <c r="H535" s="1172"/>
      <c r="I535" s="1174"/>
      <c r="J535" s="1098" t="s">
        <v>21</v>
      </c>
      <c r="K535" s="1098" t="s">
        <v>25</v>
      </c>
      <c r="L535" s="1176"/>
      <c r="M535" s="1178"/>
      <c r="N535" s="1275"/>
      <c r="O535" s="1275"/>
      <c r="P535" s="1275"/>
      <c r="Q535" s="1275"/>
      <c r="R535" s="1275"/>
      <c r="S535" s="1275"/>
    </row>
    <row r="536" spans="1:19">
      <c r="A536" s="338"/>
      <c r="B536" s="199"/>
      <c r="C536" s="288"/>
      <c r="D536" s="232"/>
      <c r="E536" s="84"/>
      <c r="F536" s="199"/>
      <c r="G536" s="199"/>
      <c r="H536" s="347" t="s">
        <v>163</v>
      </c>
      <c r="I536" s="94">
        <v>2420.3999999999996</v>
      </c>
      <c r="J536" s="94">
        <v>115.5</v>
      </c>
      <c r="K536" s="1101">
        <v>132.61000000000001</v>
      </c>
      <c r="L536" s="96">
        <v>22665.5</v>
      </c>
      <c r="M536" s="104">
        <f>L536-I536-J536-K536</f>
        <v>19996.989999999998</v>
      </c>
      <c r="N536" s="1275"/>
      <c r="O536" s="1275"/>
      <c r="P536" s="1275"/>
      <c r="Q536" s="1275"/>
      <c r="R536" s="1275"/>
      <c r="S536" s="1275"/>
    </row>
    <row r="537" spans="1:19">
      <c r="A537" s="339"/>
      <c r="B537" s="199"/>
      <c r="C537" s="199"/>
      <c r="D537" s="273"/>
      <c r="E537" s="366"/>
      <c r="F537" s="84"/>
      <c r="G537" s="366"/>
      <c r="H537" s="347" t="s">
        <v>192</v>
      </c>
      <c r="I537" s="94">
        <v>7629.69</v>
      </c>
      <c r="J537" s="94">
        <v>352.29</v>
      </c>
      <c r="K537" s="94">
        <v>193.85000000000002</v>
      </c>
      <c r="L537" s="96">
        <v>10342</v>
      </c>
      <c r="M537" s="104">
        <f>M536-I537-J537-K537+L537</f>
        <v>22163.159999999996</v>
      </c>
      <c r="N537" s="1275"/>
      <c r="O537" s="1275"/>
      <c r="P537" s="1275"/>
      <c r="Q537" s="1275"/>
      <c r="R537" s="1275"/>
      <c r="S537" s="1275"/>
    </row>
    <row r="538" spans="1:19">
      <c r="A538" s="339"/>
      <c r="B538" s="366"/>
      <c r="C538" s="199"/>
      <c r="D538" s="273"/>
      <c r="E538" s="366"/>
      <c r="F538" s="366"/>
      <c r="G538" s="366"/>
      <c r="H538" s="347" t="s">
        <v>199</v>
      </c>
      <c r="I538" s="298">
        <v>8423.6400000000012</v>
      </c>
      <c r="J538" s="94">
        <v>921.3</v>
      </c>
      <c r="K538" s="299">
        <v>312.46000000000004</v>
      </c>
      <c r="L538" s="299">
        <v>16668</v>
      </c>
      <c r="M538" s="104">
        <f>M537-I538-J538-K538+L538</f>
        <v>29173.759999999995</v>
      </c>
      <c r="N538" s="1275"/>
      <c r="O538" s="1275"/>
      <c r="P538" s="1275"/>
      <c r="Q538" s="1275"/>
      <c r="R538" s="1275"/>
      <c r="S538" s="1275"/>
    </row>
    <row r="539" spans="1:19">
      <c r="A539" s="339"/>
      <c r="B539" s="1"/>
      <c r="C539" s="284"/>
      <c r="D539" s="273"/>
      <c r="E539" s="366"/>
      <c r="F539" s="366"/>
      <c r="G539" s="84"/>
      <c r="H539" s="347" t="s">
        <v>209</v>
      </c>
      <c r="I539" s="299">
        <v>8639.7199999999993</v>
      </c>
      <c r="J539" s="300">
        <v>749.49</v>
      </c>
      <c r="K539" s="526">
        <v>435.1</v>
      </c>
      <c r="L539" s="299">
        <v>17824.919999999998</v>
      </c>
      <c r="M539" s="104">
        <f>M538-I539-J539-K539+L539</f>
        <v>37174.369999999995</v>
      </c>
      <c r="N539" s="1275"/>
      <c r="O539" s="1275"/>
      <c r="P539" s="1275"/>
      <c r="Q539" s="1275"/>
      <c r="R539" s="1275"/>
      <c r="S539" s="1275"/>
    </row>
    <row r="540" spans="1:19">
      <c r="A540" s="339"/>
      <c r="B540" s="199"/>
      <c r="C540" s="1"/>
      <c r="D540" s="273"/>
      <c r="E540" s="366"/>
      <c r="F540" s="366"/>
      <c r="G540" s="366"/>
      <c r="H540" s="348" t="s">
        <v>210</v>
      </c>
      <c r="I540" s="300">
        <v>12605.26</v>
      </c>
      <c r="J540" s="299">
        <v>600.5</v>
      </c>
      <c r="K540" s="300">
        <v>491.64</v>
      </c>
      <c r="L540" s="299">
        <v>15183.9</v>
      </c>
      <c r="M540" s="104">
        <f>M539-I540-J540-K540+L540</f>
        <v>38660.869999999995</v>
      </c>
      <c r="N540" s="1275"/>
      <c r="O540" s="1275"/>
      <c r="P540" s="1275"/>
      <c r="Q540" s="1275"/>
      <c r="R540" s="1275"/>
      <c r="S540" s="1275"/>
    </row>
    <row r="541" spans="1:19" ht="15.75" thickBot="1">
      <c r="A541" s="339"/>
      <c r="B541" s="199"/>
      <c r="C541" s="1"/>
      <c r="D541" s="273"/>
      <c r="E541" s="366"/>
      <c r="F541" s="366"/>
      <c r="G541" s="366"/>
      <c r="H541" s="379" t="s">
        <v>211</v>
      </c>
      <c r="I541" s="380"/>
      <c r="J541" s="432"/>
      <c r="K541" s="381"/>
      <c r="L541" s="433"/>
      <c r="M541" s="382"/>
      <c r="N541" s="1275"/>
      <c r="O541" s="1275"/>
      <c r="P541" s="1275"/>
      <c r="Q541" s="1275"/>
      <c r="R541" s="1275"/>
      <c r="S541" s="1275"/>
    </row>
    <row r="542" spans="1:19" ht="15.75" thickTop="1">
      <c r="A542" s="339"/>
      <c r="B542" s="199"/>
      <c r="C542" s="1"/>
      <c r="D542" s="273"/>
      <c r="E542" s="84"/>
      <c r="F542" s="366"/>
      <c r="G542" s="366"/>
      <c r="H542" s="1148" t="s">
        <v>36</v>
      </c>
      <c r="I542" s="1150" t="s">
        <v>178</v>
      </c>
      <c r="J542" s="1151"/>
      <c r="K542" s="1152"/>
      <c r="L542" s="1156" t="s">
        <v>159</v>
      </c>
      <c r="M542" s="1157"/>
      <c r="N542" s="1275"/>
      <c r="O542" s="1275"/>
      <c r="P542" s="1275"/>
      <c r="Q542" s="1275"/>
      <c r="R542" s="1275"/>
      <c r="S542" s="1275"/>
    </row>
    <row r="543" spans="1:19">
      <c r="A543" s="339"/>
      <c r="B543" s="199"/>
      <c r="C543" s="284"/>
      <c r="D543" s="273"/>
      <c r="E543" s="284"/>
      <c r="F543" s="366"/>
      <c r="G543" s="378"/>
      <c r="H543" s="1149"/>
      <c r="I543" s="1153"/>
      <c r="J543" s="1154"/>
      <c r="K543" s="1155"/>
      <c r="L543" s="1158"/>
      <c r="M543" s="1159"/>
      <c r="N543" s="1275"/>
      <c r="O543" s="1275"/>
      <c r="P543" s="1275"/>
      <c r="Q543" s="1275"/>
      <c r="R543" s="1275"/>
      <c r="S543" s="1275"/>
    </row>
    <row r="544" spans="1:19">
      <c r="A544" s="339"/>
      <c r="B544" s="199"/>
      <c r="C544" s="199"/>
      <c r="D544" s="273"/>
      <c r="E544" s="199"/>
      <c r="F544" s="366"/>
      <c r="G544" s="378"/>
      <c r="H544" s="512" t="s">
        <v>250</v>
      </c>
      <c r="I544" s="1160" t="s">
        <v>47</v>
      </c>
      <c r="J544" s="1160"/>
      <c r="K544" s="1097">
        <v>131.25</v>
      </c>
      <c r="L544" s="282">
        <v>43905</v>
      </c>
      <c r="M544" s="44" t="s">
        <v>237</v>
      </c>
      <c r="N544" s="1275"/>
      <c r="O544" s="1275"/>
      <c r="P544" s="1275"/>
      <c r="Q544" s="1275"/>
      <c r="R544" s="1275"/>
      <c r="S544" s="1275"/>
    </row>
    <row r="545" spans="1:19">
      <c r="A545" s="339"/>
      <c r="B545" s="366"/>
      <c r="C545" s="274"/>
      <c r="D545" s="273"/>
      <c r="E545" s="274"/>
      <c r="F545" s="366"/>
      <c r="G545" s="366"/>
      <c r="H545" s="512" t="s">
        <v>250</v>
      </c>
      <c r="I545" s="1161" t="s">
        <v>51</v>
      </c>
      <c r="J545" s="1161"/>
      <c r="K545" s="1099">
        <v>21.35</v>
      </c>
      <c r="L545" s="282">
        <v>43905</v>
      </c>
      <c r="M545" s="44" t="s">
        <v>237</v>
      </c>
      <c r="N545" s="1275"/>
      <c r="O545" s="1275"/>
      <c r="P545" s="1275"/>
      <c r="Q545" s="1275"/>
      <c r="R545" s="1275"/>
      <c r="S545" s="1275"/>
    </row>
    <row r="546" spans="1:19">
      <c r="A546" s="340"/>
      <c r="B546" s="366"/>
      <c r="C546" s="366"/>
      <c r="D546" s="273"/>
      <c r="E546" s="199"/>
      <c r="F546" s="366"/>
      <c r="G546" s="366"/>
      <c r="H546" s="512" t="s">
        <v>250</v>
      </c>
      <c r="I546" s="1161" t="s">
        <v>52</v>
      </c>
      <c r="J546" s="1161"/>
      <c r="K546" s="1099">
        <v>2.25</v>
      </c>
      <c r="L546" s="282">
        <v>43905</v>
      </c>
      <c r="M546" s="44" t="s">
        <v>237</v>
      </c>
      <c r="N546" s="1275"/>
      <c r="O546" s="1275"/>
      <c r="P546" s="1275"/>
      <c r="Q546" s="1275"/>
      <c r="R546" s="1275"/>
      <c r="S546" s="1275"/>
    </row>
    <row r="547" spans="1:19">
      <c r="A547" s="340"/>
      <c r="B547" s="366"/>
      <c r="C547" s="366"/>
      <c r="D547" s="273"/>
      <c r="E547" s="366"/>
      <c r="F547" s="366"/>
      <c r="G547" s="366"/>
      <c r="H547" s="512" t="s">
        <v>250</v>
      </c>
      <c r="I547" s="1161" t="s">
        <v>49</v>
      </c>
      <c r="J547" s="1161"/>
      <c r="K547" s="1099">
        <v>89</v>
      </c>
      <c r="L547" s="282">
        <v>43910</v>
      </c>
      <c r="M547" s="44" t="s">
        <v>269</v>
      </c>
      <c r="N547" s="1275"/>
      <c r="O547" s="1275"/>
      <c r="P547" s="1275"/>
      <c r="Q547" s="1275"/>
      <c r="R547" s="1275"/>
      <c r="S547" s="1275"/>
    </row>
    <row r="548" spans="1:19">
      <c r="A548" s="340"/>
      <c r="B548" s="366"/>
      <c r="C548" s="366"/>
      <c r="D548" s="273"/>
      <c r="E548" s="366"/>
      <c r="F548" s="366"/>
      <c r="G548" s="366"/>
      <c r="H548" s="512" t="s">
        <v>250</v>
      </c>
      <c r="I548" s="1276" t="s">
        <v>59</v>
      </c>
      <c r="J548" s="1276"/>
      <c r="K548" s="1103">
        <v>176.5</v>
      </c>
      <c r="L548" s="302" t="s">
        <v>177</v>
      </c>
      <c r="M548" s="44" t="s">
        <v>237</v>
      </c>
      <c r="N548" s="1275"/>
      <c r="O548" s="1275"/>
      <c r="P548" s="1275"/>
      <c r="Q548" s="1275"/>
      <c r="R548" s="1275"/>
      <c r="S548" s="1275"/>
    </row>
    <row r="549" spans="1:19">
      <c r="A549" s="340"/>
      <c r="B549" s="199"/>
      <c r="C549" s="199"/>
      <c r="D549" s="273"/>
      <c r="E549" s="199"/>
      <c r="F549" s="366"/>
      <c r="G549" s="366"/>
      <c r="H549" s="512" t="s">
        <v>250</v>
      </c>
      <c r="I549" s="1264" t="s">
        <v>68</v>
      </c>
      <c r="J549" s="1265"/>
      <c r="K549" s="1099">
        <v>55.66</v>
      </c>
      <c r="L549" s="282">
        <v>43910</v>
      </c>
      <c r="M549" s="44" t="s">
        <v>237</v>
      </c>
      <c r="N549" s="1275"/>
      <c r="O549" s="1275"/>
      <c r="P549" s="1275"/>
      <c r="Q549" s="1275"/>
      <c r="R549" s="1275"/>
      <c r="S549" s="1275"/>
    </row>
    <row r="550" spans="1:19">
      <c r="A550" s="340"/>
      <c r="B550" s="199"/>
      <c r="C550" s="366"/>
      <c r="D550" s="273"/>
      <c r="E550" s="199"/>
      <c r="F550" s="366"/>
      <c r="G550" s="366"/>
      <c r="H550" s="512" t="s">
        <v>250</v>
      </c>
      <c r="I550" s="1143" t="s">
        <v>174</v>
      </c>
      <c r="J550" s="1144"/>
      <c r="K550" s="1099">
        <v>257.08999999999997</v>
      </c>
      <c r="L550" s="282">
        <v>43905</v>
      </c>
      <c r="M550" s="44" t="s">
        <v>237</v>
      </c>
      <c r="N550" s="1275"/>
      <c r="O550" s="1275"/>
      <c r="P550" s="1275"/>
      <c r="Q550" s="1275"/>
      <c r="R550" s="1275"/>
      <c r="S550" s="1275"/>
    </row>
    <row r="551" spans="1:19">
      <c r="A551" s="340"/>
      <c r="B551" s="199"/>
      <c r="C551" s="366"/>
      <c r="D551" s="273"/>
      <c r="E551" s="199"/>
      <c r="F551" s="366"/>
      <c r="G551" s="366"/>
      <c r="H551" s="512" t="s">
        <v>250</v>
      </c>
      <c r="I551" s="1092" t="s">
        <v>176</v>
      </c>
      <c r="J551" s="1093"/>
      <c r="K551" s="1099">
        <v>147.06</v>
      </c>
      <c r="L551" s="282">
        <v>43910</v>
      </c>
      <c r="M551" s="44" t="s">
        <v>237</v>
      </c>
      <c r="N551" s="1275"/>
      <c r="O551" s="1275"/>
      <c r="P551" s="1275"/>
      <c r="Q551" s="1275"/>
      <c r="R551" s="1275"/>
      <c r="S551" s="1275"/>
    </row>
    <row r="552" spans="1:19">
      <c r="A552" s="340"/>
      <c r="B552" s="199"/>
      <c r="C552" s="366"/>
      <c r="D552" s="273"/>
      <c r="E552" s="232"/>
      <c r="F552" s="366"/>
      <c r="G552" s="366"/>
      <c r="H552" s="512" t="s">
        <v>250</v>
      </c>
      <c r="I552" s="1143" t="s">
        <v>81</v>
      </c>
      <c r="J552" s="1144"/>
      <c r="K552" s="1089">
        <v>616.88</v>
      </c>
      <c r="L552" s="282">
        <v>43900</v>
      </c>
      <c r="M552" s="44" t="s">
        <v>237</v>
      </c>
      <c r="N552" s="1275"/>
      <c r="O552" s="1275"/>
      <c r="P552" s="1275"/>
      <c r="Q552" s="1275"/>
      <c r="R552" s="1275"/>
      <c r="S552" s="1275"/>
    </row>
    <row r="553" spans="1:19">
      <c r="A553" s="340"/>
      <c r="B553" s="199"/>
      <c r="C553" s="366"/>
      <c r="D553" s="273"/>
      <c r="E553" s="232"/>
      <c r="F553" s="366"/>
      <c r="G553" s="366"/>
      <c r="H553" s="512" t="s">
        <v>250</v>
      </c>
      <c r="I553" s="1143" t="s">
        <v>53</v>
      </c>
      <c r="J553" s="1144"/>
      <c r="K553" s="454">
        <v>10</v>
      </c>
      <c r="L553" s="282">
        <v>43905</v>
      </c>
      <c r="M553" s="44" t="s">
        <v>237</v>
      </c>
      <c r="N553" s="1275"/>
      <c r="O553" s="1275"/>
      <c r="P553" s="1275"/>
      <c r="Q553" s="1275"/>
      <c r="R553" s="1275"/>
      <c r="S553" s="1275"/>
    </row>
    <row r="554" spans="1:19">
      <c r="A554" s="340"/>
      <c r="B554" s="199"/>
      <c r="C554" s="366"/>
      <c r="D554" s="273"/>
      <c r="E554" s="232"/>
      <c r="F554" s="366"/>
      <c r="G554" s="366"/>
      <c r="H554" s="512" t="s">
        <v>250</v>
      </c>
      <c r="I554" s="1277" t="s">
        <v>61</v>
      </c>
      <c r="J554" s="1277"/>
      <c r="K554" s="544">
        <f>I517</f>
        <v>500.24</v>
      </c>
      <c r="L554" s="282">
        <v>43910</v>
      </c>
      <c r="M554" s="44" t="s">
        <v>237</v>
      </c>
      <c r="N554" s="1275"/>
      <c r="O554" s="1275"/>
      <c r="P554" s="1275"/>
      <c r="Q554" s="1275"/>
      <c r="R554" s="1275"/>
      <c r="S554" s="1275"/>
    </row>
    <row r="555" spans="1:19">
      <c r="A555" s="340"/>
      <c r="B555" s="199"/>
      <c r="C555" s="366"/>
      <c r="D555" s="273"/>
      <c r="E555" s="232"/>
      <c r="F555" s="366"/>
      <c r="G555" s="366"/>
      <c r="H555" s="454" t="s">
        <v>250</v>
      </c>
      <c r="I555" s="1145" t="s">
        <v>276</v>
      </c>
      <c r="J555" s="1145"/>
      <c r="K555" s="544">
        <v>100</v>
      </c>
      <c r="L555" s="282">
        <v>43920</v>
      </c>
      <c r="M555" s="44" t="s">
        <v>237</v>
      </c>
      <c r="N555" s="1275"/>
      <c r="O555" s="1275"/>
      <c r="P555" s="1275"/>
      <c r="Q555" s="1275"/>
      <c r="R555" s="1275"/>
      <c r="S555" s="1275"/>
    </row>
    <row r="556" spans="1:19" ht="15.75" thickBot="1">
      <c r="A556" s="341"/>
      <c r="B556" s="330"/>
      <c r="C556" s="331"/>
      <c r="D556" s="342"/>
      <c r="E556" s="330"/>
      <c r="F556" s="331"/>
      <c r="G556" s="331"/>
      <c r="H556" s="346"/>
      <c r="I556" s="361" t="s">
        <v>179</v>
      </c>
      <c r="J556" s="361">
        <f>SUM(K544:K554)</f>
        <v>2007.28</v>
      </c>
      <c r="K556" s="1146" t="s">
        <v>180</v>
      </c>
      <c r="L556" s="1146"/>
      <c r="M556" s="514">
        <v>0</v>
      </c>
      <c r="N556" s="1275"/>
      <c r="O556" s="1275"/>
      <c r="P556" s="1275"/>
      <c r="Q556" s="1275"/>
      <c r="R556" s="1275"/>
      <c r="S556" s="1275"/>
    </row>
    <row r="557" spans="1:19" ht="15.75" thickTop="1"/>
  </sheetData>
  <mergeCells count="305">
    <mergeCell ref="I554:J554"/>
    <mergeCell ref="I555:J555"/>
    <mergeCell ref="K556:L556"/>
    <mergeCell ref="N462:S556"/>
    <mergeCell ref="I544:J544"/>
    <mergeCell ref="I545:J545"/>
    <mergeCell ref="I546:J546"/>
    <mergeCell ref="I547:J547"/>
    <mergeCell ref="I548:J548"/>
    <mergeCell ref="I549:J549"/>
    <mergeCell ref="I550:J550"/>
    <mergeCell ref="I552:J552"/>
    <mergeCell ref="I553:J553"/>
    <mergeCell ref="I505:J505"/>
    <mergeCell ref="I506:J506"/>
    <mergeCell ref="I507:J507"/>
    <mergeCell ref="I508:J508"/>
    <mergeCell ref="I509:J509"/>
    <mergeCell ref="I510:J510"/>
    <mergeCell ref="K511:L511"/>
    <mergeCell ref="H512:K512"/>
    <mergeCell ref="A513:M514"/>
    <mergeCell ref="H495:H496"/>
    <mergeCell ref="I495:K496"/>
    <mergeCell ref="A515:G515"/>
    <mergeCell ref="H515:M515"/>
    <mergeCell ref="A533:B533"/>
    <mergeCell ref="H534:H535"/>
    <mergeCell ref="I534:I535"/>
    <mergeCell ref="J534:K534"/>
    <mergeCell ref="L534:L535"/>
    <mergeCell ref="M534:M535"/>
    <mergeCell ref="H542:H543"/>
    <mergeCell ref="I542:K543"/>
    <mergeCell ref="L542:M543"/>
    <mergeCell ref="L495:M496"/>
    <mergeCell ref="I497:J497"/>
    <mergeCell ref="I498:J498"/>
    <mergeCell ref="I499:J499"/>
    <mergeCell ref="I500:J500"/>
    <mergeCell ref="I501:J501"/>
    <mergeCell ref="I502:J502"/>
    <mergeCell ref="A462:M463"/>
    <mergeCell ref="A464:G464"/>
    <mergeCell ref="H464:M464"/>
    <mergeCell ref="H465:I465"/>
    <mergeCell ref="H466:I466"/>
    <mergeCell ref="H467:I467"/>
    <mergeCell ref="A482:B482"/>
    <mergeCell ref="H483:H484"/>
    <mergeCell ref="I483:I484"/>
    <mergeCell ref="J483:K483"/>
    <mergeCell ref="L483:L484"/>
    <mergeCell ref="M483:M484"/>
    <mergeCell ref="K461:L461"/>
    <mergeCell ref="N372:S461"/>
    <mergeCell ref="I451:J451"/>
    <mergeCell ref="I452:J452"/>
    <mergeCell ref="I453:J453"/>
    <mergeCell ref="I454:J454"/>
    <mergeCell ref="I455:J455"/>
    <mergeCell ref="I456:J456"/>
    <mergeCell ref="I458:J458"/>
    <mergeCell ref="I459:J459"/>
    <mergeCell ref="I460:J460"/>
    <mergeCell ref="I414:J414"/>
    <mergeCell ref="I415:J415"/>
    <mergeCell ref="I416:J416"/>
    <mergeCell ref="K417:L417"/>
    <mergeCell ref="H418:K418"/>
    <mergeCell ref="A419:M420"/>
    <mergeCell ref="A421:G421"/>
    <mergeCell ref="H421:M421"/>
    <mergeCell ref="A439:B439"/>
    <mergeCell ref="H404:H405"/>
    <mergeCell ref="I404:K405"/>
    <mergeCell ref="L404:M405"/>
    <mergeCell ref="I406:J406"/>
    <mergeCell ref="H440:H441"/>
    <mergeCell ref="I440:I441"/>
    <mergeCell ref="J440:K440"/>
    <mergeCell ref="L440:L441"/>
    <mergeCell ref="M440:M441"/>
    <mergeCell ref="H448:H449"/>
    <mergeCell ref="I448:K449"/>
    <mergeCell ref="L448:M449"/>
    <mergeCell ref="I450:J450"/>
    <mergeCell ref="I407:J407"/>
    <mergeCell ref="I408:J408"/>
    <mergeCell ref="I409:J409"/>
    <mergeCell ref="I410:J410"/>
    <mergeCell ref="I411:J411"/>
    <mergeCell ref="A372:M373"/>
    <mergeCell ref="A374:G374"/>
    <mergeCell ref="H374:M374"/>
    <mergeCell ref="H375:I375"/>
    <mergeCell ref="H376:I376"/>
    <mergeCell ref="H377:I377"/>
    <mergeCell ref="A392:B392"/>
    <mergeCell ref="H393:H394"/>
    <mergeCell ref="I393:I394"/>
    <mergeCell ref="J393:K393"/>
    <mergeCell ref="L393:L394"/>
    <mergeCell ref="M393:M394"/>
    <mergeCell ref="I368:J368"/>
    <mergeCell ref="I369:J369"/>
    <mergeCell ref="I370:J370"/>
    <mergeCell ref="K371:L371"/>
    <mergeCell ref="O299:Q314"/>
    <mergeCell ref="H358:H359"/>
    <mergeCell ref="I358:K359"/>
    <mergeCell ref="L358:M359"/>
    <mergeCell ref="I360:J360"/>
    <mergeCell ref="I361:J361"/>
    <mergeCell ref="I362:J362"/>
    <mergeCell ref="I363:J363"/>
    <mergeCell ref="I364:J364"/>
    <mergeCell ref="I365:J365"/>
    <mergeCell ref="I324:J324"/>
    <mergeCell ref="I325:J325"/>
    <mergeCell ref="I326:J326"/>
    <mergeCell ref="K327:L327"/>
    <mergeCell ref="H328:K328"/>
    <mergeCell ref="B329:K330"/>
    <mergeCell ref="A331:G331"/>
    <mergeCell ref="H331:M331"/>
    <mergeCell ref="H350:H351"/>
    <mergeCell ref="I350:I351"/>
    <mergeCell ref="J350:K350"/>
    <mergeCell ref="L350:L351"/>
    <mergeCell ref="M350:M351"/>
    <mergeCell ref="H314:H315"/>
    <mergeCell ref="I314:K315"/>
    <mergeCell ref="L314:M315"/>
    <mergeCell ref="I316:J316"/>
    <mergeCell ref="I317:J317"/>
    <mergeCell ref="I318:J318"/>
    <mergeCell ref="I319:J319"/>
    <mergeCell ref="I320:J320"/>
    <mergeCell ref="I321:J321"/>
    <mergeCell ref="A285:G285"/>
    <mergeCell ref="H285:M285"/>
    <mergeCell ref="H286:I286"/>
    <mergeCell ref="H287:I287"/>
    <mergeCell ref="H288:I288"/>
    <mergeCell ref="H304:H305"/>
    <mergeCell ref="I304:I305"/>
    <mergeCell ref="J304:K304"/>
    <mergeCell ref="L304:L305"/>
    <mergeCell ref="M304:M305"/>
    <mergeCell ref="I186:J186"/>
    <mergeCell ref="I187:J187"/>
    <mergeCell ref="K188:L188"/>
    <mergeCell ref="P163:R165"/>
    <mergeCell ref="O178:P178"/>
    <mergeCell ref="O179:P179"/>
    <mergeCell ref="O180:P180"/>
    <mergeCell ref="O181:P181"/>
    <mergeCell ref="O182:P182"/>
    <mergeCell ref="O183:P183"/>
    <mergeCell ref="O186:P186"/>
    <mergeCell ref="I179:J179"/>
    <mergeCell ref="I180:J180"/>
    <mergeCell ref="I181:J181"/>
    <mergeCell ref="I182:J182"/>
    <mergeCell ref="I185:J185"/>
    <mergeCell ref="H175:H176"/>
    <mergeCell ref="I175:K176"/>
    <mergeCell ref="L175:M176"/>
    <mergeCell ref="I177:J177"/>
    <mergeCell ref="I178:J178"/>
    <mergeCell ref="A148:G148"/>
    <mergeCell ref="I148:M148"/>
    <mergeCell ref="H167:H168"/>
    <mergeCell ref="I167:I168"/>
    <mergeCell ref="J167:K167"/>
    <mergeCell ref="L167:L168"/>
    <mergeCell ref="M167:M168"/>
    <mergeCell ref="N1:O1"/>
    <mergeCell ref="I18:J18"/>
    <mergeCell ref="I19:J19"/>
    <mergeCell ref="I20:J20"/>
    <mergeCell ref="I21:J21"/>
    <mergeCell ref="I1:M1"/>
    <mergeCell ref="I7:I8"/>
    <mergeCell ref="M7:M8"/>
    <mergeCell ref="J7:K7"/>
    <mergeCell ref="L7:L8"/>
    <mergeCell ref="I28:J28"/>
    <mergeCell ref="I27:J27"/>
    <mergeCell ref="A1:G1"/>
    <mergeCell ref="A7:A8"/>
    <mergeCell ref="I23:J23"/>
    <mergeCell ref="I24:J24"/>
    <mergeCell ref="I25:J25"/>
    <mergeCell ref="I26:J26"/>
    <mergeCell ref="I22:J22"/>
    <mergeCell ref="H7:H8"/>
    <mergeCell ref="M43:M44"/>
    <mergeCell ref="N46:O46"/>
    <mergeCell ref="H50:I50"/>
    <mergeCell ref="N35:O35"/>
    <mergeCell ref="A37:G37"/>
    <mergeCell ref="I37:M37"/>
    <mergeCell ref="N37:O37"/>
    <mergeCell ref="I54:J54"/>
    <mergeCell ref="H43:H44"/>
    <mergeCell ref="I43:I44"/>
    <mergeCell ref="J43:K43"/>
    <mergeCell ref="L43:L44"/>
    <mergeCell ref="A67:G67"/>
    <mergeCell ref="I67:M67"/>
    <mergeCell ref="N67:O67"/>
    <mergeCell ref="H73:H74"/>
    <mergeCell ref="I73:I74"/>
    <mergeCell ref="J73:K73"/>
    <mergeCell ref="L73:L74"/>
    <mergeCell ref="M73:M74"/>
    <mergeCell ref="I60:J60"/>
    <mergeCell ref="I61:J61"/>
    <mergeCell ref="I62:J62"/>
    <mergeCell ref="I63:J63"/>
    <mergeCell ref="I137:J137"/>
    <mergeCell ref="I34:K35"/>
    <mergeCell ref="H126:I126"/>
    <mergeCell ref="I130:J130"/>
    <mergeCell ref="I131:J131"/>
    <mergeCell ref="I132:J132"/>
    <mergeCell ref="I133:J133"/>
    <mergeCell ref="I98:J98"/>
    <mergeCell ref="I99:J99"/>
    <mergeCell ref="I93:J93"/>
    <mergeCell ref="I94:J94"/>
    <mergeCell ref="I95:J95"/>
    <mergeCell ref="I96:J96"/>
    <mergeCell ref="I97:J97"/>
    <mergeCell ref="H80:I80"/>
    <mergeCell ref="I89:J89"/>
    <mergeCell ref="I64:J64"/>
    <mergeCell ref="I55:J55"/>
    <mergeCell ref="I56:J56"/>
    <mergeCell ref="I57:J57"/>
    <mergeCell ref="I58:J58"/>
    <mergeCell ref="I59:J59"/>
    <mergeCell ref="O75:Q76"/>
    <mergeCell ref="O119:Q120"/>
    <mergeCell ref="I134:J134"/>
    <mergeCell ref="I135:J135"/>
    <mergeCell ref="I136:J136"/>
    <mergeCell ref="I90:J90"/>
    <mergeCell ref="I91:J91"/>
    <mergeCell ref="I92:J92"/>
    <mergeCell ref="A113:G113"/>
    <mergeCell ref="I113:M113"/>
    <mergeCell ref="H119:H120"/>
    <mergeCell ref="I119:I120"/>
    <mergeCell ref="J119:K119"/>
    <mergeCell ref="L119:L120"/>
    <mergeCell ref="M119:M120"/>
    <mergeCell ref="A199:G199"/>
    <mergeCell ref="H199:M199"/>
    <mergeCell ref="H200:I200"/>
    <mergeCell ref="H201:I201"/>
    <mergeCell ref="H202:I202"/>
    <mergeCell ref="H218:H219"/>
    <mergeCell ref="I218:I219"/>
    <mergeCell ref="J218:K218"/>
    <mergeCell ref="L218:L219"/>
    <mergeCell ref="M218:M219"/>
    <mergeCell ref="J262:K262"/>
    <mergeCell ref="L262:L263"/>
    <mergeCell ref="M262:M263"/>
    <mergeCell ref="H226:H227"/>
    <mergeCell ref="I226:K227"/>
    <mergeCell ref="L226:M227"/>
    <mergeCell ref="I228:J228"/>
    <mergeCell ref="I229:J229"/>
    <mergeCell ref="I230:J230"/>
    <mergeCell ref="I231:J231"/>
    <mergeCell ref="I232:J232"/>
    <mergeCell ref="I233:J233"/>
    <mergeCell ref="I280:J280"/>
    <mergeCell ref="I281:J281"/>
    <mergeCell ref="I282:J282"/>
    <mergeCell ref="K283:L283"/>
    <mergeCell ref="O225:Q227"/>
    <mergeCell ref="H270:H271"/>
    <mergeCell ref="I270:K271"/>
    <mergeCell ref="L270:M271"/>
    <mergeCell ref="I272:J272"/>
    <mergeCell ref="I273:J273"/>
    <mergeCell ref="I274:J274"/>
    <mergeCell ref="I275:J275"/>
    <mergeCell ref="I276:J276"/>
    <mergeCell ref="I277:J277"/>
    <mergeCell ref="I236:J236"/>
    <mergeCell ref="I237:J237"/>
    <mergeCell ref="I238:J238"/>
    <mergeCell ref="K239:L239"/>
    <mergeCell ref="H240:K240"/>
    <mergeCell ref="B241:K242"/>
    <mergeCell ref="A243:G243"/>
    <mergeCell ref="H243:M243"/>
    <mergeCell ref="H262:H263"/>
    <mergeCell ref="I262:I263"/>
  </mergeCells>
  <pageMargins left="0.7" right="0.7" top="0.75" bottom="0.75" header="0.3" footer="0.3"/>
  <pageSetup paperSize="9" fitToHeight="0" orientation="landscape" r:id="rId1"/>
  <colBreaks count="1" manualBreakCount="1">
    <brk id="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28"/>
  <sheetViews>
    <sheetView topLeftCell="A52" zoomScale="85" zoomScaleNormal="85" zoomScaleSheetLayoutView="70" zoomScalePageLayoutView="70" workbookViewId="0">
      <selection activeCell="B61" sqref="B61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4.710937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0.5703125" style="1" customWidth="1"/>
    <col min="16" max="16" width="18.85546875" style="35" customWidth="1"/>
    <col min="17" max="17" width="11.14062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282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V1" s="616" t="s">
        <v>60</v>
      </c>
      <c r="W1" s="628">
        <v>563.20000000000005</v>
      </c>
      <c r="X1" s="615" t="s">
        <v>288</v>
      </c>
      <c r="Y1" s="35" t="s">
        <v>289</v>
      </c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631" t="s">
        <v>300</v>
      </c>
      <c r="O2" s="1279" t="s">
        <v>271</v>
      </c>
      <c r="P2" s="1279"/>
      <c r="Q2" s="1279"/>
      <c r="R2" s="366"/>
      <c r="S2" s="1279" t="s">
        <v>272</v>
      </c>
      <c r="T2" s="1279"/>
      <c r="U2" s="1279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28</v>
      </c>
      <c r="B3" s="1166"/>
      <c r="C3" s="1166"/>
      <c r="D3" s="1166"/>
      <c r="E3" s="1166"/>
      <c r="F3" s="1166"/>
      <c r="G3" s="1167"/>
      <c r="H3" s="1267" t="s">
        <v>294</v>
      </c>
      <c r="I3" s="1268"/>
      <c r="J3" s="1268"/>
      <c r="K3" s="1268"/>
      <c r="L3" s="1268"/>
      <c r="M3" s="1269"/>
      <c r="N3" s="631" t="s">
        <v>271</v>
      </c>
      <c r="O3" s="617" t="s">
        <v>2</v>
      </c>
      <c r="P3" s="617" t="s">
        <v>34</v>
      </c>
      <c r="Q3" s="617" t="s">
        <v>35</v>
      </c>
      <c r="R3" s="366"/>
      <c r="S3" s="617" t="s">
        <v>2</v>
      </c>
      <c r="T3" s="617" t="s">
        <v>34</v>
      </c>
      <c r="U3" s="617" t="s">
        <v>35</v>
      </c>
      <c r="V3" s="614"/>
      <c r="W3" s="614" t="s">
        <v>290</v>
      </c>
      <c r="X3" s="366"/>
      <c r="Y3" s="554"/>
      <c r="Z3" s="629">
        <f>563.2-U14</f>
        <v>-2231.3500000000004</v>
      </c>
      <c r="AA3" s="366"/>
      <c r="AB3" s="366"/>
      <c r="AC3" s="366"/>
      <c r="AD3" s="554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547" t="s">
        <v>34</v>
      </c>
      <c r="C4" s="36" t="s">
        <v>35</v>
      </c>
      <c r="D4" s="36" t="s">
        <v>38</v>
      </c>
      <c r="E4" s="36" t="s">
        <v>42</v>
      </c>
      <c r="F4" s="547" t="s">
        <v>36</v>
      </c>
      <c r="G4" s="100" t="s">
        <v>173</v>
      </c>
      <c r="H4" s="1185"/>
      <c r="I4" s="1186"/>
      <c r="J4" s="550" t="s">
        <v>35</v>
      </c>
      <c r="K4" s="550" t="s">
        <v>38</v>
      </c>
      <c r="L4" s="550" t="s">
        <v>42</v>
      </c>
      <c r="M4" s="100" t="s">
        <v>44</v>
      </c>
      <c r="N4" s="635" t="s">
        <v>299</v>
      </c>
      <c r="O4" s="623">
        <v>43924</v>
      </c>
      <c r="P4" s="617" t="s">
        <v>270</v>
      </c>
      <c r="Q4" s="624">
        <f>18*18</f>
        <v>324</v>
      </c>
      <c r="R4" s="448"/>
      <c r="S4" s="626">
        <v>43924</v>
      </c>
      <c r="T4" s="624" t="s">
        <v>64</v>
      </c>
      <c r="U4" s="624">
        <v>45</v>
      </c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>
      <c r="A5" s="325">
        <v>43930</v>
      </c>
      <c r="B5" s="161" t="s">
        <v>292</v>
      </c>
      <c r="C5" s="275">
        <v>9.6</v>
      </c>
      <c r="D5" s="275">
        <v>9.6</v>
      </c>
      <c r="E5" s="542" t="str">
        <f>IF(C5-D5=0,"",C5-D5)</f>
        <v/>
      </c>
      <c r="F5" s="162" t="str">
        <f>IF(C5=0,"",IF(C5-D5=0,"оплачено","ОЖИДАЕТСЯ оплата"))</f>
        <v>оплачено</v>
      </c>
      <c r="G5" s="162"/>
      <c r="H5" s="1187" t="s">
        <v>39</v>
      </c>
      <c r="I5" s="1188"/>
      <c r="J5" s="513">
        <v>1788.81</v>
      </c>
      <c r="K5" s="543">
        <f>500+500+788.81</f>
        <v>1788.81</v>
      </c>
      <c r="L5" s="160">
        <f>J5-K5</f>
        <v>0</v>
      </c>
      <c r="M5" s="101">
        <v>43924</v>
      </c>
      <c r="N5" s="636">
        <v>273.13</v>
      </c>
      <c r="O5" s="625">
        <v>43924</v>
      </c>
      <c r="P5" s="624" t="s">
        <v>64</v>
      </c>
      <c r="Q5" s="624">
        <v>211</v>
      </c>
      <c r="R5" s="366"/>
      <c r="S5" s="623">
        <v>43924</v>
      </c>
      <c r="T5" s="640" t="s">
        <v>270</v>
      </c>
      <c r="U5" s="624">
        <v>40</v>
      </c>
      <c r="V5" s="366"/>
      <c r="W5" s="199"/>
      <c r="X5" s="366"/>
      <c r="Y5" s="294"/>
      <c r="Z5" s="366"/>
      <c r="AA5" s="199"/>
      <c r="AB5" s="366"/>
      <c r="AC5" s="366"/>
      <c r="AD5" s="294"/>
      <c r="AE5" s="366"/>
      <c r="AF5" s="199"/>
      <c r="AG5" s="366"/>
      <c r="AH5" s="366"/>
      <c r="AI5" s="366"/>
    </row>
    <row r="6" spans="1:35" s="86" customFormat="1" ht="16.5" customHeight="1">
      <c r="A6" s="325">
        <v>43924</v>
      </c>
      <c r="B6" s="161" t="s">
        <v>205</v>
      </c>
      <c r="C6" s="275">
        <v>284.16000000000003</v>
      </c>
      <c r="D6" s="275">
        <v>284.16000000000003</v>
      </c>
      <c r="E6" s="542" t="str">
        <f t="shared" ref="E6:E20" si="0">IF(C6-D6=0,"",C6-D6)</f>
        <v/>
      </c>
      <c r="F6" s="162" t="str">
        <f t="shared" ref="F6:F20" si="1">IF(C6=0,"",IF(C6-D6=0,"оплачено","ОЖИДАЕТСЯ оплата"))</f>
        <v>оплачено</v>
      </c>
      <c r="G6" s="162"/>
      <c r="H6" s="1270" t="s">
        <v>40</v>
      </c>
      <c r="I6" s="1271"/>
      <c r="J6" s="481">
        <v>1117.0999999999999</v>
      </c>
      <c r="K6" s="559">
        <f>200+350+100+290+177.1</f>
        <v>1117.0999999999999</v>
      </c>
      <c r="L6" s="480">
        <f>J6-K6</f>
        <v>0</v>
      </c>
      <c r="M6" s="101">
        <v>43924</v>
      </c>
      <c r="N6" s="636" t="s">
        <v>250</v>
      </c>
      <c r="O6" s="625">
        <v>43924</v>
      </c>
      <c r="P6" s="640" t="s">
        <v>286</v>
      </c>
      <c r="Q6" s="624">
        <v>150</v>
      </c>
      <c r="R6" s="366"/>
      <c r="S6" s="623">
        <v>43924</v>
      </c>
      <c r="T6" s="640" t="s">
        <v>286</v>
      </c>
      <c r="U6" s="624">
        <v>20</v>
      </c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366"/>
      <c r="AG6" s="366"/>
      <c r="AH6" s="366"/>
      <c r="AI6" s="366"/>
    </row>
    <row r="7" spans="1:35" s="86" customFormat="1">
      <c r="A7" s="325">
        <v>43942</v>
      </c>
      <c r="B7" s="161" t="s">
        <v>205</v>
      </c>
      <c r="C7" s="275">
        <v>277.64999999999998</v>
      </c>
      <c r="D7" s="275">
        <v>277.64999999999998</v>
      </c>
      <c r="E7" s="542" t="str">
        <f t="shared" si="0"/>
        <v/>
      </c>
      <c r="F7" s="162" t="str">
        <f t="shared" si="1"/>
        <v>оплачено</v>
      </c>
      <c r="G7" s="162"/>
      <c r="H7" s="340"/>
      <c r="I7" s="366"/>
      <c r="J7" s="498">
        <f>SUM(J5:J6)</f>
        <v>2905.91</v>
      </c>
      <c r="K7" s="366"/>
      <c r="L7" s="84"/>
      <c r="M7" s="314"/>
      <c r="N7" s="366"/>
      <c r="O7" s="625">
        <v>43924</v>
      </c>
      <c r="P7" s="640" t="s">
        <v>287</v>
      </c>
      <c r="Q7" s="624">
        <v>190</v>
      </c>
      <c r="R7" s="366"/>
      <c r="S7" s="623">
        <v>43924</v>
      </c>
      <c r="T7" s="640" t="s">
        <v>287</v>
      </c>
      <c r="U7" s="624">
        <v>45</v>
      </c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43942</v>
      </c>
      <c r="B8" s="161" t="s">
        <v>254</v>
      </c>
      <c r="C8" s="275">
        <v>140.69999999999999</v>
      </c>
      <c r="D8" s="275">
        <v>140.69999999999999</v>
      </c>
      <c r="E8" s="542" t="str">
        <f t="shared" si="0"/>
        <v/>
      </c>
      <c r="F8" s="162" t="str">
        <f t="shared" si="1"/>
        <v>оплачено</v>
      </c>
      <c r="G8" s="162"/>
      <c r="H8" s="340"/>
      <c r="I8" s="366"/>
      <c r="J8" s="366"/>
      <c r="K8" s="366"/>
      <c r="L8" s="366"/>
      <c r="M8" s="314"/>
      <c r="N8" s="366"/>
      <c r="O8" s="625">
        <v>43936</v>
      </c>
      <c r="P8" s="640" t="s">
        <v>64</v>
      </c>
      <c r="Q8" s="624">
        <v>527.5</v>
      </c>
      <c r="R8" s="366"/>
      <c r="S8" s="625">
        <v>43936</v>
      </c>
      <c r="T8" s="640" t="s">
        <v>64</v>
      </c>
      <c r="U8" s="624">
        <v>293.75</v>
      </c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1204"/>
      <c r="AG8" s="1204"/>
      <c r="AH8" s="366"/>
      <c r="AI8" s="366"/>
    </row>
    <row r="9" spans="1:35" s="86" customFormat="1">
      <c r="A9" s="325">
        <v>43950</v>
      </c>
      <c r="B9" s="161" t="s">
        <v>221</v>
      </c>
      <c r="C9" s="275">
        <v>238.99</v>
      </c>
      <c r="D9" s="275">
        <v>238.99</v>
      </c>
      <c r="E9" s="542" t="str">
        <f t="shared" si="0"/>
        <v/>
      </c>
      <c r="F9" s="162" t="str">
        <f t="shared" si="1"/>
        <v>оплачено</v>
      </c>
      <c r="G9" s="162"/>
      <c r="H9" s="340"/>
      <c r="I9" s="366"/>
      <c r="J9" s="366"/>
      <c r="K9" s="366"/>
      <c r="L9" s="366"/>
      <c r="M9" s="314"/>
      <c r="N9" s="366"/>
      <c r="O9" s="623">
        <v>43942</v>
      </c>
      <c r="P9" s="640" t="s">
        <v>187</v>
      </c>
      <c r="Q9" s="644">
        <v>237</v>
      </c>
      <c r="R9" s="366"/>
      <c r="S9" s="623">
        <v>43942</v>
      </c>
      <c r="T9" s="640" t="s">
        <v>187</v>
      </c>
      <c r="U9" s="624">
        <v>143</v>
      </c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s="86" customFormat="1" ht="15" customHeight="1">
      <c r="A10" s="325"/>
      <c r="B10" s="161"/>
      <c r="C10" s="275"/>
      <c r="D10" s="275"/>
      <c r="E10" s="542" t="str">
        <f t="shared" si="0"/>
        <v/>
      </c>
      <c r="F10" s="162" t="str">
        <f t="shared" si="1"/>
        <v/>
      </c>
      <c r="G10" s="162"/>
      <c r="H10" s="340"/>
      <c r="I10" s="366"/>
      <c r="J10" s="366"/>
      <c r="K10" s="366"/>
      <c r="L10" s="366"/>
      <c r="M10" s="314"/>
      <c r="N10" s="562"/>
      <c r="O10" s="623">
        <v>43942</v>
      </c>
      <c r="P10" s="640" t="s">
        <v>270</v>
      </c>
      <c r="Q10" s="624">
        <v>400</v>
      </c>
      <c r="R10" s="366"/>
      <c r="S10" s="623">
        <v>43942</v>
      </c>
      <c r="T10" s="640" t="s">
        <v>270</v>
      </c>
      <c r="U10" s="624">
        <v>400</v>
      </c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8.75" customHeight="1">
      <c r="A11" s="325"/>
      <c r="B11" s="161"/>
      <c r="C11" s="275"/>
      <c r="D11" s="275"/>
      <c r="E11" s="542" t="str">
        <f t="shared" si="0"/>
        <v/>
      </c>
      <c r="F11" s="162" t="str">
        <f t="shared" si="1"/>
        <v/>
      </c>
      <c r="G11" s="162"/>
      <c r="H11" s="43"/>
      <c r="I11" s="1"/>
      <c r="J11" s="366"/>
      <c r="K11" s="1"/>
      <c r="L11" s="1"/>
      <c r="M11" s="44"/>
      <c r="N11" s="562"/>
      <c r="O11" s="625">
        <v>43946</v>
      </c>
      <c r="P11" s="640" t="s">
        <v>64</v>
      </c>
      <c r="Q11" s="624">
        <v>480</v>
      </c>
      <c r="R11" s="366"/>
      <c r="S11" s="623">
        <v>43946</v>
      </c>
      <c r="T11" s="640" t="s">
        <v>64</v>
      </c>
      <c r="U11" s="624">
        <v>513</v>
      </c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5.75" customHeight="1">
      <c r="A12" s="325"/>
      <c r="B12" s="161"/>
      <c r="C12" s="275"/>
      <c r="D12" s="275"/>
      <c r="E12" s="542" t="str">
        <f t="shared" si="0"/>
        <v/>
      </c>
      <c r="F12" s="162" t="str">
        <f t="shared" si="1"/>
        <v/>
      </c>
      <c r="G12" s="162"/>
      <c r="H12" s="43"/>
      <c r="I12" s="1"/>
      <c r="J12" s="366"/>
      <c r="K12" s="1"/>
      <c r="L12" s="1"/>
      <c r="M12" s="44"/>
      <c r="N12" s="562"/>
      <c r="O12" s="625">
        <v>43944</v>
      </c>
      <c r="P12" s="640" t="s">
        <v>302</v>
      </c>
      <c r="Q12" s="624">
        <v>1385</v>
      </c>
      <c r="R12" s="366"/>
      <c r="S12" s="625">
        <v>43944</v>
      </c>
      <c r="T12" s="640" t="s">
        <v>302</v>
      </c>
      <c r="U12" s="624">
        <v>1098</v>
      </c>
      <c r="V12" s="366"/>
      <c r="W12" s="366"/>
      <c r="X12" s="366"/>
      <c r="Y12" s="294"/>
      <c r="Z12" s="366"/>
      <c r="AA12" s="366"/>
      <c r="AB12" s="366"/>
      <c r="AC12" s="366"/>
      <c r="AD12" s="294"/>
      <c r="AE12" s="366"/>
      <c r="AF12" s="366"/>
      <c r="AG12" s="366"/>
      <c r="AH12" s="366"/>
      <c r="AI12" s="366"/>
    </row>
    <row r="13" spans="1:35" ht="14.25" customHeight="1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2"/>
      <c r="H13" s="43"/>
      <c r="I13" s="1"/>
      <c r="J13" s="366"/>
      <c r="K13" s="1"/>
      <c r="L13" s="1"/>
      <c r="M13" s="44"/>
      <c r="N13" s="562"/>
      <c r="O13" s="645"/>
      <c r="P13" s="640" t="s">
        <v>303</v>
      </c>
      <c r="Q13" s="624">
        <v>590</v>
      </c>
      <c r="R13" s="366"/>
      <c r="S13" s="640"/>
      <c r="T13" s="640" t="s">
        <v>303</v>
      </c>
      <c r="U13" s="624">
        <v>196.8</v>
      </c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7.25" customHeight="1">
      <c r="A14" s="325"/>
      <c r="B14" s="161"/>
      <c r="C14" s="275"/>
      <c r="D14" s="275"/>
      <c r="E14" s="542" t="str">
        <f t="shared" si="0"/>
        <v/>
      </c>
      <c r="F14" s="162" t="str">
        <f t="shared" si="1"/>
        <v/>
      </c>
      <c r="G14" s="162"/>
      <c r="H14" s="43"/>
      <c r="I14" s="1"/>
      <c r="J14" s="366"/>
      <c r="K14" s="1"/>
      <c r="L14" s="1"/>
      <c r="M14" s="44"/>
      <c r="N14" s="562"/>
      <c r="O14" s="447"/>
      <c r="P14" s="366"/>
      <c r="Q14" s="448">
        <f>SUM(Q4:Q13)</f>
        <v>4494.5</v>
      </c>
      <c r="R14" s="366"/>
      <c r="S14" s="366"/>
      <c r="T14" s="366"/>
      <c r="U14" s="627">
        <f>SUM(U4:U13)</f>
        <v>2794.55</v>
      </c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 ht="14.25" customHeight="1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43"/>
      <c r="I15" s="1"/>
      <c r="J15" s="366"/>
      <c r="K15" s="1"/>
      <c r="L15" s="1"/>
      <c r="M15" s="44"/>
      <c r="N15" s="562"/>
      <c r="O15" s="447"/>
      <c r="P15" s="366"/>
      <c r="Q15" s="448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43"/>
      <c r="I16" s="1"/>
      <c r="J16" s="366"/>
      <c r="K16" s="1"/>
      <c r="L16" s="1"/>
      <c r="M16" s="44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43"/>
      <c r="I17" s="1"/>
      <c r="J17" s="366"/>
      <c r="K17" s="1"/>
      <c r="L17" s="1"/>
      <c r="M17" s="44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 ht="15.75" customHeight="1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43"/>
      <c r="I18" s="1"/>
      <c r="J18" s="366"/>
      <c r="K18" s="1"/>
      <c r="L18" s="1"/>
      <c r="M18" s="44"/>
      <c r="N18" s="295"/>
      <c r="O18" s="447"/>
      <c r="P18" s="366"/>
      <c r="Q18" s="366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43"/>
      <c r="I19" s="1"/>
      <c r="J19" s="366"/>
      <c r="K19" s="1"/>
      <c r="L19" s="1"/>
      <c r="M19" s="44"/>
      <c r="N19" s="295"/>
      <c r="O19" s="447"/>
      <c r="P19" s="366"/>
      <c r="Q19" s="199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>
      <c r="A20" s="325"/>
      <c r="B20" s="161"/>
      <c r="C20" s="275"/>
      <c r="D20" s="275"/>
      <c r="E20" s="542" t="str">
        <f t="shared" si="0"/>
        <v/>
      </c>
      <c r="F20" s="162" t="str">
        <f t="shared" si="1"/>
        <v/>
      </c>
      <c r="G20" s="162"/>
      <c r="H20" s="43"/>
      <c r="I20" s="1"/>
      <c r="J20" s="366"/>
      <c r="K20" s="1"/>
      <c r="L20" s="1"/>
      <c r="M20" s="44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Bot="1">
      <c r="A21" s="1272" t="s">
        <v>259</v>
      </c>
      <c r="B21" s="1273"/>
      <c r="C21" s="358">
        <f>SUM(C5:C20)</f>
        <v>951.10000000000014</v>
      </c>
      <c r="D21" s="358"/>
      <c r="E21" s="160">
        <f>SUM(E5:E20)</f>
        <v>0</v>
      </c>
      <c r="F21" s="162"/>
      <c r="G21" s="450"/>
      <c r="H21" s="43"/>
      <c r="I21" s="1"/>
      <c r="J21" s="366"/>
      <c r="K21" s="1"/>
      <c r="L21" s="1"/>
      <c r="M21" s="44"/>
      <c r="N21" s="1"/>
      <c r="O21" s="447"/>
      <c r="P21" s="448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15.75" thickTop="1">
      <c r="A22" s="351"/>
      <c r="B22" s="352"/>
      <c r="C22" s="353"/>
      <c r="D22" s="353"/>
      <c r="E22" s="354"/>
      <c r="F22" s="352"/>
      <c r="G22" s="376"/>
      <c r="H22" s="1171" t="s">
        <v>16</v>
      </c>
      <c r="I22" s="1173" t="s">
        <v>17</v>
      </c>
      <c r="J22" s="1173" t="s">
        <v>21</v>
      </c>
      <c r="K22" s="1173"/>
      <c r="L22" s="1175" t="s">
        <v>93</v>
      </c>
      <c r="M22" s="1177" t="s">
        <v>95</v>
      </c>
      <c r="N22" s="1"/>
      <c r="O22" s="447"/>
      <c r="P22" s="366"/>
      <c r="Q22" s="366"/>
      <c r="R22" s="366"/>
      <c r="S22" s="366"/>
      <c r="T22" s="366"/>
      <c r="U22" s="448"/>
      <c r="V22" s="366"/>
      <c r="W22" s="366"/>
      <c r="X22" s="366"/>
      <c r="Y22" s="366"/>
      <c r="Z22" s="366"/>
      <c r="AA22" s="366"/>
      <c r="AB22" s="366"/>
      <c r="AC22" s="366"/>
      <c r="AD22" s="366"/>
      <c r="AE22" s="366"/>
      <c r="AF22" s="366"/>
      <c r="AG22" s="366"/>
      <c r="AH22" s="366"/>
      <c r="AI22" s="366"/>
    </row>
    <row r="23" spans="1:35" ht="24">
      <c r="A23" s="355"/>
      <c r="B23" s="201"/>
      <c r="C23" s="201"/>
      <c r="D23" s="201"/>
      <c r="E23" s="216"/>
      <c r="F23" s="201"/>
      <c r="G23" s="201"/>
      <c r="H23" s="1172"/>
      <c r="I23" s="1174"/>
      <c r="J23" s="551" t="s">
        <v>21</v>
      </c>
      <c r="K23" s="551" t="s">
        <v>25</v>
      </c>
      <c r="L23" s="1176"/>
      <c r="M23" s="1178"/>
      <c r="N23" s="1"/>
      <c r="O23" s="447"/>
      <c r="P23" s="84"/>
      <c r="Q23" s="366"/>
      <c r="R23" s="366"/>
      <c r="S23" s="366"/>
      <c r="T23" s="366"/>
      <c r="U23" s="366"/>
      <c r="V23" s="86"/>
      <c r="W23" s="86"/>
      <c r="X23" s="86"/>
    </row>
    <row r="24" spans="1:35">
      <c r="A24" s="338"/>
      <c r="B24" s="199"/>
      <c r="C24" s="288"/>
      <c r="D24" s="232"/>
      <c r="E24" s="84"/>
      <c r="F24" s="199"/>
      <c r="G24" s="199"/>
      <c r="H24" s="347" t="s">
        <v>18</v>
      </c>
      <c r="I24" s="94">
        <v>32809.9</v>
      </c>
      <c r="J24" s="94">
        <v>1675.7199999999998</v>
      </c>
      <c r="K24" s="297">
        <v>1047.01</v>
      </c>
      <c r="L24" s="96">
        <v>52152</v>
      </c>
      <c r="M24" s="104">
        <f>82159.79-I24-J24-K24+L24</f>
        <v>98779.159999999989</v>
      </c>
      <c r="N24" s="1"/>
      <c r="O24" s="447"/>
      <c r="P24" s="563"/>
      <c r="Q24" s="366"/>
      <c r="R24" s="84"/>
      <c r="S24" s="86"/>
      <c r="T24" s="86"/>
      <c r="U24" s="366"/>
      <c r="V24" s="86"/>
      <c r="W24" s="86"/>
      <c r="X24" s="86"/>
    </row>
    <row r="25" spans="1:35" ht="15.75" customHeight="1">
      <c r="A25" s="339"/>
      <c r="B25" s="199"/>
      <c r="C25" s="199"/>
      <c r="D25" s="273"/>
      <c r="E25" s="366"/>
      <c r="F25" s="84"/>
      <c r="G25" s="366"/>
      <c r="H25" s="347" t="s">
        <v>19</v>
      </c>
      <c r="I25" s="94">
        <v>35259.58</v>
      </c>
      <c r="J25" s="94">
        <v>1363.3000000000002</v>
      </c>
      <c r="K25" s="94">
        <v>1176.05</v>
      </c>
      <c r="L25" s="96">
        <v>40465.950000000004</v>
      </c>
      <c r="M25" s="104">
        <f>M24-I25-J25-K25+L25</f>
        <v>101446.18</v>
      </c>
      <c r="N25" s="1"/>
      <c r="O25" s="447"/>
      <c r="P25" s="84"/>
      <c r="Q25" s="366"/>
      <c r="R25" s="84"/>
      <c r="S25" s="541"/>
      <c r="T25" s="86"/>
      <c r="U25" s="366"/>
      <c r="V25" s="86"/>
      <c r="W25" s="86"/>
      <c r="X25" s="86"/>
      <c r="Z25" s="1"/>
    </row>
    <row r="26" spans="1:35">
      <c r="A26" s="339"/>
      <c r="B26" s="366"/>
      <c r="C26" s="199"/>
      <c r="D26" s="273"/>
      <c r="E26" s="366"/>
      <c r="F26" s="366"/>
      <c r="G26" s="366"/>
      <c r="H26" s="347" t="s">
        <v>20</v>
      </c>
      <c r="I26" s="298">
        <v>34690.219999999994</v>
      </c>
      <c r="J26" s="94">
        <v>1209.3000000000002</v>
      </c>
      <c r="K26" s="299">
        <v>1213.33</v>
      </c>
      <c r="L26" s="299">
        <v>19306</v>
      </c>
      <c r="M26" s="104">
        <f>M25-I26-J26-K26+L26</f>
        <v>83639.329999999987</v>
      </c>
      <c r="N26" s="1"/>
      <c r="O26" s="447"/>
      <c r="P26" s="84"/>
      <c r="Q26" s="366"/>
      <c r="R26" s="84"/>
      <c r="S26" s="541"/>
      <c r="T26" s="86"/>
      <c r="U26" s="366"/>
      <c r="V26" s="86"/>
      <c r="W26" s="86"/>
      <c r="X26" s="86"/>
      <c r="Z26" s="1"/>
    </row>
    <row r="27" spans="1:35">
      <c r="A27" s="339"/>
      <c r="B27" s="1"/>
      <c r="C27" s="284"/>
      <c r="D27" s="273"/>
      <c r="E27" s="366"/>
      <c r="F27" s="366"/>
      <c r="G27" s="84"/>
      <c r="H27" s="347" t="s">
        <v>148</v>
      </c>
      <c r="I27" s="299">
        <v>30955.479999999996</v>
      </c>
      <c r="J27" s="300">
        <v>3184.46</v>
      </c>
      <c r="K27" s="300">
        <v>1035.6600000000001</v>
      </c>
      <c r="L27" s="299">
        <v>59195.5</v>
      </c>
      <c r="M27" s="104">
        <f>M26-I27-J27-K27+L27</f>
        <v>107659.22999999998</v>
      </c>
      <c r="N27" s="1"/>
      <c r="O27" s="447"/>
      <c r="P27" s="84"/>
      <c r="Q27" s="366"/>
      <c r="R27" s="84"/>
      <c r="S27" s="541"/>
      <c r="T27" s="86"/>
      <c r="U27" s="366"/>
      <c r="V27" s="86"/>
      <c r="W27" s="86"/>
      <c r="X27" s="86"/>
      <c r="Z27" s="1"/>
    </row>
    <row r="28" spans="1:35">
      <c r="A28" s="339"/>
      <c r="B28" s="199"/>
      <c r="C28" s="1"/>
      <c r="D28" s="273"/>
      <c r="E28" s="366"/>
      <c r="F28" s="366"/>
      <c r="G28" s="366"/>
      <c r="H28" s="348" t="s">
        <v>162</v>
      </c>
      <c r="I28" s="300">
        <v>31239.439999999995</v>
      </c>
      <c r="J28" s="299">
        <v>2443.4</v>
      </c>
      <c r="K28" s="300">
        <v>1496.52</v>
      </c>
      <c r="L28" s="299">
        <v>40132</v>
      </c>
      <c r="M28" s="104">
        <f>M27-I28-J28-K28+L28</f>
        <v>112611.86999999998</v>
      </c>
      <c r="N28" s="1"/>
      <c r="O28" s="447"/>
      <c r="P28" s="84"/>
      <c r="Q28" s="145"/>
      <c r="R28" s="84"/>
      <c r="S28" s="541"/>
      <c r="T28" s="86"/>
      <c r="U28" s="366"/>
      <c r="V28" s="86"/>
      <c r="W28" s="86"/>
      <c r="X28" s="86"/>
      <c r="Z28" s="1"/>
    </row>
    <row r="29" spans="1:35">
      <c r="A29" s="339"/>
      <c r="B29" s="199"/>
      <c r="C29" s="1"/>
      <c r="D29" s="273"/>
      <c r="E29" s="366"/>
      <c r="F29" s="366"/>
      <c r="G29" s="366"/>
      <c r="H29" s="379" t="s">
        <v>163</v>
      </c>
      <c r="I29" s="380">
        <v>28986.99</v>
      </c>
      <c r="J29" s="432">
        <v>6271.4999999999991</v>
      </c>
      <c r="K29" s="433">
        <v>1046.56</v>
      </c>
      <c r="L29" s="433">
        <v>22678.1</v>
      </c>
      <c r="M29" s="104">
        <f t="shared" ref="M29:M33" si="2">M28-I29-J29-K29+L29</f>
        <v>98984.919999999984</v>
      </c>
      <c r="N29" s="1"/>
      <c r="O29" s="366"/>
      <c r="P29" s="84"/>
      <c r="Q29" s="145"/>
      <c r="R29" s="84"/>
      <c r="S29" s="541"/>
      <c r="T29" s="86"/>
      <c r="U29" s="86"/>
      <c r="V29" s="86"/>
      <c r="W29" s="86"/>
      <c r="X29" s="86"/>
      <c r="Z29" s="1"/>
    </row>
    <row r="30" spans="1:35">
      <c r="A30" s="339"/>
      <c r="B30" s="199"/>
      <c r="C30" s="1"/>
      <c r="D30" s="273"/>
      <c r="E30" s="366"/>
      <c r="F30" s="366"/>
      <c r="G30" s="366"/>
      <c r="H30" s="379" t="s">
        <v>192</v>
      </c>
      <c r="I30" s="380">
        <v>31654.69</v>
      </c>
      <c r="J30" s="432">
        <v>7124.02</v>
      </c>
      <c r="K30" s="433">
        <v>1268.5600000000002</v>
      </c>
      <c r="L30" s="433">
        <v>32888</v>
      </c>
      <c r="M30" s="104">
        <f t="shared" si="2"/>
        <v>91825.64999999998</v>
      </c>
      <c r="N30" s="1"/>
      <c r="O30" s="366"/>
      <c r="P30" s="84"/>
      <c r="Q30" s="145"/>
      <c r="R30" s="84"/>
      <c r="S30" s="541"/>
      <c r="T30" s="86"/>
      <c r="U30" s="86"/>
      <c r="V30" s="86"/>
      <c r="W30" s="86"/>
      <c r="X30" s="86"/>
      <c r="Z30" s="366"/>
    </row>
    <row r="31" spans="1:35">
      <c r="A31" s="339"/>
      <c r="B31" s="199"/>
      <c r="C31" s="1"/>
      <c r="D31" s="273"/>
      <c r="E31" s="366"/>
      <c r="F31" s="366"/>
      <c r="G31" s="366"/>
      <c r="H31" s="379" t="s">
        <v>199</v>
      </c>
      <c r="I31" s="380">
        <v>28891.4</v>
      </c>
      <c r="J31" s="432">
        <v>8339.34</v>
      </c>
      <c r="K31" s="433">
        <v>1310.53</v>
      </c>
      <c r="L31" s="433">
        <v>36419</v>
      </c>
      <c r="M31" s="104">
        <f t="shared" si="2"/>
        <v>89703.379999999976</v>
      </c>
      <c r="N31" s="1"/>
      <c r="O31" s="366"/>
      <c r="P31" s="84"/>
      <c r="Q31" s="145"/>
      <c r="R31" s="84"/>
      <c r="S31" s="541"/>
      <c r="T31" s="86"/>
      <c r="U31" s="86"/>
      <c r="V31" s="86"/>
      <c r="W31" s="86"/>
      <c r="X31" s="8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209</v>
      </c>
      <c r="I32" s="297">
        <v>28339.37</v>
      </c>
      <c r="J32" s="438">
        <v>1758.9</v>
      </c>
      <c r="K32" s="606">
        <v>1141.96</v>
      </c>
      <c r="L32" s="606">
        <v>35862.5</v>
      </c>
      <c r="M32" s="104">
        <f t="shared" si="2"/>
        <v>94325.64999999998</v>
      </c>
      <c r="N32" s="1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210</v>
      </c>
      <c r="I33" s="297">
        <v>28933.9</v>
      </c>
      <c r="J33" s="438">
        <v>954.3</v>
      </c>
      <c r="K33" s="607">
        <v>1267.8599999999999</v>
      </c>
      <c r="L33" s="607">
        <v>22833.599999999999</v>
      </c>
      <c r="M33" s="104">
        <f t="shared" si="2"/>
        <v>86003.189999999973</v>
      </c>
      <c r="N33" s="1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 thickBot="1">
      <c r="A34" s="339"/>
      <c r="B34" s="199"/>
      <c r="C34" s="1"/>
      <c r="D34" s="273"/>
      <c r="E34" s="366"/>
      <c r="F34" s="366"/>
      <c r="G34" s="366"/>
      <c r="H34" s="608" t="s">
        <v>211</v>
      </c>
      <c r="I34" s="622">
        <v>23375.089999999997</v>
      </c>
      <c r="J34" s="610">
        <f>2414.8+6115</f>
        <v>8529.7999999999993</v>
      </c>
      <c r="K34" s="611">
        <v>977.16000000000008</v>
      </c>
      <c r="L34" s="611">
        <v>16277.199999999999</v>
      </c>
      <c r="M34" s="104">
        <f>M33-I34-J34-K34+L34</f>
        <v>69398.339999999967</v>
      </c>
      <c r="N34" s="1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 thickTop="1">
      <c r="A35" s="339"/>
      <c r="B35" s="199"/>
      <c r="C35" s="1"/>
      <c r="D35" s="273"/>
      <c r="E35" s="84"/>
      <c r="F35" s="366"/>
      <c r="G35" s="366"/>
      <c r="H35" s="1148" t="s">
        <v>36</v>
      </c>
      <c r="I35" s="1150" t="s">
        <v>178</v>
      </c>
      <c r="J35" s="1151"/>
      <c r="K35" s="1152"/>
      <c r="L35" s="1156" t="s">
        <v>159</v>
      </c>
      <c r="M35" s="1157"/>
      <c r="N35" s="1"/>
      <c r="P35" s="448"/>
      <c r="Q35" s="145"/>
      <c r="R35" s="145"/>
      <c r="S35" s="86"/>
      <c r="T35" s="86"/>
      <c r="U35" s="86"/>
      <c r="V35" s="86"/>
      <c r="W35" s="86"/>
      <c r="X35" s="86"/>
      <c r="Y35" s="366"/>
      <c r="Z35" s="366"/>
    </row>
    <row r="36" spans="1:26" ht="13.5" customHeight="1">
      <c r="A36" s="339"/>
      <c r="B36" s="199"/>
      <c r="C36" s="284"/>
      <c r="D36" s="273"/>
      <c r="E36" s="284"/>
      <c r="F36" s="366"/>
      <c r="G36" s="378"/>
      <c r="H36" s="1149"/>
      <c r="I36" s="1153"/>
      <c r="J36" s="1154"/>
      <c r="K36" s="1155"/>
      <c r="L36" s="1158"/>
      <c r="M36" s="1159"/>
      <c r="N36" s="1"/>
      <c r="P36" s="448"/>
      <c r="Q36" s="145"/>
      <c r="R36" s="84"/>
      <c r="S36" s="86"/>
      <c r="T36" s="86"/>
      <c r="U36" s="86"/>
      <c r="V36" s="294"/>
      <c r="W36" s="86"/>
      <c r="X36" s="86"/>
      <c r="Y36" s="366"/>
      <c r="Z36" s="366"/>
    </row>
    <row r="37" spans="1:26" ht="15.75" customHeight="1">
      <c r="A37" s="339"/>
      <c r="B37" s="199"/>
      <c r="C37" s="199"/>
      <c r="D37" s="273"/>
      <c r="E37" s="199"/>
      <c r="F37" s="366"/>
      <c r="G37" s="378"/>
      <c r="H37" s="512" t="s">
        <v>250</v>
      </c>
      <c r="I37" s="1278" t="s">
        <v>47</v>
      </c>
      <c r="J37" s="1278"/>
      <c r="K37" s="558">
        <v>328.13</v>
      </c>
      <c r="L37" s="282">
        <v>43936</v>
      </c>
      <c r="M37" s="44" t="s">
        <v>247</v>
      </c>
      <c r="N37" s="150"/>
      <c r="P37" s="448"/>
      <c r="Q37" s="145"/>
      <c r="R37" s="84"/>
      <c r="S37" s="86"/>
      <c r="T37" s="86"/>
      <c r="U37" s="86"/>
      <c r="V37" s="294"/>
      <c r="W37" s="86"/>
      <c r="X37" s="86"/>
      <c r="Y37" s="366"/>
      <c r="Z37" s="366"/>
    </row>
    <row r="38" spans="1:26">
      <c r="A38" s="339"/>
      <c r="B38" s="366"/>
      <c r="C38" s="274"/>
      <c r="D38" s="273"/>
      <c r="E38" s="274"/>
      <c r="F38" s="366"/>
      <c r="G38" s="366"/>
      <c r="H38" s="512" t="s">
        <v>250</v>
      </c>
      <c r="I38" s="1262" t="s">
        <v>51</v>
      </c>
      <c r="J38" s="1262"/>
      <c r="K38" s="559">
        <v>71.83</v>
      </c>
      <c r="L38" s="282">
        <v>43936</v>
      </c>
      <c r="M38" s="44" t="s">
        <v>247</v>
      </c>
      <c r="N38" s="1"/>
      <c r="P38" s="448"/>
      <c r="Q38" s="145"/>
      <c r="R38" s="273"/>
      <c r="S38" s="366"/>
      <c r="T38" s="86"/>
      <c r="U38" s="86"/>
      <c r="V38" s="294"/>
      <c r="W38" s="294"/>
      <c r="X38" s="294"/>
      <c r="Y38" s="366"/>
    </row>
    <row r="39" spans="1:26">
      <c r="A39" s="340"/>
      <c r="B39" s="366"/>
      <c r="C39" s="366"/>
      <c r="D39" s="273"/>
      <c r="E39" s="199"/>
      <c r="F39" s="366"/>
      <c r="G39" s="366"/>
      <c r="H39" s="512" t="s">
        <v>250</v>
      </c>
      <c r="I39" s="1262" t="s">
        <v>52</v>
      </c>
      <c r="J39" s="1262"/>
      <c r="K39" s="559">
        <v>5.63</v>
      </c>
      <c r="L39" s="282">
        <v>43936</v>
      </c>
      <c r="M39" s="44" t="s">
        <v>247</v>
      </c>
      <c r="N39" s="1"/>
      <c r="P39" s="641"/>
      <c r="Q39" s="145"/>
      <c r="R39" s="273"/>
      <c r="S39" s="366"/>
      <c r="T39" s="294"/>
      <c r="U39" s="86"/>
      <c r="V39" s="366"/>
      <c r="W39" s="294"/>
      <c r="X39" s="294"/>
      <c r="Y39" s="366"/>
    </row>
    <row r="40" spans="1:26">
      <c r="A40" s="340"/>
      <c r="B40" s="366"/>
      <c r="C40" s="366"/>
      <c r="D40" s="273"/>
      <c r="E40" s="366"/>
      <c r="F40" s="366"/>
      <c r="G40" s="366"/>
      <c r="H40" s="512" t="s">
        <v>250</v>
      </c>
      <c r="I40" s="1262" t="s">
        <v>49</v>
      </c>
      <c r="J40" s="1262"/>
      <c r="K40" s="559">
        <v>371</v>
      </c>
      <c r="L40" s="282">
        <v>43941</v>
      </c>
      <c r="M40" s="44" t="s">
        <v>295</v>
      </c>
      <c r="N40" s="150"/>
      <c r="P40" s="642"/>
      <c r="Q40" s="366"/>
      <c r="R40" s="554"/>
      <c r="S40" s="366"/>
      <c r="T40" s="294"/>
      <c r="U40" s="86"/>
      <c r="V40" s="294"/>
      <c r="W40" s="294"/>
      <c r="X40" s="294"/>
      <c r="Y40" s="366"/>
    </row>
    <row r="41" spans="1:26">
      <c r="A41" s="340"/>
      <c r="B41" s="366"/>
      <c r="C41" s="366"/>
      <c r="D41" s="273"/>
      <c r="E41" s="366"/>
      <c r="F41" s="366"/>
      <c r="G41" s="366"/>
      <c r="H41" s="512" t="s">
        <v>250</v>
      </c>
      <c r="I41" s="1263" t="s">
        <v>59</v>
      </c>
      <c r="J41" s="1263"/>
      <c r="K41" s="456">
        <v>400.32</v>
      </c>
      <c r="L41" s="302" t="s">
        <v>177</v>
      </c>
      <c r="M41" s="44" t="s">
        <v>247</v>
      </c>
      <c r="N41" s="1"/>
      <c r="P41" s="643"/>
      <c r="Q41" s="366"/>
      <c r="R41" s="554"/>
      <c r="S41" s="366"/>
      <c r="T41" s="294"/>
      <c r="U41" s="86"/>
      <c r="V41" s="294"/>
      <c r="W41" s="366"/>
      <c r="X41" s="366"/>
      <c r="Y41" s="366"/>
    </row>
    <row r="42" spans="1:26">
      <c r="A42" s="340"/>
      <c r="B42" s="199"/>
      <c r="C42" s="199"/>
      <c r="D42" s="273"/>
      <c r="E42" s="199"/>
      <c r="F42" s="366"/>
      <c r="G42" s="366"/>
      <c r="H42" s="512" t="s">
        <v>250</v>
      </c>
      <c r="I42" s="1264" t="s">
        <v>68</v>
      </c>
      <c r="J42" s="1265"/>
      <c r="K42" s="559">
        <v>386.24</v>
      </c>
      <c r="L42" s="282">
        <v>43941</v>
      </c>
      <c r="M42" s="44" t="s">
        <v>247</v>
      </c>
      <c r="N42" s="1"/>
      <c r="O42" s="12"/>
      <c r="P42" s="643"/>
      <c r="Q42" s="554"/>
      <c r="R42" s="554"/>
      <c r="S42" s="366"/>
      <c r="T42" s="366"/>
      <c r="U42" s="294"/>
      <c r="V42" s="294"/>
      <c r="W42" s="294"/>
      <c r="X42" s="294"/>
      <c r="Y42" s="366"/>
    </row>
    <row r="43" spans="1:26">
      <c r="A43" s="340"/>
      <c r="B43" s="199"/>
      <c r="C43" s="366"/>
      <c r="D43" s="273"/>
      <c r="E43" s="199"/>
      <c r="F43" s="366"/>
      <c r="G43" s="366"/>
      <c r="H43" s="512" t="s">
        <v>250</v>
      </c>
      <c r="I43" s="560" t="s">
        <v>174</v>
      </c>
      <c r="J43" s="561"/>
      <c r="K43" s="5">
        <v>518.58999999999992</v>
      </c>
      <c r="L43" s="282">
        <v>43936</v>
      </c>
      <c r="M43" s="44" t="s">
        <v>247</v>
      </c>
      <c r="N43" s="12"/>
      <c r="P43" s="448"/>
      <c r="Q43" s="554"/>
      <c r="R43" s="365"/>
      <c r="S43" s="366"/>
      <c r="T43" s="294"/>
      <c r="U43" s="294"/>
      <c r="V43" s="294"/>
      <c r="W43" s="294"/>
      <c r="X43" s="294"/>
      <c r="Y43" s="366"/>
    </row>
    <row r="44" spans="1:26">
      <c r="A44" s="340"/>
      <c r="B44" s="199"/>
      <c r="C44" s="366"/>
      <c r="D44" s="273"/>
      <c r="E44" s="199"/>
      <c r="F44" s="366"/>
      <c r="G44" s="366"/>
      <c r="H44" s="350" t="s">
        <v>258</v>
      </c>
      <c r="I44" s="560" t="s">
        <v>176</v>
      </c>
      <c r="J44" s="561"/>
      <c r="K44" s="559" t="s">
        <v>258</v>
      </c>
      <c r="L44" s="282">
        <v>43941</v>
      </c>
      <c r="M44" s="44" t="s">
        <v>247</v>
      </c>
      <c r="N44" s="1"/>
      <c r="O44" s="12"/>
      <c r="P44" s="448"/>
      <c r="Q44" s="554"/>
      <c r="R44" s="365"/>
      <c r="S44" s="366"/>
      <c r="T44" s="294"/>
      <c r="U44" s="294"/>
      <c r="V44" s="294"/>
      <c r="W44" s="294"/>
      <c r="X44" s="294"/>
      <c r="Y44" s="366"/>
    </row>
    <row r="45" spans="1:26">
      <c r="A45" s="340"/>
      <c r="B45" s="199"/>
      <c r="C45" s="366"/>
      <c r="D45" s="273"/>
      <c r="E45" s="232"/>
      <c r="F45" s="366"/>
      <c r="G45" s="366"/>
      <c r="H45" s="512" t="s">
        <v>250</v>
      </c>
      <c r="I45" s="1264" t="s">
        <v>81</v>
      </c>
      <c r="J45" s="1265"/>
      <c r="K45" s="559">
        <v>1154.3399999999999</v>
      </c>
      <c r="L45" s="282">
        <v>43936</v>
      </c>
      <c r="M45" s="44" t="s">
        <v>247</v>
      </c>
      <c r="N45" s="1"/>
      <c r="O45" s="366"/>
      <c r="P45" s="448"/>
      <c r="Q45" s="554"/>
      <c r="R45" s="554"/>
      <c r="S45" s="366"/>
      <c r="T45" s="294"/>
      <c r="U45" s="366"/>
      <c r="V45" s="294"/>
      <c r="W45" s="294"/>
      <c r="X45" s="294"/>
      <c r="Y45" s="366"/>
    </row>
    <row r="46" spans="1:26">
      <c r="A46" s="340"/>
      <c r="B46" s="199"/>
      <c r="C46" s="366"/>
      <c r="D46" s="273"/>
      <c r="E46" s="232"/>
      <c r="F46" s="366"/>
      <c r="G46" s="366"/>
      <c r="H46" s="512" t="s">
        <v>250</v>
      </c>
      <c r="I46" s="1264" t="s">
        <v>181</v>
      </c>
      <c r="J46" s="1265"/>
      <c r="K46" s="559">
        <v>10</v>
      </c>
      <c r="L46" s="282">
        <v>43936</v>
      </c>
      <c r="M46" s="44" t="s">
        <v>247</v>
      </c>
      <c r="N46" s="1"/>
      <c r="O46" s="12"/>
      <c r="P46" s="448"/>
      <c r="Q46" s="554"/>
      <c r="R46" s="366"/>
      <c r="S46" s="366"/>
      <c r="T46" s="294"/>
      <c r="U46" s="294"/>
      <c r="V46" s="366"/>
      <c r="W46" s="294"/>
      <c r="X46" s="294"/>
      <c r="Y46" s="366"/>
    </row>
    <row r="47" spans="1:26">
      <c r="A47" s="340"/>
      <c r="B47" s="199"/>
      <c r="C47" s="366"/>
      <c r="D47" s="273"/>
      <c r="E47" s="232"/>
      <c r="F47" s="366"/>
      <c r="G47" s="366"/>
      <c r="H47" s="512" t="s">
        <v>250</v>
      </c>
      <c r="I47" s="1145" t="s">
        <v>61</v>
      </c>
      <c r="J47" s="1145"/>
      <c r="K47" s="93">
        <f>L6</f>
        <v>0</v>
      </c>
      <c r="L47" s="282">
        <v>43941</v>
      </c>
      <c r="M47" s="44" t="s">
        <v>247</v>
      </c>
      <c r="N47" s="1"/>
      <c r="P47" s="448"/>
      <c r="Q47" s="365"/>
      <c r="R47" s="365"/>
      <c r="S47" s="366"/>
      <c r="T47" s="294"/>
      <c r="U47" s="294"/>
      <c r="V47" s="366"/>
      <c r="W47" s="294"/>
      <c r="X47" s="294"/>
      <c r="Y47" s="366"/>
    </row>
    <row r="48" spans="1:26">
      <c r="A48" s="340"/>
      <c r="B48" s="199"/>
      <c r="C48" s="366"/>
      <c r="D48" s="273"/>
      <c r="E48" s="232"/>
      <c r="F48" s="366"/>
      <c r="G48" s="366"/>
      <c r="H48" s="512" t="s">
        <v>250</v>
      </c>
      <c r="I48" s="1145" t="s">
        <v>274</v>
      </c>
      <c r="J48" s="1145"/>
      <c r="K48" s="93">
        <v>73</v>
      </c>
      <c r="L48" s="282">
        <v>43941</v>
      </c>
      <c r="M48" s="44" t="s">
        <v>247</v>
      </c>
      <c r="N48" s="1"/>
      <c r="P48" s="448"/>
      <c r="Q48" s="365"/>
      <c r="R48" s="365"/>
      <c r="S48" s="366"/>
      <c r="T48" s="294"/>
      <c r="U48" s="294"/>
      <c r="V48" s="366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250</v>
      </c>
      <c r="I49" s="1145" t="s">
        <v>275</v>
      </c>
      <c r="J49" s="1145"/>
      <c r="K49" s="93">
        <v>50</v>
      </c>
      <c r="L49" s="282">
        <v>43936</v>
      </c>
      <c r="M49" s="44" t="s">
        <v>247</v>
      </c>
      <c r="N49" s="1"/>
      <c r="P49" s="448"/>
      <c r="Q49" s="273"/>
      <c r="R49" s="365"/>
      <c r="S49" s="366"/>
      <c r="T49" s="294"/>
      <c r="U49" s="294"/>
      <c r="V49" s="366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250</v>
      </c>
      <c r="I50" s="1145" t="s">
        <v>276</v>
      </c>
      <c r="J50" s="1145"/>
      <c r="K50" s="93">
        <v>150</v>
      </c>
      <c r="L50" s="282">
        <v>43951</v>
      </c>
      <c r="M50" s="44" t="s">
        <v>247</v>
      </c>
      <c r="N50" s="1"/>
      <c r="P50" s="448"/>
      <c r="Q50" s="365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250</v>
      </c>
      <c r="I51" s="1145" t="s">
        <v>296</v>
      </c>
      <c r="J51" s="1145"/>
      <c r="K51" s="93">
        <v>7.56</v>
      </c>
      <c r="L51" s="282">
        <v>43936</v>
      </c>
      <c r="M51" s="44" t="s">
        <v>247</v>
      </c>
      <c r="N51" s="1"/>
      <c r="P51" s="448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 ht="15.75" thickBot="1">
      <c r="A52" s="341"/>
      <c r="B52" s="330"/>
      <c r="C52" s="331"/>
      <c r="D52" s="342"/>
      <c r="E52" s="330"/>
      <c r="F52" s="331"/>
      <c r="G52" s="331"/>
      <c r="H52" s="1280" t="s">
        <v>179</v>
      </c>
      <c r="I52" s="1281"/>
      <c r="J52" s="361">
        <f>SUM(K37:K51)</f>
        <v>3526.64</v>
      </c>
      <c r="K52" s="1146" t="s">
        <v>180</v>
      </c>
      <c r="L52" s="1146"/>
      <c r="M52" s="484">
        <v>0</v>
      </c>
      <c r="N52" s="1"/>
      <c r="P52" s="448"/>
      <c r="Q52" s="365"/>
      <c r="R52" s="366"/>
      <c r="S52" s="366"/>
      <c r="T52" s="294"/>
      <c r="U52" s="366"/>
      <c r="V52" s="366"/>
      <c r="W52" s="366"/>
      <c r="X52" s="366"/>
      <c r="Y52" s="366"/>
    </row>
    <row r="53" spans="1:25" ht="15.75" thickTop="1">
      <c r="A53" s="366"/>
      <c r="B53" s="366"/>
      <c r="C53" s="366"/>
      <c r="D53" s="366"/>
      <c r="E53" s="366"/>
      <c r="F53" s="366"/>
      <c r="G53" s="366"/>
      <c r="H53" s="1162"/>
      <c r="I53" s="1162"/>
      <c r="J53" s="1162"/>
      <c r="K53" s="1162"/>
      <c r="L53" s="366"/>
      <c r="M53" s="441"/>
      <c r="N53" s="1"/>
      <c r="P53" s="448"/>
      <c r="Q53" s="365"/>
      <c r="R53" s="366"/>
      <c r="S53" s="366"/>
      <c r="T53" s="366"/>
      <c r="U53" s="366"/>
      <c r="V53" s="366"/>
      <c r="W53" s="366"/>
      <c r="X53" s="366"/>
      <c r="Y53" s="366"/>
    </row>
    <row r="54" spans="1:25" ht="15" customHeight="1">
      <c r="A54" s="1163" t="s">
        <v>283</v>
      </c>
      <c r="B54" s="1163"/>
      <c r="C54" s="1163"/>
      <c r="D54" s="1163"/>
      <c r="E54" s="1163"/>
      <c r="F54" s="1163"/>
      <c r="G54" s="1163"/>
      <c r="H54" s="1163"/>
      <c r="I54" s="1163"/>
      <c r="J54" s="1163"/>
      <c r="K54" s="1163"/>
      <c r="L54" s="1163"/>
      <c r="M54" s="1163"/>
      <c r="N54" s="1"/>
      <c r="P54" s="448"/>
      <c r="Q54" s="365"/>
      <c r="R54" s="366"/>
      <c r="S54" s="366"/>
      <c r="T54" s="366"/>
      <c r="U54" s="366"/>
      <c r="V54" s="366"/>
      <c r="W54" s="366"/>
      <c r="X54" s="366"/>
    </row>
    <row r="55" spans="1:25" ht="15.75" customHeight="1" thickBot="1">
      <c r="A55" s="1164"/>
      <c r="B55" s="1164"/>
      <c r="C55" s="1164"/>
      <c r="D55" s="1164"/>
      <c r="E55" s="1164"/>
      <c r="F55" s="1164"/>
      <c r="G55" s="1164"/>
      <c r="H55" s="1164"/>
      <c r="I55" s="1164"/>
      <c r="J55" s="1164"/>
      <c r="K55" s="1164"/>
      <c r="L55" s="1164"/>
      <c r="M55" s="1164"/>
      <c r="N55" s="1"/>
      <c r="P55" s="448"/>
      <c r="Q55" s="365"/>
      <c r="R55" s="365"/>
      <c r="S55" s="554"/>
      <c r="T55" s="366"/>
      <c r="U55" s="366"/>
      <c r="V55" s="366"/>
      <c r="W55" s="366"/>
      <c r="X55" s="366"/>
    </row>
    <row r="56" spans="1:25" ht="15.75" thickTop="1">
      <c r="A56" s="1266" t="s">
        <v>28</v>
      </c>
      <c r="B56" s="1166"/>
      <c r="C56" s="1166"/>
      <c r="D56" s="1166"/>
      <c r="E56" s="1166"/>
      <c r="F56" s="1166"/>
      <c r="G56" s="1167"/>
      <c r="H56" s="1168" t="s">
        <v>293</v>
      </c>
      <c r="I56" s="1169"/>
      <c r="J56" s="1169"/>
      <c r="K56" s="1169"/>
      <c r="L56" s="1169"/>
      <c r="M56" s="1170"/>
      <c r="N56" s="1"/>
      <c r="P56" s="1"/>
      <c r="Q56" s="366"/>
      <c r="S56" s="274"/>
      <c r="T56" s="366"/>
      <c r="U56" s="366"/>
      <c r="V56" s="366"/>
      <c r="W56" s="366"/>
      <c r="X56" s="366"/>
    </row>
    <row r="57" spans="1:25">
      <c r="A57" s="324" t="s">
        <v>2</v>
      </c>
      <c r="B57" s="547" t="s">
        <v>34</v>
      </c>
      <c r="C57" s="36" t="s">
        <v>35</v>
      </c>
      <c r="D57" s="36" t="s">
        <v>38</v>
      </c>
      <c r="E57" s="36" t="s">
        <v>42</v>
      </c>
      <c r="F57" s="547" t="s">
        <v>36</v>
      </c>
      <c r="G57" s="100" t="s">
        <v>173</v>
      </c>
      <c r="H57" s="43"/>
      <c r="I57" s="550" t="s">
        <v>35</v>
      </c>
      <c r="J57" s="550" t="s">
        <v>38</v>
      </c>
      <c r="K57" s="550" t="s">
        <v>42</v>
      </c>
      <c r="L57" s="263" t="s">
        <v>44</v>
      </c>
      <c r="M57" s="632" t="s">
        <v>298</v>
      </c>
      <c r="N57" s="1"/>
      <c r="Q57" s="366"/>
      <c r="S57" s="274"/>
      <c r="T57" s="366"/>
      <c r="U57" s="366"/>
      <c r="V57" s="366"/>
      <c r="W57" s="366"/>
      <c r="X57" s="366"/>
    </row>
    <row r="58" spans="1:25">
      <c r="A58" s="325">
        <v>43888</v>
      </c>
      <c r="B58" s="161" t="s">
        <v>263</v>
      </c>
      <c r="C58" s="275">
        <v>1008.8</v>
      </c>
      <c r="D58" s="275">
        <v>508.79999999999995</v>
      </c>
      <c r="E58" s="542">
        <f t="shared" ref="E58:E73" si="3">IF(C58-D58=0,"",C58-D58)</f>
        <v>500</v>
      </c>
      <c r="F58" s="162" t="str">
        <f t="shared" ref="F58:F73" si="4">IF(C58=0,"",IF(C58-D58=0,"оплачено","ОЖИДАЕТСЯ оплата"))</f>
        <v>ОЖИДАЕТСЯ оплата</v>
      </c>
      <c r="G58" s="162"/>
      <c r="H58" s="43"/>
      <c r="I58" s="552">
        <f>1191.06</f>
        <v>1191.06</v>
      </c>
      <c r="J58" s="552">
        <f>500+691.06</f>
        <v>1191.06</v>
      </c>
      <c r="K58" s="160">
        <f>I58-J58</f>
        <v>0</v>
      </c>
      <c r="L58" s="3">
        <v>43941</v>
      </c>
      <c r="M58" s="633">
        <v>266.8</v>
      </c>
      <c r="N58" s="1"/>
      <c r="Q58" s="366"/>
      <c r="S58" s="366"/>
      <c r="T58" s="84"/>
      <c r="U58" s="366"/>
      <c r="W58" s="366"/>
      <c r="X58" s="366"/>
    </row>
    <row r="59" spans="1:25">
      <c r="A59" s="325"/>
      <c r="B59" s="161"/>
      <c r="C59" s="275"/>
      <c r="D59" s="275"/>
      <c r="E59" s="542" t="str">
        <f t="shared" si="3"/>
        <v/>
      </c>
      <c r="F59" s="162" t="str">
        <f t="shared" si="4"/>
        <v/>
      </c>
      <c r="G59" s="162"/>
      <c r="H59" s="43"/>
      <c r="I59" s="293"/>
      <c r="J59" s="293"/>
      <c r="K59" s="443"/>
      <c r="L59" s="144"/>
      <c r="M59" s="434"/>
      <c r="N59" s="1"/>
      <c r="Q59" s="366"/>
      <c r="S59" s="366"/>
      <c r="T59" s="366"/>
      <c r="U59" s="366"/>
      <c r="W59" s="366"/>
      <c r="X59" s="366"/>
    </row>
    <row r="60" spans="1:25">
      <c r="A60" s="325"/>
      <c r="B60" s="161"/>
      <c r="C60" s="275"/>
      <c r="D60" s="275"/>
      <c r="E60" s="542" t="str">
        <f t="shared" si="3"/>
        <v/>
      </c>
      <c r="F60" s="162" t="str">
        <f t="shared" si="4"/>
        <v/>
      </c>
      <c r="G60" s="162"/>
      <c r="H60" s="43"/>
      <c r="I60" s="1"/>
      <c r="J60" s="366"/>
      <c r="K60" s="1"/>
      <c r="L60" s="1"/>
      <c r="M60" s="44"/>
      <c r="N60" s="1"/>
      <c r="T60" s="366"/>
      <c r="U60" s="366"/>
    </row>
    <row r="61" spans="1:25">
      <c r="A61" s="325"/>
      <c r="B61" s="161"/>
      <c r="C61" s="275"/>
      <c r="D61" s="275"/>
      <c r="E61" s="542" t="str">
        <f t="shared" si="3"/>
        <v/>
      </c>
      <c r="F61" s="162" t="str">
        <f t="shared" si="4"/>
        <v/>
      </c>
      <c r="G61" s="162"/>
      <c r="H61" s="43"/>
      <c r="I61" s="1"/>
      <c r="J61" s="366"/>
      <c r="K61" s="1"/>
      <c r="L61" s="1"/>
      <c r="M61" s="44"/>
      <c r="N61" s="1"/>
      <c r="U61" s="366"/>
    </row>
    <row r="62" spans="1:25">
      <c r="A62" s="325">
        <v>43955</v>
      </c>
      <c r="B62" s="161" t="s">
        <v>301</v>
      </c>
      <c r="C62" s="275">
        <v>589.83000000000004</v>
      </c>
      <c r="D62" s="275">
        <v>589.83000000000004</v>
      </c>
      <c r="E62" s="542" t="str">
        <f t="shared" si="3"/>
        <v/>
      </c>
      <c r="F62" s="162" t="str">
        <f t="shared" si="4"/>
        <v>оплачено</v>
      </c>
      <c r="G62" s="162"/>
      <c r="H62" s="43"/>
      <c r="I62" s="1"/>
      <c r="J62" s="366"/>
      <c r="K62" s="1"/>
      <c r="L62" s="1"/>
      <c r="M62" s="44"/>
      <c r="N62" s="1"/>
      <c r="U62" s="366"/>
    </row>
    <row r="63" spans="1:25">
      <c r="A63" s="325">
        <v>43950</v>
      </c>
      <c r="B63" s="161" t="s">
        <v>301</v>
      </c>
      <c r="C63" s="275">
        <v>361.38</v>
      </c>
      <c r="D63" s="275">
        <v>361.38</v>
      </c>
      <c r="E63" s="542" t="str">
        <f t="shared" si="3"/>
        <v/>
      </c>
      <c r="F63" s="162" t="str">
        <f t="shared" si="4"/>
        <v>оплачено</v>
      </c>
      <c r="G63" s="162"/>
      <c r="H63" s="43"/>
      <c r="I63" s="1"/>
      <c r="J63" s="366"/>
      <c r="K63" s="1"/>
      <c r="L63" s="1"/>
      <c r="M63" s="44"/>
      <c r="N63" s="1"/>
      <c r="U63" s="366"/>
    </row>
    <row r="64" spans="1:25">
      <c r="A64" s="325">
        <v>43930</v>
      </c>
      <c r="B64" s="161" t="s">
        <v>292</v>
      </c>
      <c r="C64" s="275">
        <v>9.6</v>
      </c>
      <c r="D64" s="275">
        <v>9.6</v>
      </c>
      <c r="E64" s="542" t="str">
        <f t="shared" si="3"/>
        <v/>
      </c>
      <c r="F64" s="162" t="str">
        <f t="shared" si="4"/>
        <v>оплачено</v>
      </c>
      <c r="G64" s="162"/>
      <c r="H64" s="43"/>
      <c r="I64" s="1"/>
      <c r="J64" s="366"/>
      <c r="K64" s="1"/>
      <c r="L64" s="1"/>
      <c r="M64" s="44"/>
      <c r="N64" s="1"/>
    </row>
    <row r="65" spans="1:21">
      <c r="A65" s="325">
        <v>43929</v>
      </c>
      <c r="B65" s="161" t="s">
        <v>291</v>
      </c>
      <c r="C65" s="275">
        <v>95.7</v>
      </c>
      <c r="D65" s="275">
        <v>95.7</v>
      </c>
      <c r="E65" s="542" t="str">
        <f t="shared" si="3"/>
        <v/>
      </c>
      <c r="F65" s="162" t="str">
        <f t="shared" si="4"/>
        <v>оплачено</v>
      </c>
      <c r="G65" s="162"/>
      <c r="H65" s="43"/>
      <c r="I65" s="1"/>
      <c r="J65" s="366"/>
      <c r="K65" s="1"/>
      <c r="L65" s="1"/>
      <c r="M65" s="44"/>
      <c r="N65" s="1"/>
    </row>
    <row r="66" spans="1:21">
      <c r="A66" s="325">
        <v>43929</v>
      </c>
      <c r="B66" s="161" t="s">
        <v>291</v>
      </c>
      <c r="C66" s="275">
        <v>287.10000000000002</v>
      </c>
      <c r="D66" s="275">
        <v>287.10000000000002</v>
      </c>
      <c r="E66" s="542" t="str">
        <f t="shared" si="3"/>
        <v/>
      </c>
      <c r="F66" s="162" t="str">
        <f t="shared" si="4"/>
        <v>оплачено</v>
      </c>
      <c r="G66" s="162"/>
      <c r="H66" s="43"/>
      <c r="I66" s="1"/>
      <c r="J66" s="366"/>
      <c r="K66" s="1"/>
      <c r="L66" s="1"/>
      <c r="M66" s="44"/>
      <c r="N66" s="1"/>
      <c r="O66" s="366"/>
    </row>
    <row r="67" spans="1:21">
      <c r="A67" s="325">
        <v>43945</v>
      </c>
      <c r="B67" s="161" t="s">
        <v>222</v>
      </c>
      <c r="C67" s="275">
        <v>339.09</v>
      </c>
      <c r="D67" s="275">
        <v>339.09</v>
      </c>
      <c r="E67" s="542" t="str">
        <f t="shared" si="3"/>
        <v/>
      </c>
      <c r="F67" s="162" t="str">
        <f t="shared" si="4"/>
        <v>оплачено</v>
      </c>
      <c r="G67" s="162"/>
      <c r="H67" s="43"/>
      <c r="I67" s="1"/>
      <c r="J67" s="366"/>
      <c r="K67" s="1"/>
      <c r="L67" s="1"/>
      <c r="M67" s="44"/>
      <c r="N67" s="1"/>
      <c r="O67" s="366"/>
      <c r="P67" s="1"/>
    </row>
    <row r="68" spans="1:21" s="86" customFormat="1">
      <c r="A68" s="325">
        <v>43943</v>
      </c>
      <c r="B68" s="161" t="s">
        <v>291</v>
      </c>
      <c r="C68" s="275">
        <v>476.06</v>
      </c>
      <c r="D68" s="275">
        <v>476.06</v>
      </c>
      <c r="E68" s="634" t="str">
        <f t="shared" si="3"/>
        <v/>
      </c>
      <c r="F68" s="161" t="str">
        <f t="shared" si="4"/>
        <v>оплачено</v>
      </c>
      <c r="G68" s="162"/>
      <c r="H68" s="340"/>
      <c r="I68" s="366"/>
      <c r="J68" s="366"/>
      <c r="K68" s="366"/>
      <c r="L68" s="366"/>
      <c r="M68" s="314"/>
      <c r="N68" s="366"/>
      <c r="O68" s="84"/>
      <c r="P68" s="1"/>
      <c r="Q68" s="35"/>
      <c r="T68" s="35"/>
      <c r="U68" s="35"/>
    </row>
    <row r="69" spans="1:21">
      <c r="A69" s="325">
        <v>43942</v>
      </c>
      <c r="B69" s="161" t="s">
        <v>239</v>
      </c>
      <c r="C69" s="275">
        <v>264.5</v>
      </c>
      <c r="D69" s="275">
        <v>264.5</v>
      </c>
      <c r="E69" s="542" t="str">
        <f t="shared" si="3"/>
        <v/>
      </c>
      <c r="F69" s="162" t="str">
        <f t="shared" si="4"/>
        <v>оплачено</v>
      </c>
      <c r="G69" s="162"/>
      <c r="H69" s="43"/>
      <c r="I69" s="1"/>
      <c r="J69" s="366"/>
      <c r="K69" s="1"/>
      <c r="L69" s="1"/>
      <c r="M69" s="44"/>
      <c r="N69" s="1"/>
      <c r="O69" s="366"/>
      <c r="P69" s="366"/>
      <c r="T69" s="86"/>
    </row>
    <row r="70" spans="1:21">
      <c r="A70" s="325">
        <v>43935</v>
      </c>
      <c r="B70" s="161" t="s">
        <v>301</v>
      </c>
      <c r="C70" s="275">
        <v>1061.17</v>
      </c>
      <c r="D70" s="275">
        <v>1061.17</v>
      </c>
      <c r="E70" s="542" t="str">
        <f t="shared" si="3"/>
        <v/>
      </c>
      <c r="F70" s="162" t="str">
        <f t="shared" si="4"/>
        <v>оплачено</v>
      </c>
      <c r="G70" s="162"/>
      <c r="H70" s="43"/>
      <c r="I70" s="1"/>
      <c r="J70" s="366"/>
      <c r="K70" s="1"/>
      <c r="L70" s="1"/>
      <c r="M70" s="44"/>
      <c r="N70" s="1"/>
      <c r="O70" s="366"/>
      <c r="P70" s="150"/>
    </row>
    <row r="71" spans="1:21">
      <c r="A71" s="325">
        <v>43941</v>
      </c>
      <c r="B71" s="161" t="s">
        <v>301</v>
      </c>
      <c r="C71" s="275">
        <v>521.41</v>
      </c>
      <c r="D71" s="275">
        <v>521.41</v>
      </c>
      <c r="E71" s="542" t="str">
        <f t="shared" si="3"/>
        <v/>
      </c>
      <c r="F71" s="162" t="str">
        <f t="shared" si="4"/>
        <v>оплачено</v>
      </c>
      <c r="G71" s="162"/>
      <c r="H71" s="43"/>
      <c r="I71" s="1"/>
      <c r="J71" s="366"/>
      <c r="K71" s="1"/>
      <c r="L71" s="1"/>
      <c r="M71" s="44"/>
      <c r="N71" s="1"/>
      <c r="O71" s="366"/>
      <c r="P71" s="1"/>
    </row>
    <row r="72" spans="1:21">
      <c r="A72" s="325">
        <v>43942</v>
      </c>
      <c r="B72" s="161" t="s">
        <v>205</v>
      </c>
      <c r="C72" s="275">
        <v>134.16</v>
      </c>
      <c r="D72" s="275">
        <v>134.16</v>
      </c>
      <c r="E72" s="542" t="str">
        <f t="shared" si="3"/>
        <v/>
      </c>
      <c r="F72" s="162" t="str">
        <f t="shared" si="4"/>
        <v>оплачено</v>
      </c>
      <c r="G72" s="162"/>
      <c r="H72" s="43"/>
      <c r="I72" s="1"/>
      <c r="J72" s="366"/>
      <c r="K72" s="1"/>
      <c r="L72" s="1"/>
      <c r="M72" s="44"/>
      <c r="N72" s="1"/>
      <c r="O72" s="366"/>
      <c r="P72" s="1"/>
      <c r="Q72" s="86"/>
    </row>
    <row r="73" spans="1:21">
      <c r="A73" s="325">
        <v>43941</v>
      </c>
      <c r="B73" s="161" t="s">
        <v>255</v>
      </c>
      <c r="C73" s="275">
        <v>566.75</v>
      </c>
      <c r="D73" s="275">
        <v>566.75</v>
      </c>
      <c r="E73" s="542" t="str">
        <f t="shared" si="3"/>
        <v/>
      </c>
      <c r="F73" s="162" t="str">
        <f t="shared" si="4"/>
        <v>оплачено</v>
      </c>
      <c r="G73" s="162"/>
      <c r="H73" s="43"/>
      <c r="I73" s="1"/>
      <c r="J73" s="366"/>
      <c r="K73" s="1"/>
      <c r="L73" s="1"/>
      <c r="M73" s="44"/>
      <c r="N73" s="1"/>
      <c r="O73" s="366"/>
      <c r="P73" s="84"/>
    </row>
    <row r="74" spans="1:21" ht="15.75" thickBot="1">
      <c r="A74" s="1272" t="s">
        <v>259</v>
      </c>
      <c r="B74" s="1273"/>
      <c r="C74" s="358">
        <f>SUM(C58:C73)</f>
        <v>5715.5499999999993</v>
      </c>
      <c r="D74" s="358"/>
      <c r="E74" s="542">
        <f>SUM(E67:E73)</f>
        <v>0</v>
      </c>
      <c r="F74" s="162"/>
      <c r="G74" s="450"/>
      <c r="H74" s="43"/>
      <c r="I74" s="1"/>
      <c r="J74" s="366"/>
      <c r="K74" s="1"/>
      <c r="L74" s="1"/>
      <c r="M74" s="44"/>
      <c r="N74" s="1"/>
      <c r="O74" s="366"/>
      <c r="P74" s="84"/>
      <c r="U74" s="86"/>
    </row>
    <row r="75" spans="1:21" ht="15.75" thickTop="1">
      <c r="A75" s="351"/>
      <c r="B75" s="352"/>
      <c r="C75" s="353"/>
      <c r="D75" s="353"/>
      <c r="E75" s="354"/>
      <c r="F75" s="352"/>
      <c r="G75" s="376"/>
      <c r="H75" s="1171" t="s">
        <v>16</v>
      </c>
      <c r="I75" s="1173" t="s">
        <v>17</v>
      </c>
      <c r="J75" s="1173" t="s">
        <v>21</v>
      </c>
      <c r="K75" s="1173"/>
      <c r="L75" s="1175" t="s">
        <v>93</v>
      </c>
      <c r="M75" s="1177" t="s">
        <v>95</v>
      </c>
      <c r="N75" s="1"/>
      <c r="O75" s="366"/>
      <c r="P75" s="84"/>
    </row>
    <row r="76" spans="1:21" ht="24">
      <c r="A76" s="355"/>
      <c r="B76" s="201"/>
      <c r="C76" s="201"/>
      <c r="D76" s="201"/>
      <c r="E76" s="216"/>
      <c r="F76" s="201"/>
      <c r="G76" s="201"/>
      <c r="H76" s="1172"/>
      <c r="I76" s="1174"/>
      <c r="J76" s="551" t="s">
        <v>21</v>
      </c>
      <c r="K76" s="551" t="s">
        <v>25</v>
      </c>
      <c r="L76" s="1176"/>
      <c r="M76" s="1178"/>
      <c r="N76" s="1"/>
      <c r="O76" s="366"/>
      <c r="P76" s="439"/>
    </row>
    <row r="77" spans="1:21">
      <c r="A77" s="338"/>
      <c r="B77" s="199"/>
      <c r="C77" s="288"/>
      <c r="D77" s="232"/>
      <c r="E77" s="84"/>
      <c r="F77" s="199"/>
      <c r="G77" s="199"/>
      <c r="H77" s="347" t="s">
        <v>163</v>
      </c>
      <c r="I77" s="94">
        <v>2420.3999999999996</v>
      </c>
      <c r="J77" s="94">
        <v>115.5</v>
      </c>
      <c r="K77" s="553">
        <v>132.61000000000001</v>
      </c>
      <c r="L77" s="96">
        <v>22665.5</v>
      </c>
      <c r="M77" s="104">
        <f>L77-I77-J77-K77</f>
        <v>19996.989999999998</v>
      </c>
      <c r="N77" s="1"/>
      <c r="O77" s="448"/>
      <c r="P77" s="439"/>
      <c r="R77" s="86"/>
    </row>
    <row r="78" spans="1:21">
      <c r="A78" s="339"/>
      <c r="B78" s="199"/>
      <c r="C78" s="199"/>
      <c r="D78" s="273"/>
      <c r="E78" s="366"/>
      <c r="F78" s="84"/>
      <c r="G78" s="366"/>
      <c r="H78" s="347" t="s">
        <v>192</v>
      </c>
      <c r="I78" s="94">
        <v>7629.69</v>
      </c>
      <c r="J78" s="94">
        <v>352.29</v>
      </c>
      <c r="K78" s="94">
        <v>193.85000000000002</v>
      </c>
      <c r="L78" s="96">
        <v>10342</v>
      </c>
      <c r="M78" s="104">
        <f>M77-I78-J78-K78+L78</f>
        <v>22163.159999999996</v>
      </c>
      <c r="N78" s="1"/>
      <c r="O78" s="448"/>
      <c r="P78" s="436"/>
      <c r="R78" s="86"/>
    </row>
    <row r="79" spans="1:21">
      <c r="A79" s="339"/>
      <c r="B79" s="366"/>
      <c r="C79" s="199"/>
      <c r="D79" s="273"/>
      <c r="E79" s="366"/>
      <c r="F79" s="366"/>
      <c r="G79" s="366"/>
      <c r="H79" s="347" t="s">
        <v>199</v>
      </c>
      <c r="I79" s="298">
        <v>8423.6400000000012</v>
      </c>
      <c r="J79" s="94">
        <v>921.3</v>
      </c>
      <c r="K79" s="299">
        <v>312.46000000000004</v>
      </c>
      <c r="L79" s="299">
        <v>16668</v>
      </c>
      <c r="M79" s="104">
        <f>M78-I79-J79-K79+L79</f>
        <v>29173.759999999995</v>
      </c>
      <c r="N79" s="1"/>
      <c r="O79" s="448"/>
      <c r="P79" s="436"/>
      <c r="R79" s="86"/>
    </row>
    <row r="80" spans="1:21">
      <c r="A80" s="339"/>
      <c r="B80" s="1"/>
      <c r="C80" s="284"/>
      <c r="D80" s="273"/>
      <c r="E80" s="366"/>
      <c r="F80" s="366"/>
      <c r="G80" s="84"/>
      <c r="H80" s="347" t="s">
        <v>209</v>
      </c>
      <c r="I80" s="299">
        <v>8639.7199999999993</v>
      </c>
      <c r="J80" s="300">
        <v>749.49</v>
      </c>
      <c r="K80" s="526">
        <v>435.1</v>
      </c>
      <c r="L80" s="299">
        <v>17824.919999999998</v>
      </c>
      <c r="M80" s="104">
        <f>M79-I80-J80-K80+L80</f>
        <v>37174.369999999995</v>
      </c>
      <c r="N80" s="92" t="s">
        <v>284</v>
      </c>
      <c r="O80" s="619"/>
      <c r="P80" s="437"/>
      <c r="R80" s="86"/>
    </row>
    <row r="81" spans="1:26">
      <c r="A81" s="339"/>
      <c r="B81" s="199"/>
      <c r="C81" s="1"/>
      <c r="D81" s="273"/>
      <c r="E81" s="366"/>
      <c r="F81" s="366"/>
      <c r="G81" s="366"/>
      <c r="H81" s="348" t="s">
        <v>210</v>
      </c>
      <c r="I81" s="300">
        <v>12605.26</v>
      </c>
      <c r="J81" s="299">
        <v>600.5</v>
      </c>
      <c r="K81" s="300">
        <v>491.64</v>
      </c>
      <c r="L81" s="299">
        <v>15183.9</v>
      </c>
      <c r="M81" s="104">
        <v>41129.589999999997</v>
      </c>
      <c r="N81" s="618">
        <v>38660.869999999995</v>
      </c>
      <c r="O81" s="145" t="s">
        <v>285</v>
      </c>
      <c r="P81" s="620">
        <f>M81-N81</f>
        <v>2468.7200000000012</v>
      </c>
      <c r="Q81" s="86"/>
      <c r="R81" s="86"/>
    </row>
    <row r="82" spans="1:26" ht="15.75" thickBot="1">
      <c r="A82" s="339"/>
      <c r="B82" s="199"/>
      <c r="C82" s="1"/>
      <c r="D82" s="273"/>
      <c r="E82" s="366"/>
      <c r="F82" s="366"/>
      <c r="G82" s="366"/>
      <c r="H82" s="379" t="s">
        <v>211</v>
      </c>
      <c r="I82" s="621">
        <v>11425.189999999999</v>
      </c>
      <c r="J82" s="432">
        <v>232.2</v>
      </c>
      <c r="K82" s="648">
        <v>262</v>
      </c>
      <c r="L82" s="433">
        <v>11864.4</v>
      </c>
      <c r="M82" s="104">
        <f>M81-I82-J82-K82+L82</f>
        <v>41074.6</v>
      </c>
      <c r="N82" s="1"/>
      <c r="O82" s="366"/>
      <c r="P82" s="437"/>
      <c r="Q82" s="86"/>
      <c r="R82" s="86"/>
      <c r="V82" s="1"/>
    </row>
    <row r="83" spans="1:26" ht="15.75" thickTop="1">
      <c r="A83" s="339"/>
      <c r="B83" s="199"/>
      <c r="C83" s="1"/>
      <c r="D83" s="273"/>
      <c r="E83" s="84"/>
      <c r="F83" s="366"/>
      <c r="G83" s="366"/>
      <c r="H83" s="1148" t="s">
        <v>36</v>
      </c>
      <c r="I83" s="1150" t="s">
        <v>178</v>
      </c>
      <c r="J83" s="1151"/>
      <c r="K83" s="1152"/>
      <c r="L83" s="1156" t="s">
        <v>159</v>
      </c>
      <c r="M83" s="1157"/>
      <c r="N83" s="1"/>
      <c r="O83" s="366"/>
      <c r="P83" s="646"/>
      <c r="Q83" s="86"/>
      <c r="R83" s="86"/>
      <c r="V83" s="1"/>
    </row>
    <row r="84" spans="1:26">
      <c r="A84" s="339"/>
      <c r="B84" s="199"/>
      <c r="C84" s="284"/>
      <c r="D84" s="273"/>
      <c r="E84" s="284"/>
      <c r="F84" s="366"/>
      <c r="G84" s="378"/>
      <c r="H84" s="1149"/>
      <c r="I84" s="1153"/>
      <c r="J84" s="1154"/>
      <c r="K84" s="1155"/>
      <c r="L84" s="1158"/>
      <c r="M84" s="1159"/>
      <c r="N84" s="1"/>
      <c r="O84" s="366"/>
      <c r="P84" s="646"/>
      <c r="Q84" s="86"/>
      <c r="R84" s="366"/>
      <c r="S84" s="1"/>
      <c r="V84" s="1"/>
      <c r="W84" s="1"/>
      <c r="X84" s="1"/>
      <c r="Y84" s="1"/>
    </row>
    <row r="85" spans="1:26">
      <c r="A85" s="339"/>
      <c r="B85" s="199"/>
      <c r="C85" s="199"/>
      <c r="D85" s="273"/>
      <c r="E85" s="199"/>
      <c r="F85" s="366"/>
      <c r="G85" s="378"/>
      <c r="H85" s="512" t="s">
        <v>250</v>
      </c>
      <c r="I85" s="1160" t="s">
        <v>47</v>
      </c>
      <c r="J85" s="1160"/>
      <c r="K85" s="638">
        <v>131.25</v>
      </c>
      <c r="L85" s="282">
        <v>43936</v>
      </c>
      <c r="M85" s="44" t="s">
        <v>247</v>
      </c>
      <c r="P85" s="646"/>
      <c r="R85" s="366"/>
      <c r="S85" s="1"/>
      <c r="T85" s="1"/>
      <c r="V85" s="282"/>
      <c r="W85" s="1"/>
      <c r="X85" s="1"/>
      <c r="Y85" s="1"/>
    </row>
    <row r="86" spans="1:26">
      <c r="A86" s="339"/>
      <c r="B86" s="366"/>
      <c r="C86" s="274"/>
      <c r="D86" s="273"/>
      <c r="E86" s="274"/>
      <c r="F86" s="366"/>
      <c r="G86" s="366"/>
      <c r="H86" s="512" t="s">
        <v>250</v>
      </c>
      <c r="I86" s="1161" t="s">
        <v>51</v>
      </c>
      <c r="J86" s="1161"/>
      <c r="K86" s="639">
        <v>21.35</v>
      </c>
      <c r="L86" s="282">
        <v>43936</v>
      </c>
      <c r="M86" s="44" t="s">
        <v>247</v>
      </c>
      <c r="P86" s="646"/>
      <c r="Q86" s="86"/>
      <c r="R86" s="86"/>
      <c r="S86" s="1"/>
      <c r="T86" s="1"/>
      <c r="V86" s="282"/>
      <c r="W86" s="1"/>
      <c r="X86" s="1"/>
      <c r="Y86" s="1"/>
    </row>
    <row r="87" spans="1:26">
      <c r="A87" s="340"/>
      <c r="B87" s="366"/>
      <c r="C87" s="366"/>
      <c r="D87" s="273"/>
      <c r="E87" s="199"/>
      <c r="F87" s="366"/>
      <c r="G87" s="366"/>
      <c r="H87" s="512" t="s">
        <v>250</v>
      </c>
      <c r="I87" s="1161" t="s">
        <v>52</v>
      </c>
      <c r="J87" s="1161"/>
      <c r="K87" s="639">
        <v>2.25</v>
      </c>
      <c r="L87" s="282">
        <v>43936</v>
      </c>
      <c r="M87" s="44" t="s">
        <v>247</v>
      </c>
      <c r="P87" s="646"/>
      <c r="Q87" s="86"/>
      <c r="R87" s="554"/>
      <c r="S87" s="1"/>
      <c r="T87" s="1"/>
      <c r="V87" s="282"/>
      <c r="W87" s="282"/>
      <c r="X87" s="282"/>
      <c r="Y87" s="1"/>
      <c r="Z87" s="1"/>
    </row>
    <row r="88" spans="1:26">
      <c r="A88" s="340"/>
      <c r="B88" s="366"/>
      <c r="C88" s="366"/>
      <c r="D88" s="273"/>
      <c r="E88" s="366"/>
      <c r="F88" s="366"/>
      <c r="G88" s="366"/>
      <c r="H88" s="512" t="s">
        <v>250</v>
      </c>
      <c r="I88" s="1161" t="s">
        <v>49</v>
      </c>
      <c r="J88" s="1161"/>
      <c r="K88" s="639">
        <v>89</v>
      </c>
      <c r="L88" s="282">
        <v>43941</v>
      </c>
      <c r="M88" s="44" t="s">
        <v>295</v>
      </c>
      <c r="O88" s="150"/>
      <c r="P88" s="646"/>
      <c r="Q88" s="366"/>
      <c r="S88" s="1"/>
      <c r="T88" s="282"/>
      <c r="U88" s="1"/>
      <c r="V88" s="282"/>
      <c r="W88" s="282"/>
      <c r="X88" s="282"/>
      <c r="Y88" s="1"/>
      <c r="Z88" s="1"/>
    </row>
    <row r="89" spans="1:26">
      <c r="A89" s="340"/>
      <c r="B89" s="366"/>
      <c r="C89" s="366"/>
      <c r="D89" s="273"/>
      <c r="E89" s="366"/>
      <c r="F89" s="366"/>
      <c r="G89" s="366"/>
      <c r="H89" s="512" t="s">
        <v>250</v>
      </c>
      <c r="I89" s="1276" t="s">
        <v>59</v>
      </c>
      <c r="J89" s="1276"/>
      <c r="K89" s="456">
        <v>387.7</v>
      </c>
      <c r="L89" s="302" t="s">
        <v>177</v>
      </c>
      <c r="M89" s="44" t="s">
        <v>247</v>
      </c>
      <c r="O89" s="150"/>
      <c r="P89" s="646"/>
      <c r="Q89" s="479"/>
      <c r="R89" s="554"/>
      <c r="S89" s="1"/>
      <c r="T89" s="282"/>
      <c r="U89" s="1"/>
      <c r="V89" s="1"/>
      <c r="W89" s="282"/>
      <c r="X89" s="282"/>
      <c r="Y89" s="1"/>
      <c r="Z89" s="1"/>
    </row>
    <row r="90" spans="1:26">
      <c r="A90" s="340"/>
      <c r="B90" s="199"/>
      <c r="C90" s="199"/>
      <c r="D90" s="273"/>
      <c r="E90" s="199"/>
      <c r="F90" s="366"/>
      <c r="G90" s="366"/>
      <c r="H90" s="512" t="s">
        <v>250</v>
      </c>
      <c r="I90" s="1264" t="s">
        <v>68</v>
      </c>
      <c r="J90" s="1265"/>
      <c r="K90" s="639">
        <v>57.65</v>
      </c>
      <c r="L90" s="282">
        <v>43941</v>
      </c>
      <c r="M90" s="44" t="s">
        <v>247</v>
      </c>
      <c r="P90" s="647"/>
      <c r="Q90" s="86"/>
      <c r="R90" s="554"/>
      <c r="S90" s="1"/>
      <c r="T90" s="282"/>
      <c r="U90" s="1"/>
      <c r="V90" s="282"/>
      <c r="W90" s="282"/>
      <c r="X90" s="282"/>
      <c r="Y90" s="1"/>
      <c r="Z90" s="1"/>
    </row>
    <row r="91" spans="1:26">
      <c r="A91" s="340"/>
      <c r="B91" s="199"/>
      <c r="C91" s="366"/>
      <c r="D91" s="273"/>
      <c r="E91" s="199"/>
      <c r="F91" s="366"/>
      <c r="G91" s="366"/>
      <c r="H91" s="512" t="s">
        <v>250</v>
      </c>
      <c r="I91" s="1143" t="s">
        <v>174</v>
      </c>
      <c r="J91" s="1144"/>
      <c r="K91" s="639">
        <v>257.08999999999997</v>
      </c>
      <c r="L91" s="282">
        <v>43936</v>
      </c>
      <c r="M91" s="44" t="s">
        <v>247</v>
      </c>
      <c r="O91" s="150"/>
      <c r="P91" s="647"/>
      <c r="R91" s="554"/>
      <c r="S91" s="1"/>
      <c r="T91" s="282"/>
      <c r="U91" s="282"/>
      <c r="V91" s="282"/>
      <c r="W91" s="1"/>
      <c r="X91" s="1"/>
      <c r="Y91" s="1"/>
      <c r="Z91" s="1"/>
    </row>
    <row r="92" spans="1:26">
      <c r="A92" s="340"/>
      <c r="B92" s="199"/>
      <c r="C92" s="366"/>
      <c r="D92" s="273"/>
      <c r="E92" s="199"/>
      <c r="F92" s="366"/>
      <c r="G92" s="366"/>
      <c r="H92" s="512" t="s">
        <v>258</v>
      </c>
      <c r="I92" s="548" t="s">
        <v>176</v>
      </c>
      <c r="J92" s="549"/>
      <c r="K92" s="639" t="s">
        <v>258</v>
      </c>
      <c r="L92" s="282">
        <v>43941</v>
      </c>
      <c r="M92" s="44" t="s">
        <v>247</v>
      </c>
      <c r="P92" s="647"/>
      <c r="R92" s="483"/>
      <c r="S92" s="1"/>
      <c r="T92" s="1"/>
      <c r="U92" s="282"/>
      <c r="V92" s="282"/>
      <c r="W92" s="282"/>
      <c r="X92" s="282"/>
      <c r="Y92" s="1"/>
      <c r="Z92" s="1"/>
    </row>
    <row r="93" spans="1:26">
      <c r="A93" s="340"/>
      <c r="B93" s="199"/>
      <c r="C93" s="366"/>
      <c r="D93" s="273"/>
      <c r="E93" s="232"/>
      <c r="F93" s="366"/>
      <c r="G93" s="366"/>
      <c r="H93" s="512" t="s">
        <v>250</v>
      </c>
      <c r="I93" s="1143" t="s">
        <v>81</v>
      </c>
      <c r="J93" s="1144"/>
      <c r="K93" s="639">
        <v>616.88</v>
      </c>
      <c r="L93" s="282">
        <v>43931</v>
      </c>
      <c r="M93" s="44" t="s">
        <v>247</v>
      </c>
      <c r="P93" s="647"/>
      <c r="Q93" s="483"/>
      <c r="R93" s="365"/>
      <c r="S93" s="1"/>
      <c r="T93" s="282"/>
      <c r="U93" s="282"/>
      <c r="V93" s="282"/>
      <c r="W93" s="282"/>
      <c r="X93" s="282"/>
      <c r="Y93" s="366"/>
      <c r="Z93" s="1"/>
    </row>
    <row r="94" spans="1:26">
      <c r="A94" s="340"/>
      <c r="B94" s="199"/>
      <c r="C94" s="366"/>
      <c r="D94" s="273"/>
      <c r="E94" s="232"/>
      <c r="F94" s="366"/>
      <c r="G94" s="366"/>
      <c r="H94" s="512" t="s">
        <v>297</v>
      </c>
      <c r="I94" s="1143" t="s">
        <v>53</v>
      </c>
      <c r="J94" s="1144"/>
      <c r="K94" s="454">
        <v>10</v>
      </c>
      <c r="L94" s="282">
        <v>43936</v>
      </c>
      <c r="M94" s="44" t="s">
        <v>247</v>
      </c>
      <c r="P94" s="647"/>
      <c r="Q94" s="554"/>
      <c r="R94" s="86"/>
      <c r="S94" s="1"/>
      <c r="T94" s="282"/>
      <c r="U94" s="282"/>
      <c r="V94" s="282"/>
      <c r="W94" s="282"/>
      <c r="X94" s="282"/>
      <c r="Y94" s="366"/>
      <c r="Z94" s="1"/>
    </row>
    <row r="95" spans="1:26">
      <c r="A95" s="340"/>
      <c r="B95" s="199"/>
      <c r="C95" s="366"/>
      <c r="D95" s="273"/>
      <c r="E95" s="232"/>
      <c r="F95" s="366"/>
      <c r="G95" s="366"/>
      <c r="H95" s="512" t="s">
        <v>250</v>
      </c>
      <c r="I95" s="1277" t="s">
        <v>61</v>
      </c>
      <c r="J95" s="1277"/>
      <c r="K95" s="637">
        <f>K58</f>
        <v>0</v>
      </c>
      <c r="L95" s="282">
        <v>43941</v>
      </c>
      <c r="M95" s="44" t="s">
        <v>247</v>
      </c>
      <c r="P95" s="646"/>
      <c r="Q95" s="554"/>
      <c r="S95" s="366"/>
      <c r="T95" s="282"/>
      <c r="U95" s="1"/>
      <c r="V95" s="282"/>
      <c r="W95" s="282"/>
      <c r="X95" s="282"/>
      <c r="Y95" s="1"/>
      <c r="Z95" s="1"/>
    </row>
    <row r="96" spans="1:26">
      <c r="A96" s="340"/>
      <c r="B96" s="199"/>
      <c r="C96" s="366"/>
      <c r="D96" s="273"/>
      <c r="E96" s="232"/>
      <c r="F96" s="366"/>
      <c r="G96" s="366"/>
      <c r="H96" s="350"/>
      <c r="I96" s="1145" t="s">
        <v>276</v>
      </c>
      <c r="J96" s="1145"/>
      <c r="K96" s="637">
        <v>100</v>
      </c>
      <c r="L96" s="282">
        <v>43951</v>
      </c>
      <c r="M96" s="44" t="s">
        <v>247</v>
      </c>
      <c r="P96" s="647"/>
      <c r="Q96" s="554"/>
      <c r="S96" s="366"/>
      <c r="T96" s="282"/>
      <c r="U96" s="282"/>
      <c r="V96" s="282"/>
      <c r="W96" s="282"/>
      <c r="X96" s="282"/>
      <c r="Y96" s="1"/>
      <c r="Z96" s="1"/>
    </row>
    <row r="97" spans="1:26">
      <c r="A97" s="340"/>
      <c r="B97" s="199"/>
      <c r="C97" s="366"/>
      <c r="D97" s="273"/>
      <c r="E97" s="232"/>
      <c r="F97" s="366"/>
      <c r="G97" s="366"/>
      <c r="H97" s="512" t="s">
        <v>250</v>
      </c>
      <c r="I97" s="1145" t="s">
        <v>296</v>
      </c>
      <c r="J97" s="1145"/>
      <c r="K97" s="637">
        <v>3.78</v>
      </c>
      <c r="L97" s="282">
        <v>43936</v>
      </c>
      <c r="M97" s="44" t="s">
        <v>247</v>
      </c>
      <c r="P97" s="647"/>
      <c r="Q97" s="366"/>
      <c r="S97" s="366"/>
      <c r="T97" s="282"/>
      <c r="U97" s="282"/>
      <c r="V97" s="282"/>
      <c r="W97" s="282"/>
      <c r="X97" s="282"/>
      <c r="Y97" s="1"/>
      <c r="Z97" s="1"/>
    </row>
    <row r="98" spans="1:26" ht="15.75" thickBot="1">
      <c r="A98" s="341"/>
      <c r="B98" s="330"/>
      <c r="C98" s="331"/>
      <c r="D98" s="342"/>
      <c r="E98" s="330"/>
      <c r="F98" s="331"/>
      <c r="G98" s="331"/>
      <c r="H98" s="1280" t="s">
        <v>179</v>
      </c>
      <c r="I98" s="1281"/>
      <c r="J98" s="361">
        <f>SUM(K85:K96)</f>
        <v>1673.17</v>
      </c>
      <c r="K98" s="1146" t="s">
        <v>180</v>
      </c>
      <c r="L98" s="1146"/>
      <c r="M98" s="514">
        <f>SUM(K85:K97)</f>
        <v>1676.95</v>
      </c>
      <c r="P98" s="647"/>
      <c r="Q98" s="86"/>
      <c r="R98" s="365"/>
      <c r="S98" s="366"/>
      <c r="T98" s="282"/>
      <c r="U98" s="282"/>
      <c r="V98" s="1"/>
      <c r="W98" s="282"/>
      <c r="X98" s="282"/>
      <c r="Y98" s="1"/>
      <c r="Z98" s="1"/>
    </row>
    <row r="99" spans="1:26" ht="15.75" thickTop="1">
      <c r="C99" s="491"/>
      <c r="D99" s="491"/>
      <c r="P99" s="647"/>
      <c r="R99" s="365"/>
      <c r="S99" s="366"/>
      <c r="T99" s="282"/>
      <c r="U99" s="282"/>
      <c r="V99" s="1"/>
      <c r="W99" s="282"/>
      <c r="X99" s="282"/>
      <c r="Y99" s="1"/>
      <c r="Z99" s="1"/>
    </row>
    <row r="100" spans="1:26">
      <c r="C100" s="446"/>
      <c r="P100" s="647"/>
      <c r="R100" s="1"/>
      <c r="S100" s="1"/>
      <c r="T100" s="282"/>
      <c r="U100" s="282"/>
      <c r="V100" s="1"/>
      <c r="W100" s="1"/>
      <c r="X100" s="1"/>
      <c r="Y100" s="1"/>
      <c r="Z100" s="1"/>
    </row>
    <row r="101" spans="1:26">
      <c r="C101" s="446"/>
      <c r="P101" s="647"/>
      <c r="R101" s="1"/>
      <c r="S101" s="1"/>
      <c r="T101" s="1"/>
      <c r="U101" s="282"/>
      <c r="V101" s="1"/>
      <c r="W101" s="1"/>
      <c r="X101" s="1"/>
      <c r="Y101" s="1"/>
      <c r="Z101" s="1"/>
    </row>
    <row r="102" spans="1:26">
      <c r="C102" s="446"/>
      <c r="E102" s="86"/>
      <c r="P102" s="647"/>
      <c r="Q102" s="365"/>
      <c r="R102" s="1"/>
      <c r="S102" s="1"/>
      <c r="T102" s="1"/>
      <c r="U102" s="282"/>
      <c r="V102" s="1"/>
      <c r="W102" s="1"/>
      <c r="X102" s="1"/>
      <c r="Y102" s="1"/>
      <c r="Z102" s="1"/>
    </row>
    <row r="103" spans="1:26">
      <c r="C103" s="446"/>
      <c r="P103" s="647"/>
      <c r="Q103" s="489"/>
      <c r="R103" s="1"/>
      <c r="S103" s="1"/>
      <c r="T103" s="1"/>
      <c r="U103" s="282"/>
      <c r="V103" s="1"/>
      <c r="W103" s="1"/>
      <c r="X103" s="1"/>
      <c r="Y103" s="1"/>
      <c r="Z103" s="1"/>
    </row>
    <row r="104" spans="1:26">
      <c r="C104" s="446"/>
      <c r="K104" s="490"/>
      <c r="P104" s="647"/>
      <c r="Q104" s="1"/>
      <c r="R104" s="1"/>
      <c r="S104" s="1"/>
      <c r="T104" s="1"/>
      <c r="U104" s="1"/>
      <c r="W104" s="1"/>
      <c r="X104" s="1"/>
      <c r="Y104" s="1"/>
      <c r="Z104" s="1"/>
    </row>
    <row r="105" spans="1:26">
      <c r="C105" s="446"/>
      <c r="P105" s="647"/>
      <c r="Q105" s="1"/>
      <c r="R105" s="1"/>
      <c r="S105" s="1"/>
      <c r="T105" s="1"/>
      <c r="U105" s="1"/>
      <c r="W105" s="1"/>
      <c r="X105" s="1"/>
      <c r="Y105" s="1"/>
      <c r="Z105" s="1"/>
    </row>
    <row r="106" spans="1:26">
      <c r="C106" s="446"/>
      <c r="M106" s="490"/>
      <c r="P106" s="647"/>
      <c r="T106" s="1"/>
      <c r="U106" s="1"/>
      <c r="Z106" s="1"/>
    </row>
    <row r="107" spans="1:26">
      <c r="C107" s="446"/>
      <c r="P107" s="647"/>
      <c r="Q107" s="1"/>
      <c r="U107" s="1"/>
      <c r="Z107" s="1"/>
    </row>
    <row r="108" spans="1:26">
      <c r="C108" s="446"/>
      <c r="M108" s="1"/>
      <c r="P108" s="619"/>
      <c r="Q108" s="1"/>
      <c r="U108" s="1"/>
      <c r="Z108" s="1"/>
    </row>
    <row r="109" spans="1:26">
      <c r="C109" s="446"/>
      <c r="M109" s="1"/>
      <c r="P109" s="448"/>
      <c r="Q109" s="1"/>
      <c r="U109" s="1"/>
    </row>
    <row r="110" spans="1:26">
      <c r="C110" s="446"/>
      <c r="M110" s="1"/>
      <c r="P110" s="448"/>
    </row>
    <row r="111" spans="1:26">
      <c r="C111" s="446"/>
      <c r="M111" s="366"/>
      <c r="P111" s="448"/>
    </row>
    <row r="112" spans="1:26">
      <c r="C112" s="446"/>
      <c r="M112" s="366"/>
      <c r="P112" s="448"/>
    </row>
    <row r="113" spans="3:16">
      <c r="C113" s="446"/>
      <c r="M113" s="1"/>
      <c r="P113" s="448"/>
    </row>
    <row r="114" spans="3:16">
      <c r="C114" s="446"/>
      <c r="M114" s="1"/>
      <c r="P114" s="448"/>
    </row>
    <row r="115" spans="3:16">
      <c r="C115" s="446"/>
      <c r="M115" s="1"/>
      <c r="P115" s="448"/>
    </row>
    <row r="116" spans="3:16">
      <c r="C116" s="446"/>
      <c r="M116" s="1"/>
      <c r="P116" s="448"/>
    </row>
    <row r="117" spans="3:16">
      <c r="C117" s="446"/>
      <c r="P117" s="448"/>
    </row>
    <row r="118" spans="3:16">
      <c r="C118" s="446"/>
      <c r="P118" s="448"/>
    </row>
    <row r="119" spans="3:16">
      <c r="C119" s="446"/>
      <c r="P119" s="448"/>
    </row>
    <row r="120" spans="3:16">
      <c r="C120" s="446"/>
      <c r="P120" s="448"/>
    </row>
    <row r="121" spans="3:16">
      <c r="C121" s="446"/>
      <c r="P121" s="448"/>
    </row>
    <row r="122" spans="3:16">
      <c r="C122" s="446"/>
      <c r="P122" s="448"/>
    </row>
    <row r="123" spans="3:16">
      <c r="C123" s="446"/>
      <c r="P123" s="448"/>
    </row>
    <row r="124" spans="3:16">
      <c r="C124" s="446"/>
      <c r="P124" s="448"/>
    </row>
    <row r="125" spans="3:16">
      <c r="C125" s="446"/>
      <c r="P125" s="448"/>
    </row>
    <row r="126" spans="3:16">
      <c r="C126" s="446"/>
      <c r="P126" s="448"/>
    </row>
    <row r="127" spans="3:16">
      <c r="C127" s="446"/>
      <c r="P127" s="448"/>
    </row>
    <row r="128" spans="3:16">
      <c r="C128" s="446"/>
    </row>
  </sheetData>
  <mergeCells count="61">
    <mergeCell ref="I97:J97"/>
    <mergeCell ref="H4:I4"/>
    <mergeCell ref="A1:M2"/>
    <mergeCell ref="A3:G3"/>
    <mergeCell ref="H3:M3"/>
    <mergeCell ref="I39:J39"/>
    <mergeCell ref="I37:J37"/>
    <mergeCell ref="I38:J38"/>
    <mergeCell ref="A54:M55"/>
    <mergeCell ref="I40:J40"/>
    <mergeCell ref="I41:J41"/>
    <mergeCell ref="I42:J42"/>
    <mergeCell ref="I45:J45"/>
    <mergeCell ref="I46:J46"/>
    <mergeCell ref="I47:J47"/>
    <mergeCell ref="I48:J48"/>
    <mergeCell ref="O2:Q2"/>
    <mergeCell ref="A21:B21"/>
    <mergeCell ref="H22:H23"/>
    <mergeCell ref="I22:I23"/>
    <mergeCell ref="J22:K22"/>
    <mergeCell ref="L22:L23"/>
    <mergeCell ref="H5:I5"/>
    <mergeCell ref="H6:I6"/>
    <mergeCell ref="AF7:AF8"/>
    <mergeCell ref="AG7:AG8"/>
    <mergeCell ref="M22:M23"/>
    <mergeCell ref="H35:H36"/>
    <mergeCell ref="I35:K36"/>
    <mergeCell ref="L35:M36"/>
    <mergeCell ref="I49:J49"/>
    <mergeCell ref="I50:J50"/>
    <mergeCell ref="K52:L52"/>
    <mergeCell ref="H53:K53"/>
    <mergeCell ref="I51:J51"/>
    <mergeCell ref="I86:J86"/>
    <mergeCell ref="I87:J87"/>
    <mergeCell ref="A56:G56"/>
    <mergeCell ref="H56:M56"/>
    <mergeCell ref="A74:B74"/>
    <mergeCell ref="H75:H76"/>
    <mergeCell ref="I75:I76"/>
    <mergeCell ref="J75:K75"/>
    <mergeCell ref="L75:L76"/>
    <mergeCell ref="M75:M76"/>
    <mergeCell ref="S2:U2"/>
    <mergeCell ref="I95:J95"/>
    <mergeCell ref="I96:J96"/>
    <mergeCell ref="K98:L98"/>
    <mergeCell ref="H52:I52"/>
    <mergeCell ref="H98:I98"/>
    <mergeCell ref="I88:J88"/>
    <mergeCell ref="I89:J89"/>
    <mergeCell ref="I90:J90"/>
    <mergeCell ref="I91:J91"/>
    <mergeCell ref="I93:J93"/>
    <mergeCell ref="I94:J94"/>
    <mergeCell ref="H83:H84"/>
    <mergeCell ref="I83:K84"/>
    <mergeCell ref="L83:M84"/>
    <mergeCell ref="I85:J85"/>
  </mergeCells>
  <printOptions horizontalCentered="1" verticalCentered="1"/>
  <pageMargins left="0.23622047244094491" right="0.23622047244094491" top="0.23622047244094491" bottom="0.23622047244094491" header="0.23622047244094491" footer="0.23622047244094491"/>
  <pageSetup paperSize="9"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6"/>
  <sheetViews>
    <sheetView zoomScale="130" zoomScaleNormal="130" zoomScaleSheetLayoutView="70" zoomScalePageLayoutView="70" workbookViewId="0">
      <pane xSplit="1" ySplit="1" topLeftCell="B38" activePane="bottomRight" state="frozen"/>
      <selection pane="topRight" activeCell="B1" sqref="B1"/>
      <selection pane="bottomLeft" activeCell="A4" sqref="A4"/>
      <selection pane="bottomRight" activeCell="J36" sqref="J36"/>
    </sheetView>
  </sheetViews>
  <sheetFormatPr defaultColWidth="9.140625" defaultRowHeight="15"/>
  <cols>
    <col min="1" max="1" width="9.42578125" style="35" customWidth="1"/>
    <col min="2" max="2" width="6" style="35" customWidth="1"/>
    <col min="3" max="3" width="12" style="35" customWidth="1"/>
    <col min="4" max="4" width="10.7109375" style="35" customWidth="1"/>
    <col min="5" max="5" width="7.7109375" style="35" customWidth="1"/>
    <col min="6" max="6" width="6.7109375" style="35" customWidth="1"/>
    <col min="7" max="7" width="13.7109375" style="35" customWidth="1"/>
    <col min="8" max="8" width="10.42578125" style="35" customWidth="1"/>
    <col min="9" max="9" width="9.140625" style="35" customWidth="1"/>
    <col min="10" max="11" width="9.140625" style="35"/>
    <col min="12" max="12" width="10" style="35" customWidth="1"/>
    <col min="13" max="16384" width="9.140625" style="35"/>
  </cols>
  <sheetData>
    <row r="1" spans="1:16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184</v>
      </c>
      <c r="H1" s="15" t="s">
        <v>191</v>
      </c>
      <c r="I1" s="463" t="s">
        <v>240</v>
      </c>
      <c r="J1" s="463"/>
      <c r="K1" s="463"/>
      <c r="L1" s="463"/>
    </row>
    <row r="2" spans="1:16" ht="11.1" customHeight="1">
      <c r="B2" s="16">
        <f>IF(C2="","",WEEKDAY(C2,2))</f>
        <v>3</v>
      </c>
      <c r="C2" s="17">
        <v>43922</v>
      </c>
      <c r="D2" s="22"/>
      <c r="E2" s="22">
        <v>679.77</v>
      </c>
      <c r="F2" s="226"/>
      <c r="G2" s="226">
        <v>454.5</v>
      </c>
      <c r="H2" s="85"/>
      <c r="I2" s="464">
        <v>94.1</v>
      </c>
      <c r="J2" s="463"/>
      <c r="K2" s="463"/>
      <c r="L2" s="463"/>
    </row>
    <row r="3" spans="1:16" ht="11.1" customHeight="1">
      <c r="B3" s="16">
        <f t="shared" ref="B3:B32" si="0">IF(C3="","",WEEKDAY(C3,2))</f>
        <v>4</v>
      </c>
      <c r="C3" s="17">
        <v>43923</v>
      </c>
      <c r="D3" s="22">
        <v>872.1</v>
      </c>
      <c r="E3" s="22"/>
      <c r="F3" s="226"/>
      <c r="G3" s="22">
        <v>175.2</v>
      </c>
      <c r="H3" s="226"/>
      <c r="I3" s="464">
        <v>138.4</v>
      </c>
      <c r="J3" s="463"/>
      <c r="K3" s="463"/>
      <c r="L3" s="463"/>
    </row>
    <row r="4" spans="1:16" ht="11.1" customHeight="1">
      <c r="B4" s="16">
        <f t="shared" si="0"/>
        <v>5</v>
      </c>
      <c r="C4" s="17">
        <v>43924</v>
      </c>
      <c r="D4" s="22">
        <v>679.71</v>
      </c>
      <c r="E4" s="21"/>
      <c r="F4" s="226">
        <v>273.5</v>
      </c>
      <c r="G4" s="226"/>
      <c r="H4" s="226"/>
      <c r="I4" s="464">
        <v>110.4</v>
      </c>
      <c r="J4" s="463"/>
      <c r="K4" s="463"/>
      <c r="L4" s="463"/>
    </row>
    <row r="5" spans="1:16" ht="11.1" customHeight="1">
      <c r="B5" s="16">
        <f t="shared" si="0"/>
        <v>6</v>
      </c>
      <c r="C5" s="17">
        <v>43925</v>
      </c>
      <c r="D5" s="22"/>
      <c r="E5" s="22">
        <v>995.4</v>
      </c>
      <c r="F5" s="226">
        <v>114</v>
      </c>
      <c r="G5" s="226"/>
      <c r="H5" s="85"/>
      <c r="I5" s="464">
        <v>67.099999999999994</v>
      </c>
      <c r="J5" s="463"/>
      <c r="K5" s="463"/>
      <c r="L5" s="463"/>
    </row>
    <row r="6" spans="1:16" ht="11.1" customHeight="1">
      <c r="B6" s="16">
        <f t="shared" si="0"/>
        <v>7</v>
      </c>
      <c r="C6" s="17">
        <v>43926</v>
      </c>
      <c r="D6" s="22"/>
      <c r="E6" s="22">
        <v>653.04999999999995</v>
      </c>
      <c r="F6" s="226"/>
      <c r="G6" s="226">
        <v>213.5</v>
      </c>
      <c r="H6" s="85"/>
      <c r="I6" s="464">
        <v>51</v>
      </c>
      <c r="J6" s="463"/>
      <c r="K6" s="463"/>
      <c r="L6" s="463"/>
    </row>
    <row r="7" spans="1:16" ht="11.1" customHeight="1">
      <c r="B7" s="16">
        <f t="shared" si="0"/>
        <v>1</v>
      </c>
      <c r="C7" s="17">
        <v>43927</v>
      </c>
      <c r="D7" s="22">
        <v>700.7</v>
      </c>
      <c r="E7" s="22"/>
      <c r="F7" s="226"/>
      <c r="G7" s="226">
        <v>282.8</v>
      </c>
      <c r="H7" s="85"/>
      <c r="I7" s="464"/>
      <c r="J7" s="463"/>
      <c r="K7" s="463"/>
      <c r="L7" s="463"/>
    </row>
    <row r="8" spans="1:16" ht="11.1" customHeight="1">
      <c r="B8" s="16">
        <f t="shared" si="0"/>
        <v>2</v>
      </c>
      <c r="C8" s="17">
        <v>43928</v>
      </c>
      <c r="D8" s="22">
        <v>1141.4000000000001</v>
      </c>
      <c r="E8" s="22"/>
      <c r="F8" s="226"/>
      <c r="G8" s="226">
        <v>233.6</v>
      </c>
      <c r="H8" s="85"/>
      <c r="I8" s="464">
        <v>71.650000000000006</v>
      </c>
      <c r="J8" s="463"/>
      <c r="K8" s="463"/>
      <c r="L8" s="463"/>
    </row>
    <row r="9" spans="1:16" ht="11.1" customHeight="1">
      <c r="B9" s="16">
        <f>IF(C9="","",WEEKDAY(C9,2))</f>
        <v>3</v>
      </c>
      <c r="C9" s="17">
        <v>43929</v>
      </c>
      <c r="D9" s="22"/>
      <c r="E9" s="22">
        <v>581.20000000000005</v>
      </c>
      <c r="F9" s="226">
        <v>172</v>
      </c>
      <c r="G9" s="226"/>
      <c r="H9" s="18"/>
      <c r="I9" s="464">
        <v>131.35</v>
      </c>
      <c r="J9" s="463"/>
      <c r="K9" s="463"/>
      <c r="L9" s="463"/>
    </row>
    <row r="10" spans="1:16" ht="11.1" customHeight="1">
      <c r="B10" s="16">
        <f t="shared" si="0"/>
        <v>4</v>
      </c>
      <c r="C10" s="17">
        <v>43930</v>
      </c>
      <c r="D10" s="22">
        <v>655.8</v>
      </c>
      <c r="E10" s="22"/>
      <c r="F10" s="226">
        <v>96.4</v>
      </c>
      <c r="G10" s="226"/>
      <c r="H10" s="431"/>
      <c r="I10" s="464">
        <v>206.9</v>
      </c>
      <c r="J10" s="463"/>
      <c r="K10" s="463"/>
      <c r="L10" s="463"/>
    </row>
    <row r="11" spans="1:16" ht="11.1" customHeight="1">
      <c r="B11" s="16">
        <f t="shared" si="0"/>
        <v>5</v>
      </c>
      <c r="C11" s="17">
        <v>43931</v>
      </c>
      <c r="D11" s="22">
        <v>1032.4000000000001</v>
      </c>
      <c r="E11" s="22"/>
      <c r="F11" s="226"/>
      <c r="G11" s="226">
        <v>636.95000000000005</v>
      </c>
      <c r="H11" s="226"/>
      <c r="I11" s="464">
        <v>269.3</v>
      </c>
      <c r="J11" s="463"/>
      <c r="K11" s="465"/>
      <c r="L11" s="465"/>
      <c r="M11" s="86"/>
      <c r="N11" s="86"/>
      <c r="O11" s="86"/>
      <c r="P11" s="86"/>
    </row>
    <row r="12" spans="1:16" ht="11.1" customHeight="1">
      <c r="B12" s="16">
        <f t="shared" si="0"/>
        <v>6</v>
      </c>
      <c r="C12" s="17">
        <v>43932</v>
      </c>
      <c r="D12" s="22"/>
      <c r="E12" s="22">
        <v>673.7</v>
      </c>
      <c r="F12" s="226"/>
      <c r="G12" s="226">
        <v>229.2</v>
      </c>
      <c r="H12" s="226"/>
      <c r="I12" s="464">
        <v>123.9</v>
      </c>
      <c r="J12" s="463"/>
      <c r="K12" s="465"/>
      <c r="L12" s="465"/>
      <c r="M12" s="86"/>
      <c r="N12" s="86"/>
      <c r="O12" s="86"/>
      <c r="P12" s="86"/>
    </row>
    <row r="13" spans="1:16" ht="11.1" customHeight="1">
      <c r="B13" s="16">
        <f t="shared" si="0"/>
        <v>7</v>
      </c>
      <c r="C13" s="17">
        <v>43933</v>
      </c>
      <c r="D13" s="22"/>
      <c r="E13" s="22">
        <v>860.1</v>
      </c>
      <c r="F13" s="226"/>
      <c r="G13" s="226">
        <v>328.6</v>
      </c>
      <c r="H13" s="226"/>
      <c r="I13" s="464">
        <v>136.30000000000001</v>
      </c>
      <c r="J13" s="463"/>
      <c r="K13" s="465"/>
      <c r="L13" s="465"/>
      <c r="M13" s="86"/>
      <c r="N13" s="86"/>
      <c r="O13" s="86"/>
      <c r="P13" s="86"/>
    </row>
    <row r="14" spans="1:16" ht="11.1" customHeight="1">
      <c r="B14" s="16">
        <f t="shared" si="0"/>
        <v>1</v>
      </c>
      <c r="C14" s="17">
        <v>43934</v>
      </c>
      <c r="D14" s="22">
        <v>982.05</v>
      </c>
      <c r="E14" s="22"/>
      <c r="F14" s="226">
        <v>111.4</v>
      </c>
      <c r="G14" s="226"/>
      <c r="H14" s="226"/>
      <c r="I14" s="464"/>
      <c r="J14" s="463"/>
      <c r="K14" s="465"/>
      <c r="L14" s="465"/>
      <c r="M14" s="86"/>
      <c r="N14" s="86"/>
      <c r="O14" s="86"/>
      <c r="P14" s="86"/>
    </row>
    <row r="15" spans="1:16" ht="11.25" customHeight="1">
      <c r="A15" s="86"/>
      <c r="B15" s="16">
        <f t="shared" si="0"/>
        <v>2</v>
      </c>
      <c r="C15" s="17">
        <v>43935</v>
      </c>
      <c r="D15" s="22">
        <v>1053.0999999999999</v>
      </c>
      <c r="E15" s="22"/>
      <c r="F15" s="226">
        <v>421.5</v>
      </c>
      <c r="G15" s="226"/>
      <c r="H15" s="550"/>
      <c r="I15" s="116">
        <v>30.2</v>
      </c>
      <c r="J15" s="463"/>
      <c r="K15" s="465"/>
      <c r="L15" s="465"/>
      <c r="M15" s="86"/>
      <c r="N15" s="86"/>
      <c r="O15" s="86"/>
      <c r="P15" s="86"/>
    </row>
    <row r="16" spans="1:16" ht="12.75" customHeight="1">
      <c r="A16" s="35" t="s">
        <v>304</v>
      </c>
      <c r="B16" s="16">
        <f t="shared" si="0"/>
        <v>3</v>
      </c>
      <c r="C16" s="17">
        <v>43936</v>
      </c>
      <c r="D16" s="22"/>
      <c r="E16" s="22">
        <v>577.4</v>
      </c>
      <c r="F16" s="226"/>
      <c r="G16" s="226">
        <v>218</v>
      </c>
      <c r="H16" s="14"/>
      <c r="I16" s="464">
        <v>62.9</v>
      </c>
      <c r="J16" s="463"/>
      <c r="K16" s="465"/>
      <c r="L16" s="465"/>
      <c r="M16" s="86"/>
      <c r="N16" s="86"/>
      <c r="O16" s="86"/>
      <c r="P16" s="86"/>
    </row>
    <row r="17" spans="1:16" ht="11.1" customHeight="1">
      <c r="B17" s="16">
        <f t="shared" si="0"/>
        <v>4</v>
      </c>
      <c r="C17" s="17">
        <v>43937</v>
      </c>
      <c r="D17" s="22"/>
      <c r="E17" s="22">
        <v>944.2</v>
      </c>
      <c r="F17" s="226"/>
      <c r="G17" s="226">
        <v>479.5</v>
      </c>
      <c r="H17" s="14"/>
      <c r="I17" s="464">
        <f>14+106.8</f>
        <v>120.8</v>
      </c>
      <c r="J17" s="463"/>
      <c r="K17" s="465"/>
      <c r="L17" s="465"/>
      <c r="M17" s="86"/>
      <c r="N17" s="86"/>
      <c r="O17" s="86"/>
      <c r="P17" s="86"/>
    </row>
    <row r="18" spans="1:16" ht="11.1" customHeight="1">
      <c r="B18" s="16">
        <f t="shared" si="0"/>
        <v>5</v>
      </c>
      <c r="C18" s="17">
        <v>43938</v>
      </c>
      <c r="D18" s="22">
        <v>1153.3</v>
      </c>
      <c r="E18" s="22"/>
      <c r="F18" s="226"/>
      <c r="G18" s="226">
        <v>596.70000000000005</v>
      </c>
      <c r="H18" s="226"/>
      <c r="I18" s="464">
        <v>139.5</v>
      </c>
      <c r="J18" s="463"/>
      <c r="K18" s="465"/>
      <c r="L18" s="465"/>
      <c r="M18" s="86"/>
      <c r="N18" s="86"/>
      <c r="O18" s="86"/>
      <c r="P18" s="86"/>
    </row>
    <row r="19" spans="1:16" ht="11.1" customHeight="1">
      <c r="B19" s="16">
        <f t="shared" si="0"/>
        <v>6</v>
      </c>
      <c r="C19" s="17">
        <v>43939</v>
      </c>
      <c r="D19" s="22">
        <v>975.03</v>
      </c>
      <c r="E19" s="22"/>
      <c r="F19" s="226"/>
      <c r="G19" s="226"/>
      <c r="H19" s="14">
        <v>626.04</v>
      </c>
      <c r="I19" s="464">
        <v>60.45</v>
      </c>
      <c r="J19" s="463"/>
      <c r="K19" s="465"/>
      <c r="L19" s="465"/>
      <c r="M19" s="86"/>
      <c r="N19" s="86"/>
      <c r="O19" s="86"/>
      <c r="P19" s="86"/>
    </row>
    <row r="20" spans="1:16" s="86" customFormat="1" ht="11.1" customHeight="1">
      <c r="A20" s="474"/>
      <c r="B20" s="459">
        <f t="shared" si="0"/>
        <v>7</v>
      </c>
      <c r="C20" s="17">
        <v>43940</v>
      </c>
      <c r="D20" s="22">
        <v>488</v>
      </c>
      <c r="E20" s="22"/>
      <c r="F20" s="226"/>
      <c r="G20" s="226"/>
      <c r="H20" s="22">
        <v>425.7</v>
      </c>
      <c r="I20" s="467"/>
      <c r="J20" s="465"/>
      <c r="K20" s="465"/>
      <c r="L20" s="465"/>
    </row>
    <row r="21" spans="1:16" s="86" customFormat="1" ht="11.1" customHeight="1">
      <c r="B21" s="459">
        <f t="shared" si="0"/>
        <v>1</v>
      </c>
      <c r="C21" s="17">
        <v>43941</v>
      </c>
      <c r="D21" s="22"/>
      <c r="E21" s="22">
        <v>390</v>
      </c>
      <c r="F21" s="226"/>
      <c r="G21" s="226">
        <v>496.1</v>
      </c>
      <c r="H21" s="226"/>
      <c r="I21" s="467"/>
      <c r="J21" s="465"/>
      <c r="K21" s="465"/>
      <c r="L21" s="465"/>
    </row>
    <row r="22" spans="1:16" s="86" customFormat="1" ht="11.1" customHeight="1">
      <c r="B22" s="459">
        <f>IF(C22="","",WEEKDAY(C22,2))</f>
        <v>2</v>
      </c>
      <c r="C22" s="17">
        <v>43942</v>
      </c>
      <c r="D22" s="22"/>
      <c r="E22" s="22">
        <v>1379.1</v>
      </c>
      <c r="F22" s="226"/>
      <c r="G22" s="226">
        <v>646.4</v>
      </c>
      <c r="H22" s="226"/>
      <c r="I22" s="467">
        <v>138.69999999999999</v>
      </c>
      <c r="J22" s="465"/>
      <c r="K22" s="465"/>
      <c r="L22" s="465"/>
    </row>
    <row r="23" spans="1:16" s="86" customFormat="1" ht="11.1" customHeight="1">
      <c r="B23" s="459">
        <f t="shared" si="0"/>
        <v>3</v>
      </c>
      <c r="C23" s="17">
        <v>43943</v>
      </c>
      <c r="D23" s="22">
        <v>686.01</v>
      </c>
      <c r="E23" s="22"/>
      <c r="F23" s="226"/>
      <c r="G23" s="226">
        <v>448.5</v>
      </c>
      <c r="H23" s="475"/>
      <c r="I23" s="467">
        <v>73.2</v>
      </c>
      <c r="J23" s="465"/>
      <c r="K23" s="465"/>
      <c r="L23" s="465"/>
    </row>
    <row r="24" spans="1:16" s="86" customFormat="1" ht="10.5" customHeight="1">
      <c r="B24" s="459">
        <f t="shared" si="0"/>
        <v>4</v>
      </c>
      <c r="C24" s="17">
        <v>43944</v>
      </c>
      <c r="D24" s="22">
        <v>678.9</v>
      </c>
      <c r="E24" s="22"/>
      <c r="F24" s="226">
        <v>696.9</v>
      </c>
      <c r="G24" s="226"/>
      <c r="H24" s="226"/>
      <c r="I24" s="467">
        <v>246</v>
      </c>
      <c r="J24" s="465"/>
      <c r="K24" s="465"/>
      <c r="L24" s="465"/>
    </row>
    <row r="25" spans="1:16" s="86" customFormat="1" ht="11.1" customHeight="1">
      <c r="B25" s="459">
        <f t="shared" si="0"/>
        <v>5</v>
      </c>
      <c r="C25" s="17">
        <v>43945</v>
      </c>
      <c r="D25" s="22"/>
      <c r="E25" s="22">
        <v>1057.55</v>
      </c>
      <c r="F25" s="226"/>
      <c r="G25" s="226">
        <v>540.9</v>
      </c>
      <c r="H25" s="226"/>
      <c r="I25" s="467">
        <v>193.1</v>
      </c>
      <c r="J25" s="465"/>
      <c r="K25" s="465"/>
      <c r="L25" s="476"/>
    </row>
    <row r="26" spans="1:16" s="86" customFormat="1" ht="11.1" customHeight="1">
      <c r="B26" s="459">
        <f t="shared" si="0"/>
        <v>6</v>
      </c>
      <c r="C26" s="17">
        <v>43946</v>
      </c>
      <c r="D26" s="22"/>
      <c r="E26" s="22">
        <v>704.7</v>
      </c>
      <c r="F26" s="22"/>
      <c r="G26" s="477">
        <v>302</v>
      </c>
      <c r="H26" s="226"/>
      <c r="I26" s="467"/>
      <c r="J26" s="465"/>
      <c r="K26" s="465"/>
      <c r="L26" s="476"/>
    </row>
    <row r="27" spans="1:16" s="86" customFormat="1" ht="11.1" customHeight="1">
      <c r="B27" s="459">
        <f t="shared" si="0"/>
        <v>7</v>
      </c>
      <c r="C27" s="17">
        <v>43947</v>
      </c>
      <c r="D27" s="22">
        <v>561.5</v>
      </c>
      <c r="E27" s="22"/>
      <c r="F27" s="226"/>
      <c r="G27" s="573">
        <v>499.3</v>
      </c>
      <c r="H27" s="226"/>
      <c r="I27" s="466"/>
      <c r="J27" s="468"/>
      <c r="K27" s="468"/>
      <c r="L27" s="468"/>
      <c r="M27" s="366"/>
      <c r="N27" s="366"/>
      <c r="O27" s="366"/>
      <c r="P27" s="366"/>
    </row>
    <row r="28" spans="1:16" s="86" customFormat="1" ht="10.5" customHeight="1">
      <c r="A28" s="474"/>
      <c r="B28" s="459">
        <f t="shared" si="0"/>
        <v>1</v>
      </c>
      <c r="C28" s="17">
        <v>43948</v>
      </c>
      <c r="D28" s="22">
        <v>606.29999999999995</v>
      </c>
      <c r="E28" s="22"/>
      <c r="F28" s="226">
        <v>371.5</v>
      </c>
      <c r="G28" s="226"/>
      <c r="H28" s="226"/>
      <c r="I28" s="466"/>
      <c r="J28" s="468"/>
      <c r="K28" s="468"/>
      <c r="L28" s="468"/>
      <c r="M28" s="366"/>
      <c r="N28" s="366"/>
      <c r="O28" s="366"/>
      <c r="P28" s="366"/>
    </row>
    <row r="29" spans="1:16" s="86" customFormat="1" ht="10.5" customHeight="1">
      <c r="B29" s="459">
        <f t="shared" si="0"/>
        <v>2</v>
      </c>
      <c r="C29" s="17">
        <v>43949</v>
      </c>
      <c r="D29" s="22"/>
      <c r="E29" s="22">
        <v>362</v>
      </c>
      <c r="F29" s="226">
        <v>400.9</v>
      </c>
      <c r="G29" s="226"/>
      <c r="H29" s="226"/>
      <c r="I29" s="466"/>
      <c r="J29" s="468"/>
      <c r="K29" s="466"/>
      <c r="L29" s="466"/>
      <c r="M29" s="366"/>
      <c r="N29" s="366"/>
      <c r="O29" s="366"/>
      <c r="P29" s="366"/>
    </row>
    <row r="30" spans="1:16" s="86" customFormat="1" ht="11.1" customHeight="1">
      <c r="B30" s="459">
        <f t="shared" si="0"/>
        <v>3</v>
      </c>
      <c r="C30" s="17">
        <v>43950</v>
      </c>
      <c r="D30" s="22"/>
      <c r="E30" s="226">
        <v>767.35</v>
      </c>
      <c r="G30" s="226">
        <v>344.1</v>
      </c>
      <c r="H30" s="226"/>
      <c r="I30" s="466"/>
      <c r="J30" s="466"/>
      <c r="K30" s="468"/>
      <c r="L30" s="466"/>
      <c r="M30" s="366"/>
      <c r="N30" s="366"/>
      <c r="O30" s="366"/>
      <c r="P30" s="366"/>
    </row>
    <row r="31" spans="1:16" s="86" customFormat="1" ht="11.1" customHeight="1">
      <c r="A31" s="474"/>
      <c r="B31" s="459">
        <f t="shared" si="0"/>
        <v>4</v>
      </c>
      <c r="C31" s="17">
        <v>43951</v>
      </c>
      <c r="D31" s="22">
        <v>483.27</v>
      </c>
      <c r="E31" s="22"/>
      <c r="F31" s="226">
        <v>589.5</v>
      </c>
      <c r="G31" s="226"/>
      <c r="H31" s="22"/>
      <c r="I31" s="469"/>
      <c r="J31" s="469"/>
      <c r="K31" s="469"/>
      <c r="L31" s="469"/>
      <c r="M31" s="366"/>
      <c r="N31" s="366"/>
      <c r="O31" s="366"/>
      <c r="P31" s="366"/>
    </row>
    <row r="32" spans="1:16" s="86" customFormat="1" ht="12" customHeight="1">
      <c r="A32" s="474"/>
      <c r="B32" s="303" t="str">
        <f t="shared" si="0"/>
        <v/>
      </c>
      <c r="C32" s="115"/>
      <c r="D32" s="236"/>
      <c r="E32" s="236"/>
      <c r="F32" s="305"/>
      <c r="G32" s="305"/>
      <c r="H32" s="366"/>
      <c r="I32" s="469"/>
      <c r="J32" s="469"/>
      <c r="K32" s="469"/>
      <c r="L32" s="469"/>
      <c r="M32" s="145"/>
      <c r="N32" s="366"/>
      <c r="O32" s="366"/>
      <c r="P32" s="366"/>
    </row>
    <row r="33" spans="1:19" ht="12.95" customHeight="1" thickBot="1">
      <c r="B33" s="21"/>
      <c r="C33" s="574" t="s">
        <v>225</v>
      </c>
      <c r="D33" s="85">
        <f>COUNT(D2:D32)</f>
        <v>16</v>
      </c>
      <c r="E33" s="85">
        <f>COUNT(E2:E32)</f>
        <v>14</v>
      </c>
      <c r="F33" s="85">
        <f>COUNT(F2:F32)</f>
        <v>10</v>
      </c>
      <c r="G33" s="85">
        <f>COUNT(G2:G32)</f>
        <v>18</v>
      </c>
      <c r="I33" s="469"/>
      <c r="J33" s="469"/>
      <c r="K33" s="469"/>
      <c r="L33" s="469"/>
      <c r="M33" s="366"/>
      <c r="N33" s="366"/>
      <c r="O33" s="366"/>
      <c r="P33" s="366"/>
    </row>
    <row r="34" spans="1:19" ht="12.75" customHeight="1" thickBot="1">
      <c r="B34" s="21"/>
      <c r="C34" s="85" t="s">
        <v>13</v>
      </c>
      <c r="D34" s="238">
        <f>SUM(D2:D32)</f>
        <v>12749.57</v>
      </c>
      <c r="E34" s="238">
        <f>SUM(E2:E32)</f>
        <v>10625.52</v>
      </c>
      <c r="F34" s="238">
        <f>SUM(F2:F32)</f>
        <v>3247.6</v>
      </c>
      <c r="G34" s="238">
        <f>SUM(G2:G32)</f>
        <v>7125.85</v>
      </c>
      <c r="H34" s="1"/>
      <c r="I34" s="253" t="s">
        <v>189</v>
      </c>
      <c r="J34" s="292" t="s">
        <v>190</v>
      </c>
      <c r="K34" s="452" t="s">
        <v>219</v>
      </c>
      <c r="L34" s="363"/>
      <c r="M34" s="366"/>
      <c r="N34" s="366"/>
      <c r="O34" s="366"/>
      <c r="P34" s="366"/>
    </row>
    <row r="35" spans="1:19" ht="13.9" customHeight="1" thickBot="1">
      <c r="B35" s="21"/>
      <c r="C35" s="85" t="s">
        <v>22</v>
      </c>
      <c r="D35" s="238">
        <v>11636.67</v>
      </c>
      <c r="E35" s="238">
        <v>9634.7199999999993</v>
      </c>
      <c r="F35" s="238">
        <v>3172.2</v>
      </c>
      <c r="G35" s="238">
        <v>6927.05</v>
      </c>
      <c r="H35" s="12"/>
      <c r="I35" s="292">
        <f>SUM(D2:E32)</f>
        <v>23375.089999999997</v>
      </c>
      <c r="J35" s="292">
        <f>SUM(F2:G32)+H19+H20</f>
        <v>11425.189999999999</v>
      </c>
      <c r="K35" s="453">
        <f>SUM(I2:I32)</f>
        <v>2465.2500000000005</v>
      </c>
      <c r="L35" s="363"/>
      <c r="M35" s="366"/>
      <c r="N35" s="366"/>
      <c r="O35" s="366"/>
      <c r="P35" s="366"/>
    </row>
    <row r="36" spans="1:19" ht="13.9" customHeight="1">
      <c r="B36" s="21"/>
      <c r="C36" s="85" t="s">
        <v>5</v>
      </c>
      <c r="D36" s="88">
        <f>ABS(D34-D35)</f>
        <v>1112.8999999999996</v>
      </c>
      <c r="E36" s="88">
        <f>ABS(E34-E35)</f>
        <v>990.80000000000109</v>
      </c>
      <c r="F36" s="88">
        <f>ABS(F34-F35)</f>
        <v>75.400000000000091</v>
      </c>
      <c r="G36" s="88">
        <f>ABS(G34-G35)</f>
        <v>198.80000000000018</v>
      </c>
      <c r="H36" s="1"/>
      <c r="I36" s="363" t="s">
        <v>305</v>
      </c>
      <c r="J36" s="363" t="s">
        <v>305</v>
      </c>
      <c r="K36" s="363"/>
      <c r="L36" s="363"/>
      <c r="M36" s="366"/>
      <c r="N36" s="366"/>
      <c r="O36" s="366"/>
      <c r="P36" s="366"/>
    </row>
    <row r="37" spans="1:19" ht="13.9" customHeight="1">
      <c r="B37" s="21"/>
      <c r="C37" s="545" t="s">
        <v>233</v>
      </c>
      <c r="D37" s="89">
        <f>ROUND(D36*1%,2)</f>
        <v>11.13</v>
      </c>
      <c r="E37" s="89">
        <f>ROUND(E36*1%,2)</f>
        <v>9.91</v>
      </c>
      <c r="F37" s="89">
        <f>ROUND(F36*1%,2)</f>
        <v>0.75</v>
      </c>
      <c r="G37" s="89">
        <f>ROUND(G36*1%,2)</f>
        <v>1.99</v>
      </c>
      <c r="H37" s="1"/>
      <c r="I37" s="363">
        <v>1359.18</v>
      </c>
      <c r="J37" s="363">
        <v>949.72</v>
      </c>
      <c r="K37" s="363"/>
      <c r="L37" s="363"/>
      <c r="M37" s="366"/>
      <c r="N37" s="366"/>
      <c r="O37" s="366"/>
      <c r="P37" s="366"/>
    </row>
    <row r="38" spans="1:19" ht="13.9" customHeight="1">
      <c r="B38" s="21"/>
      <c r="C38" s="485" t="s">
        <v>234</v>
      </c>
      <c r="D38" s="89">
        <f>ROUND(3%*D35,2)</f>
        <v>349.1</v>
      </c>
      <c r="E38" s="89">
        <f>ROUND(3%*E35,2)</f>
        <v>289.04000000000002</v>
      </c>
      <c r="F38" s="89">
        <f>ROUND(3%*F35,2)</f>
        <v>95.17</v>
      </c>
      <c r="G38" s="89">
        <f>ROUND(3%*G35,2)</f>
        <v>207.81</v>
      </c>
      <c r="H38" s="1"/>
      <c r="I38" s="145"/>
      <c r="J38" s="145"/>
      <c r="K38" s="366"/>
      <c r="L38" s="363"/>
      <c r="M38" s="366"/>
      <c r="N38" s="366"/>
      <c r="O38" s="366"/>
      <c r="P38" s="366"/>
    </row>
    <row r="39" spans="1:19" ht="13.9" customHeight="1">
      <c r="B39" s="21"/>
      <c r="C39" s="85" t="s">
        <v>7</v>
      </c>
      <c r="D39" s="87">
        <v>50</v>
      </c>
      <c r="E39" s="87">
        <v>50</v>
      </c>
      <c r="F39" s="87"/>
      <c r="G39" s="472"/>
      <c r="H39" s="12"/>
      <c r="I39" s="366"/>
      <c r="J39" s="366"/>
      <c r="K39" s="366"/>
      <c r="L39" s="363"/>
      <c r="M39" s="366"/>
      <c r="N39" s="366"/>
      <c r="O39" s="366"/>
      <c r="P39" s="366"/>
    </row>
    <row r="40" spans="1:19" ht="13.9" customHeight="1">
      <c r="B40" s="21"/>
      <c r="C40" s="85" t="s">
        <v>244</v>
      </c>
      <c r="D40" s="87">
        <f>ROUND(20*D33,2)</f>
        <v>320</v>
      </c>
      <c r="E40" s="87">
        <f>ROUND(20*E33,2)</f>
        <v>280</v>
      </c>
      <c r="F40" s="488">
        <f>ROUND(23*F33,2)</f>
        <v>230</v>
      </c>
      <c r="G40" s="88">
        <f>ROUND(23*G33,2)</f>
        <v>414</v>
      </c>
      <c r="H40" s="8"/>
      <c r="I40" s="128"/>
      <c r="J40" s="145"/>
      <c r="K40" s="145"/>
      <c r="L40" s="363"/>
      <c r="M40" s="366"/>
      <c r="N40" s="366"/>
      <c r="O40" s="366"/>
      <c r="P40" s="366"/>
    </row>
    <row r="41" spans="1:19" ht="13.9" customHeight="1">
      <c r="B41" s="31"/>
      <c r="C41" s="239" t="s">
        <v>94</v>
      </c>
      <c r="D41" s="18">
        <v>337.71</v>
      </c>
      <c r="E41" s="241">
        <v>180.88</v>
      </c>
      <c r="F41" s="87"/>
      <c r="G41" s="87">
        <v>257.08999999999997</v>
      </c>
      <c r="I41" s="145"/>
      <c r="J41" s="366"/>
      <c r="K41" s="366"/>
      <c r="L41" s="363"/>
      <c r="M41" s="366"/>
      <c r="N41" s="366"/>
      <c r="O41" s="366"/>
      <c r="P41" s="366"/>
    </row>
    <row r="42" spans="1:19" ht="13.9" customHeight="1">
      <c r="B42" s="21"/>
      <c r="C42" s="242" t="s">
        <v>48</v>
      </c>
      <c r="D42" s="243"/>
      <c r="E42" s="240">
        <v>120</v>
      </c>
      <c r="F42" s="87"/>
      <c r="G42" s="87"/>
      <c r="I42" s="283"/>
      <c r="J42" s="145"/>
      <c r="K42" s="366"/>
      <c r="L42" s="366"/>
      <c r="M42" s="366"/>
      <c r="N42" s="366"/>
      <c r="O42" s="366"/>
      <c r="P42" s="366"/>
    </row>
    <row r="43" spans="1:19" ht="13.9" customHeight="1">
      <c r="B43" s="21"/>
      <c r="C43" s="245" t="s">
        <v>77</v>
      </c>
      <c r="D43" s="455">
        <f>D37+D38+D39+D40-D41</f>
        <v>392.52000000000004</v>
      </c>
      <c r="E43" s="455">
        <f>E37+E38+E39+E40-E41-E42</f>
        <v>328.07000000000005</v>
      </c>
      <c r="F43" s="455">
        <f>F37+F38+F39+F40-F41-F42</f>
        <v>325.92</v>
      </c>
      <c r="G43" s="455">
        <f>G37+G38+G39+G40-G41-G42</f>
        <v>366.71</v>
      </c>
      <c r="H43" s="8"/>
      <c r="I43" s="145"/>
      <c r="J43" s="366"/>
      <c r="K43" s="366"/>
      <c r="L43" s="366"/>
      <c r="M43" s="366"/>
      <c r="N43" s="366"/>
      <c r="O43" s="366"/>
      <c r="P43" s="366"/>
    </row>
    <row r="44" spans="1:19" ht="13.9" customHeight="1">
      <c r="B44" s="21"/>
      <c r="C44" s="286" t="s">
        <v>45</v>
      </c>
      <c r="D44" s="287">
        <f>D37+D38+D39+D40</f>
        <v>730.23</v>
      </c>
      <c r="E44" s="287">
        <f>E37+E38+E39+E40</f>
        <v>628.95000000000005</v>
      </c>
      <c r="F44" s="287">
        <f>F37+F38+F39+F40</f>
        <v>325.92</v>
      </c>
      <c r="G44" s="287">
        <f>G37+G38+G39+G40</f>
        <v>623.79999999999995</v>
      </c>
      <c r="H44" s="8"/>
      <c r="I44" s="461"/>
      <c r="J44" s="366"/>
      <c r="K44" s="366"/>
      <c r="L44" s="366"/>
      <c r="M44" s="366"/>
      <c r="N44" s="366"/>
      <c r="O44" s="366"/>
      <c r="P44" s="366"/>
    </row>
    <row r="45" spans="1:19" ht="12.95" customHeight="1">
      <c r="B45" s="21"/>
      <c r="C45" s="169"/>
      <c r="D45" s="364"/>
      <c r="E45" s="461"/>
      <c r="F45" s="8"/>
      <c r="G45" s="8"/>
      <c r="I45" s="128"/>
      <c r="J45" s="504"/>
      <c r="K45" s="213"/>
      <c r="L45" s="213"/>
      <c r="M45" s="213"/>
      <c r="N45" s="213"/>
      <c r="O45" s="213"/>
      <c r="P45" s="213"/>
      <c r="Q45" s="7"/>
      <c r="R45" s="7"/>
      <c r="S45" s="505"/>
    </row>
    <row r="46" spans="1:19" ht="12.95" customHeight="1">
      <c r="A46" s="8"/>
      <c r="B46" s="31"/>
      <c r="C46" s="1"/>
      <c r="D46" s="12"/>
      <c r="E46" s="75"/>
      <c r="F46" s="8"/>
      <c r="G46" s="8"/>
      <c r="H46" s="8"/>
      <c r="I46" s="68"/>
      <c r="J46" s="506"/>
      <c r="K46" s="366"/>
      <c r="L46" s="366"/>
      <c r="M46" s="145"/>
      <c r="N46" s="366"/>
      <c r="O46" s="366"/>
      <c r="P46" s="366"/>
      <c r="Q46" s="1"/>
      <c r="R46" s="1"/>
      <c r="S46" s="507"/>
    </row>
    <row r="47" spans="1:19" ht="12.95" customHeight="1">
      <c r="A47" s="8"/>
      <c r="B47" s="31"/>
      <c r="C47" s="1"/>
      <c r="D47" s="12"/>
      <c r="E47" s="12"/>
      <c r="F47" s="8"/>
      <c r="G47" s="8"/>
      <c r="H47" s="8"/>
      <c r="I47" s="72"/>
      <c r="J47" s="506"/>
      <c r="K47" s="366"/>
      <c r="L47" s="366"/>
      <c r="M47" s="145"/>
      <c r="N47" s="366"/>
      <c r="O47" s="366"/>
      <c r="P47" s="366"/>
      <c r="Q47" s="1"/>
      <c r="R47" s="1"/>
      <c r="S47" s="507"/>
    </row>
    <row r="48" spans="1:19" ht="12.95" customHeight="1">
      <c r="B48" s="32"/>
      <c r="C48" s="1"/>
      <c r="D48" s="1"/>
      <c r="E48" s="11"/>
      <c r="G48" s="8"/>
      <c r="H48" s="207"/>
      <c r="I48" s="68"/>
      <c r="J48" s="506"/>
      <c r="K48" s="366"/>
      <c r="L48" s="366"/>
      <c r="M48" s="366"/>
      <c r="N48" s="366"/>
      <c r="O48" s="366"/>
      <c r="P48" s="366"/>
      <c r="Q48" s="1"/>
      <c r="R48" s="1"/>
      <c r="S48" s="507"/>
    </row>
    <row r="49" spans="1:19" s="86" customFormat="1" ht="12.95" customHeight="1">
      <c r="B49" s="501"/>
      <c r="C49" s="502"/>
      <c r="D49" s="502"/>
      <c r="E49" s="502"/>
      <c r="F49" s="502"/>
      <c r="G49" s="502"/>
      <c r="H49" s="503"/>
      <c r="I49" s="534"/>
      <c r="J49" s="366"/>
      <c r="K49" s="366"/>
      <c r="L49" s="366"/>
      <c r="M49" s="366"/>
      <c r="N49" s="366"/>
      <c r="O49" s="366"/>
      <c r="P49" s="366"/>
      <c r="Q49" s="366"/>
      <c r="R49" s="366"/>
      <c r="S49" s="166"/>
    </row>
    <row r="50" spans="1:19" s="86" customFormat="1" ht="12.95" customHeight="1">
      <c r="C50" s="502"/>
      <c r="D50" s="502"/>
      <c r="E50" s="524"/>
      <c r="F50" s="524"/>
      <c r="G50" s="502"/>
      <c r="H50" s="168"/>
      <c r="I50" s="525"/>
      <c r="J50" s="508"/>
      <c r="K50" s="502"/>
      <c r="L50" s="366"/>
      <c r="M50" s="366"/>
      <c r="N50" s="366"/>
      <c r="O50" s="366"/>
      <c r="P50" s="366"/>
      <c r="Q50" s="366"/>
      <c r="R50" s="366"/>
      <c r="S50" s="166"/>
    </row>
    <row r="51" spans="1:19" s="86" customFormat="1" ht="12" customHeight="1">
      <c r="A51" s="366"/>
      <c r="B51" s="366"/>
      <c r="C51" s="502"/>
      <c r="D51" s="502"/>
      <c r="E51" s="524"/>
      <c r="F51" s="524"/>
      <c r="G51" s="502"/>
      <c r="H51" s="503"/>
      <c r="I51" s="502"/>
      <c r="J51" s="508"/>
      <c r="K51" s="502"/>
      <c r="L51" s="366"/>
      <c r="M51" s="366"/>
      <c r="N51" s="366"/>
      <c r="O51" s="366"/>
      <c r="P51" s="366"/>
      <c r="Q51" s="366"/>
      <c r="R51" s="366"/>
      <c r="S51" s="166"/>
    </row>
    <row r="52" spans="1:19" s="86" customFormat="1" ht="18.75">
      <c r="A52" s="366"/>
      <c r="B52" s="366"/>
      <c r="C52" s="366"/>
      <c r="D52" s="366"/>
      <c r="E52" s="144"/>
      <c r="H52" s="503"/>
      <c r="I52" s="502"/>
      <c r="J52" s="508"/>
      <c r="K52" s="502"/>
      <c r="L52" s="366"/>
      <c r="M52" s="366"/>
      <c r="N52" s="366"/>
      <c r="O52" s="366"/>
      <c r="P52" s="366"/>
      <c r="Q52" s="366"/>
      <c r="R52" s="366"/>
      <c r="S52" s="166"/>
    </row>
    <row r="53" spans="1:19" s="86" customFormat="1">
      <c r="A53" s="366"/>
      <c r="B53" s="366"/>
      <c r="C53" s="366"/>
      <c r="D53" s="366"/>
      <c r="E53" s="144"/>
      <c r="I53" s="143"/>
      <c r="J53" s="506"/>
      <c r="K53" s="366"/>
      <c r="L53" s="366"/>
      <c r="M53" s="366"/>
      <c r="N53" s="366"/>
      <c r="O53" s="366"/>
      <c r="P53" s="366"/>
      <c r="Q53" s="366"/>
      <c r="R53" s="366"/>
      <c r="S53" s="166"/>
    </row>
    <row r="54" spans="1:19" s="86" customFormat="1" ht="15" customHeight="1">
      <c r="A54" s="366"/>
      <c r="B54" s="366"/>
      <c r="C54" s="366"/>
      <c r="D54" s="366"/>
      <c r="E54" s="144"/>
      <c r="H54" s="524"/>
      <c r="I54" s="366"/>
      <c r="J54" s="506"/>
      <c r="K54" s="366"/>
      <c r="L54" s="366"/>
      <c r="M54" s="366"/>
      <c r="N54" s="366"/>
      <c r="O54" s="366"/>
      <c r="P54" s="366"/>
      <c r="Q54" s="366"/>
      <c r="R54" s="366"/>
      <c r="S54" s="166"/>
    </row>
    <row r="55" spans="1:19" s="86" customFormat="1" ht="15" customHeight="1">
      <c r="A55" s="366"/>
      <c r="B55" s="366"/>
      <c r="C55" s="366"/>
      <c r="D55" s="366"/>
      <c r="E55" s="144"/>
      <c r="H55" s="524"/>
      <c r="I55" s="366"/>
      <c r="J55" s="506"/>
      <c r="K55" s="366"/>
      <c r="L55" s="366"/>
      <c r="M55" s="366"/>
      <c r="N55" s="366"/>
      <c r="O55" s="366"/>
      <c r="P55" s="366"/>
      <c r="Q55" s="366"/>
      <c r="R55" s="366"/>
      <c r="S55" s="166"/>
    </row>
    <row r="56" spans="1:19" s="86" customFormat="1" ht="15" customHeight="1">
      <c r="A56" s="366"/>
      <c r="B56" s="366"/>
      <c r="C56" s="366"/>
      <c r="D56" s="366"/>
      <c r="E56" s="144"/>
      <c r="H56" s="524"/>
      <c r="I56" s="366"/>
      <c r="J56" s="506"/>
      <c r="K56" s="366"/>
      <c r="L56" s="366"/>
      <c r="M56" s="366"/>
      <c r="N56" s="366"/>
      <c r="O56" s="366"/>
      <c r="P56" s="366"/>
      <c r="Q56" s="366"/>
      <c r="R56" s="366"/>
      <c r="S56" s="166"/>
    </row>
    <row r="57" spans="1:19" s="86" customFormat="1">
      <c r="A57" s="366"/>
      <c r="B57" s="366"/>
      <c r="C57" s="366"/>
      <c r="D57" s="366"/>
      <c r="E57" s="144"/>
      <c r="H57" s="168"/>
      <c r="J57" s="506"/>
      <c r="K57" s="366"/>
      <c r="L57" s="366"/>
      <c r="M57" s="366"/>
      <c r="N57" s="366"/>
      <c r="O57" s="366"/>
      <c r="P57" s="366"/>
      <c r="Q57" s="366"/>
      <c r="R57" s="366"/>
      <c r="S57" s="166"/>
    </row>
    <row r="58" spans="1:19" s="86" customFormat="1">
      <c r="A58" s="366"/>
      <c r="B58" s="366"/>
      <c r="C58" s="366"/>
      <c r="D58" s="366"/>
      <c r="E58" s="144"/>
      <c r="J58" s="506"/>
      <c r="K58" s="366"/>
      <c r="L58" s="366"/>
      <c r="M58" s="366"/>
      <c r="N58" s="366"/>
      <c r="O58" s="366"/>
      <c r="P58" s="366"/>
      <c r="Q58" s="366"/>
      <c r="R58" s="366"/>
      <c r="S58" s="166"/>
    </row>
    <row r="59" spans="1:19" s="86" customFormat="1">
      <c r="A59" s="366"/>
      <c r="B59" s="366"/>
      <c r="C59" s="366"/>
      <c r="D59" s="366"/>
      <c r="E59" s="144"/>
      <c r="J59" s="506"/>
      <c r="K59" s="366"/>
      <c r="L59" s="366"/>
      <c r="M59" s="366"/>
      <c r="N59" s="366"/>
      <c r="O59" s="366"/>
      <c r="P59" s="366"/>
      <c r="Q59" s="366"/>
      <c r="R59" s="366"/>
      <c r="S59" s="166"/>
    </row>
    <row r="60" spans="1:19" s="86" customFormat="1">
      <c r="A60" s="366"/>
      <c r="B60" s="366"/>
      <c r="C60" s="366"/>
      <c r="D60" s="366"/>
      <c r="E60" s="144"/>
      <c r="J60" s="506"/>
      <c r="K60" s="366"/>
      <c r="L60" s="366"/>
      <c r="M60" s="366"/>
      <c r="N60" s="366"/>
      <c r="O60" s="366"/>
      <c r="P60" s="366"/>
      <c r="Q60" s="366"/>
      <c r="R60" s="366"/>
      <c r="S60" s="166"/>
    </row>
    <row r="61" spans="1:19" s="86" customFormat="1">
      <c r="A61" s="366"/>
      <c r="B61" s="366"/>
      <c r="C61" s="366"/>
      <c r="D61" s="366"/>
      <c r="E61" s="144"/>
      <c r="J61" s="506"/>
      <c r="K61" s="366"/>
      <c r="L61" s="366"/>
      <c r="M61" s="366"/>
      <c r="N61" s="366"/>
      <c r="O61" s="366"/>
      <c r="P61" s="366"/>
      <c r="Q61" s="366"/>
      <c r="R61" s="366"/>
      <c r="S61" s="166"/>
    </row>
    <row r="62" spans="1:19">
      <c r="A62" s="1"/>
      <c r="B62" s="1"/>
      <c r="C62" s="1"/>
      <c r="D62" s="1"/>
      <c r="E62" s="11"/>
      <c r="J62" s="509"/>
      <c r="K62" s="510"/>
      <c r="L62" s="510"/>
      <c r="M62" s="510"/>
      <c r="N62" s="510"/>
      <c r="O62" s="510"/>
      <c r="P62" s="510"/>
      <c r="Q62" s="510"/>
      <c r="R62" s="510"/>
      <c r="S62" s="511"/>
    </row>
    <row r="63" spans="1:19">
      <c r="A63" s="1"/>
      <c r="B63" s="1"/>
      <c r="C63" s="1"/>
      <c r="D63" s="1"/>
      <c r="E63" s="11"/>
    </row>
    <row r="64" spans="1:19">
      <c r="A64" s="1"/>
      <c r="B64" s="1"/>
      <c r="C64" s="1"/>
      <c r="D64" s="1"/>
      <c r="E64" s="11"/>
    </row>
    <row r="65" spans="1:5">
      <c r="A65" s="1"/>
      <c r="B65" s="1"/>
      <c r="C65" s="1"/>
      <c r="D65" s="1"/>
      <c r="E65" s="11"/>
    </row>
    <row r="66" spans="1:5">
      <c r="A66" s="1"/>
      <c r="B66" s="1"/>
      <c r="C66" s="11"/>
      <c r="D66" s="1"/>
      <c r="E66" s="11"/>
    </row>
    <row r="67" spans="1:5">
      <c r="A67" s="1"/>
      <c r="B67" s="1"/>
      <c r="C67" s="1"/>
      <c r="D67" s="1"/>
      <c r="E67" s="11"/>
    </row>
    <row r="68" spans="1:5">
      <c r="A68" s="1"/>
      <c r="B68" s="1"/>
      <c r="C68" s="1"/>
      <c r="D68" s="1"/>
      <c r="E68" s="11"/>
    </row>
    <row r="69" spans="1:5">
      <c r="A69" s="1"/>
      <c r="B69" s="1"/>
      <c r="C69" s="1"/>
      <c r="D69" s="1"/>
      <c r="E69" s="11"/>
    </row>
    <row r="70" spans="1:5">
      <c r="A70" s="1"/>
      <c r="B70" s="1"/>
      <c r="C70" s="1"/>
      <c r="D70" s="1"/>
      <c r="E70" s="11"/>
    </row>
    <row r="71" spans="1:5">
      <c r="A71" s="1"/>
      <c r="B71" s="1"/>
      <c r="C71" s="1"/>
      <c r="D71" s="1"/>
      <c r="E71" s="11"/>
    </row>
    <row r="72" spans="1:5">
      <c r="A72" s="1"/>
      <c r="B72" s="1"/>
      <c r="C72" s="1"/>
      <c r="D72" s="1"/>
      <c r="E72" s="11"/>
    </row>
    <row r="73" spans="1:5">
      <c r="A73" s="1"/>
      <c r="B73" s="1"/>
      <c r="C73" s="1"/>
      <c r="D73" s="1"/>
      <c r="E73" s="11"/>
    </row>
    <row r="74" spans="1:5">
      <c r="A74" s="1"/>
      <c r="B74" s="1"/>
      <c r="C74" s="1"/>
      <c r="D74" s="1"/>
      <c r="E74" s="11"/>
    </row>
    <row r="75" spans="1:5">
      <c r="A75" s="1"/>
      <c r="B75" s="1"/>
      <c r="C75" s="1"/>
      <c r="D75" s="1"/>
      <c r="E75" s="11"/>
    </row>
    <row r="76" spans="1:5">
      <c r="A76" s="1"/>
      <c r="B76" s="1"/>
      <c r="C76" s="1"/>
      <c r="D76" s="1"/>
      <c r="E76" s="11"/>
    </row>
    <row r="77" spans="1:5">
      <c r="A77" s="1"/>
      <c r="B77" s="1"/>
      <c r="C77" s="1"/>
      <c r="D77" s="1"/>
      <c r="E77" s="11"/>
    </row>
    <row r="78" spans="1:5">
      <c r="A78" s="1"/>
      <c r="B78" s="1"/>
      <c r="C78" s="1"/>
      <c r="D78" s="1"/>
      <c r="E78" s="11"/>
    </row>
    <row r="79" spans="1:5">
      <c r="A79" s="1"/>
      <c r="B79" s="1"/>
      <c r="C79" s="1"/>
      <c r="D79" s="1"/>
      <c r="E79" s="11"/>
    </row>
    <row r="80" spans="1:5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2"/>
    </row>
    <row r="89" spans="1:5">
      <c r="A89" s="1"/>
      <c r="B89" s="1"/>
      <c r="C89" s="1"/>
      <c r="D89" s="1"/>
      <c r="E89" s="2"/>
    </row>
    <row r="90" spans="1:5">
      <c r="A90" s="1"/>
      <c r="B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B93" s="1"/>
      <c r="E93" s="2"/>
    </row>
    <row r="94" spans="1:5">
      <c r="B94" s="1"/>
      <c r="E94" s="2"/>
    </row>
    <row r="95" spans="1:5"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</sheetData>
  <conditionalFormatting sqref="F32:G32 B2:G2 D3:G3 F4:G4 D4 D26:F28 D5:G25 B3:C32 D29:G29 D31:G31 G30 D30:E30">
    <cfRule type="expression" dxfId="53" priority="1">
      <formula>$B2=7</formula>
    </cfRule>
    <cfRule type="expression" dxfId="52" priority="2">
      <formula>$B2=6</formula>
    </cfRule>
  </conditionalFormatting>
  <pageMargins left="0.7" right="0.7" top="0.75" bottom="0.75" header="0.3" footer="0.3"/>
  <pageSetup paperSize="11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29"/>
  <sheetViews>
    <sheetView zoomScale="85" zoomScaleNormal="85" zoomScaleSheetLayoutView="70" zoomScalePageLayoutView="70" workbookViewId="0">
      <selection activeCell="F18" sqref="F18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4.710937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330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V1" s="654"/>
      <c r="W1" s="628"/>
      <c r="X1" s="655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656"/>
      <c r="O2" s="1279" t="s">
        <v>271</v>
      </c>
      <c r="P2" s="1279"/>
      <c r="Q2" s="1279"/>
      <c r="R2" s="366"/>
      <c r="S2" s="1279" t="s">
        <v>272</v>
      </c>
      <c r="T2" s="1279"/>
      <c r="U2" s="1279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306</v>
      </c>
      <c r="B3" s="1166"/>
      <c r="C3" s="1166"/>
      <c r="D3" s="1166"/>
      <c r="E3" s="1166"/>
      <c r="F3" s="1166"/>
      <c r="G3" s="1167"/>
      <c r="H3" s="1267" t="s">
        <v>310</v>
      </c>
      <c r="I3" s="1268"/>
      <c r="J3" s="1268"/>
      <c r="K3" s="1268"/>
      <c r="L3" s="1268"/>
      <c r="M3" s="1269"/>
      <c r="N3" s="656"/>
      <c r="O3" s="660" t="s">
        <v>2</v>
      </c>
      <c r="P3" s="660" t="s">
        <v>34</v>
      </c>
      <c r="Q3" s="660" t="s">
        <v>35</v>
      </c>
      <c r="R3" s="366"/>
      <c r="S3" s="660" t="s">
        <v>2</v>
      </c>
      <c r="T3" s="660" t="s">
        <v>34</v>
      </c>
      <c r="U3" s="660" t="s">
        <v>35</v>
      </c>
      <c r="V3" s="657"/>
      <c r="W3" s="657"/>
      <c r="X3" s="366"/>
      <c r="Y3" s="657"/>
      <c r="Z3" s="629"/>
      <c r="AA3" s="366"/>
      <c r="AB3" s="366"/>
      <c r="AC3" s="366"/>
      <c r="AD3" s="657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649" t="s">
        <v>34</v>
      </c>
      <c r="C4" s="36" t="s">
        <v>35</v>
      </c>
      <c r="D4" s="36" t="s">
        <v>38</v>
      </c>
      <c r="E4" s="36" t="s">
        <v>42</v>
      </c>
      <c r="F4" s="649" t="s">
        <v>36</v>
      </c>
      <c r="G4" s="100" t="s">
        <v>173</v>
      </c>
      <c r="H4" s="1185"/>
      <c r="I4" s="1186"/>
      <c r="J4" s="650" t="s">
        <v>35</v>
      </c>
      <c r="K4" s="650" t="s">
        <v>38</v>
      </c>
      <c r="L4" s="650" t="s">
        <v>42</v>
      </c>
      <c r="M4" s="100" t="s">
        <v>44</v>
      </c>
      <c r="N4" s="506"/>
      <c r="O4" s="623">
        <v>43959</v>
      </c>
      <c r="P4" s="675" t="s">
        <v>309</v>
      </c>
      <c r="Q4" s="624">
        <v>975</v>
      </c>
      <c r="R4" s="448">
        <f>Q4+U4</f>
        <v>1265</v>
      </c>
      <c r="S4" s="623">
        <v>43959</v>
      </c>
      <c r="T4" s="675" t="s">
        <v>309</v>
      </c>
      <c r="U4" s="624">
        <v>290</v>
      </c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>
        <v>43957</v>
      </c>
      <c r="B5" s="161" t="s">
        <v>308</v>
      </c>
      <c r="C5" s="275">
        <v>128.15</v>
      </c>
      <c r="D5" s="275">
        <v>128.15</v>
      </c>
      <c r="E5" s="542" t="str">
        <f>IF(C5-D5=0,"",C5-D5)</f>
        <v/>
      </c>
      <c r="F5" s="162" t="str">
        <f>IF(C5=0,"",IF(C5-D5=0,"оплачено","ОЖИДАЕТСЯ оплата"))</f>
        <v>оплачено</v>
      </c>
      <c r="G5" s="162"/>
      <c r="H5" s="1270" t="s">
        <v>40</v>
      </c>
      <c r="I5" s="1271"/>
      <c r="J5" s="481">
        <v>999.89</v>
      </c>
      <c r="K5" s="698">
        <f>670+230+99.89</f>
        <v>999.89</v>
      </c>
      <c r="L5" s="480">
        <f>J5-K5</f>
        <v>0</v>
      </c>
      <c r="M5" s="101">
        <v>43955</v>
      </c>
      <c r="N5" s="448"/>
      <c r="O5" s="623">
        <v>43962</v>
      </c>
      <c r="P5" s="675" t="s">
        <v>101</v>
      </c>
      <c r="Q5" s="624">
        <v>104.64</v>
      </c>
      <c r="R5" s="366"/>
      <c r="S5" s="623">
        <v>43962</v>
      </c>
      <c r="T5" s="675" t="s">
        <v>101</v>
      </c>
      <c r="U5" s="624">
        <v>52.32</v>
      </c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>
        <v>43962</v>
      </c>
      <c r="B6" s="161" t="s">
        <v>256</v>
      </c>
      <c r="C6" s="275">
        <v>306.48</v>
      </c>
      <c r="D6" s="275">
        <v>306.48</v>
      </c>
      <c r="E6" s="542" t="str">
        <f t="shared" ref="E6:E19" si="0">IF(C6-D6=0,"",C6-D6)</f>
        <v/>
      </c>
      <c r="F6" s="162" t="str">
        <f t="shared" ref="F6:F19" si="1">IF(C6=0,"",IF(C6-D6=0,"оплачено","ОЖИДАЕТСЯ оплата"))</f>
        <v>оплачено</v>
      </c>
      <c r="G6" s="162"/>
      <c r="H6" s="340"/>
      <c r="I6" s="366"/>
      <c r="J6" s="498">
        <f>SUM(J5:J5)</f>
        <v>999.89</v>
      </c>
      <c r="K6" s="366"/>
      <c r="L6" s="84"/>
      <c r="M6" s="314"/>
      <c r="N6" s="366"/>
      <c r="O6" s="623">
        <v>43960</v>
      </c>
      <c r="P6" s="675" t="s">
        <v>27</v>
      </c>
      <c r="Q6" s="624">
        <v>659.75</v>
      </c>
      <c r="R6" s="366"/>
      <c r="S6" s="623">
        <v>43960</v>
      </c>
      <c r="T6" s="675" t="s">
        <v>27</v>
      </c>
      <c r="U6" s="624">
        <v>100.2</v>
      </c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>
        <v>43964</v>
      </c>
      <c r="B7" s="161" t="s">
        <v>254</v>
      </c>
      <c r="C7" s="275">
        <v>131.94999999999999</v>
      </c>
      <c r="D7" s="275">
        <v>131.94999999999999</v>
      </c>
      <c r="E7" s="542" t="str">
        <f t="shared" si="0"/>
        <v/>
      </c>
      <c r="F7" s="162" t="str">
        <f t="shared" si="1"/>
        <v>оплачено</v>
      </c>
      <c r="G7" s="162"/>
      <c r="H7" s="340"/>
      <c r="I7" s="366"/>
      <c r="J7" s="366"/>
      <c r="K7" s="366"/>
      <c r="L7" s="366"/>
      <c r="M7" s="314"/>
      <c r="N7" s="366"/>
      <c r="O7" s="623">
        <v>43960</v>
      </c>
      <c r="P7" s="675" t="s">
        <v>133</v>
      </c>
      <c r="Q7" s="624">
        <v>590</v>
      </c>
      <c r="R7" s="366"/>
      <c r="S7" s="623">
        <v>43960</v>
      </c>
      <c r="T7" s="675" t="s">
        <v>133</v>
      </c>
      <c r="U7" s="624">
        <v>339.1</v>
      </c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43963</v>
      </c>
      <c r="B8" s="161" t="s">
        <v>312</v>
      </c>
      <c r="C8" s="275">
        <v>1235.4000000000001</v>
      </c>
      <c r="D8" s="275">
        <v>1235.4000000000001</v>
      </c>
      <c r="E8" s="542" t="str">
        <f t="shared" si="0"/>
        <v/>
      </c>
      <c r="F8" s="162" t="str">
        <f t="shared" si="1"/>
        <v>оплачено</v>
      </c>
      <c r="G8" s="162"/>
      <c r="H8" s="340"/>
      <c r="I8" s="366"/>
      <c r="J8" s="366"/>
      <c r="K8" s="366"/>
      <c r="L8" s="366"/>
      <c r="M8" s="314"/>
      <c r="N8" s="366"/>
      <c r="O8" s="623">
        <v>43964</v>
      </c>
      <c r="P8" s="675" t="s">
        <v>64</v>
      </c>
      <c r="Q8" s="644">
        <f>274.6*2.5</f>
        <v>686.5</v>
      </c>
      <c r="R8" s="366"/>
      <c r="S8" s="623">
        <v>43964</v>
      </c>
      <c r="T8" s="675" t="s">
        <v>64</v>
      </c>
      <c r="U8" s="624">
        <f>232.7*2.5</f>
        <v>581.75</v>
      </c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43964</v>
      </c>
      <c r="B9" s="161" t="s">
        <v>313</v>
      </c>
      <c r="C9" s="275">
        <v>2038.62</v>
      </c>
      <c r="D9" s="275">
        <v>2038.62</v>
      </c>
      <c r="E9" s="542" t="str">
        <f t="shared" si="0"/>
        <v/>
      </c>
      <c r="F9" s="162" t="str">
        <f t="shared" si="1"/>
        <v>оплачено</v>
      </c>
      <c r="G9" s="162"/>
      <c r="H9" s="340"/>
      <c r="I9" s="366"/>
      <c r="J9" s="366"/>
      <c r="K9" s="366"/>
      <c r="L9" s="366"/>
      <c r="M9" s="314"/>
      <c r="N9" s="658"/>
      <c r="O9" s="623">
        <v>43962</v>
      </c>
      <c r="P9" s="675" t="s">
        <v>133</v>
      </c>
      <c r="Q9" s="624">
        <v>206.4</v>
      </c>
      <c r="R9" s="366"/>
      <c r="S9" s="623">
        <v>43962</v>
      </c>
      <c r="T9" s="675" t="s">
        <v>133</v>
      </c>
      <c r="U9" s="624">
        <v>253.6</v>
      </c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ht="18.75" customHeight="1">
      <c r="A10" s="325">
        <v>43965</v>
      </c>
      <c r="B10" s="161" t="s">
        <v>301</v>
      </c>
      <c r="C10" s="275">
        <v>205.58</v>
      </c>
      <c r="D10" s="275">
        <v>205.58</v>
      </c>
      <c r="E10" s="542" t="str">
        <f t="shared" si="0"/>
        <v/>
      </c>
      <c r="F10" s="162" t="str">
        <f t="shared" si="1"/>
        <v>оплачено</v>
      </c>
      <c r="G10" s="162"/>
      <c r="H10" s="43"/>
      <c r="I10" s="1"/>
      <c r="J10" s="366"/>
      <c r="K10" s="1"/>
      <c r="L10" s="1"/>
      <c r="M10" s="44"/>
      <c r="N10" s="658"/>
      <c r="O10" s="625" t="s">
        <v>319</v>
      </c>
      <c r="P10" s="58" t="s">
        <v>132</v>
      </c>
      <c r="Q10" s="679">
        <v>1200</v>
      </c>
      <c r="R10" s="366"/>
      <c r="S10" s="623"/>
      <c r="T10" s="675" t="s">
        <v>318</v>
      </c>
      <c r="U10" s="624">
        <v>2000</v>
      </c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5.75" customHeight="1">
      <c r="A11" s="325">
        <v>43970</v>
      </c>
      <c r="B11" s="161" t="s">
        <v>321</v>
      </c>
      <c r="C11" s="275">
        <v>1202</v>
      </c>
      <c r="D11" s="275">
        <v>1202</v>
      </c>
      <c r="E11" s="542" t="str">
        <f t="shared" si="0"/>
        <v/>
      </c>
      <c r="F11" s="162" t="str">
        <f t="shared" si="1"/>
        <v>оплачено</v>
      </c>
      <c r="G11" s="162"/>
      <c r="H11" s="43"/>
      <c r="I11" s="1"/>
      <c r="J11" s="366"/>
      <c r="K11" s="1"/>
      <c r="L11" s="1"/>
      <c r="M11" s="44"/>
      <c r="N11" s="658"/>
      <c r="O11" s="625" t="s">
        <v>319</v>
      </c>
      <c r="P11" s="58" t="s">
        <v>320</v>
      </c>
      <c r="Q11" s="624"/>
      <c r="R11" s="366"/>
      <c r="S11" s="625">
        <v>43976</v>
      </c>
      <c r="T11" s="675" t="s">
        <v>27</v>
      </c>
      <c r="U11" s="624">
        <v>344.25</v>
      </c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4.25" customHeight="1">
      <c r="A12" s="325">
        <v>43979</v>
      </c>
      <c r="B12" s="161" t="s">
        <v>321</v>
      </c>
      <c r="C12" s="275">
        <v>298.24</v>
      </c>
      <c r="D12" s="275">
        <v>298.24</v>
      </c>
      <c r="E12" s="542" t="str">
        <f t="shared" si="0"/>
        <v/>
      </c>
      <c r="F12" s="162" t="str">
        <f t="shared" si="1"/>
        <v>оплачено</v>
      </c>
      <c r="G12" s="162"/>
      <c r="H12" s="43"/>
      <c r="I12" s="1"/>
      <c r="J12" s="366"/>
      <c r="K12" s="1"/>
      <c r="L12" s="1"/>
      <c r="M12" s="44"/>
      <c r="N12" s="658"/>
      <c r="O12" s="625">
        <v>43976</v>
      </c>
      <c r="P12" s="683" t="s">
        <v>27</v>
      </c>
      <c r="Q12" s="624">
        <v>374.55</v>
      </c>
      <c r="R12" s="366"/>
      <c r="S12" s="675"/>
      <c r="T12" s="675"/>
      <c r="U12" s="624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 ht="17.25" customHeight="1">
      <c r="A13" s="325">
        <v>43981</v>
      </c>
      <c r="B13" s="161" t="s">
        <v>325</v>
      </c>
      <c r="C13" s="275">
        <v>903.69</v>
      </c>
      <c r="D13" s="275">
        <v>903.69</v>
      </c>
      <c r="E13" s="542" t="str">
        <f t="shared" si="0"/>
        <v/>
      </c>
      <c r="F13" s="162" t="str">
        <f t="shared" si="1"/>
        <v>оплачено</v>
      </c>
      <c r="G13" s="162"/>
      <c r="H13" s="43"/>
      <c r="I13" s="1"/>
      <c r="J13" s="366"/>
      <c r="K13" s="1"/>
      <c r="L13" s="1"/>
      <c r="M13" s="44"/>
      <c r="N13" s="658"/>
      <c r="O13" s="645"/>
      <c r="P13" s="675"/>
      <c r="Q13" s="624"/>
      <c r="R13" s="366"/>
      <c r="S13" s="675"/>
      <c r="T13" s="675"/>
      <c r="U13" s="47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0"/>
        <v/>
      </c>
      <c r="F14" s="162" t="str">
        <f t="shared" si="1"/>
        <v/>
      </c>
      <c r="G14" s="162"/>
      <c r="H14" s="43"/>
      <c r="I14" s="1"/>
      <c r="J14" s="366"/>
      <c r="K14" s="1"/>
      <c r="L14" s="1"/>
      <c r="M14" s="44"/>
      <c r="N14" s="658"/>
      <c r="O14" s="645"/>
      <c r="P14" s="675"/>
      <c r="Q14" s="624"/>
      <c r="R14" s="366"/>
      <c r="S14" s="675"/>
      <c r="T14" s="675"/>
      <c r="U14" s="624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43"/>
      <c r="I15" s="1"/>
      <c r="J15" s="366"/>
      <c r="K15" s="1"/>
      <c r="L15" s="1"/>
      <c r="M15" s="44"/>
      <c r="N15" s="295"/>
      <c r="O15" s="645"/>
      <c r="P15" s="675"/>
      <c r="Q15" s="675"/>
      <c r="R15" s="366"/>
      <c r="S15" s="675"/>
      <c r="T15" s="675"/>
      <c r="U15" s="624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43"/>
      <c r="I16" s="1"/>
      <c r="J16" s="366"/>
      <c r="K16" s="1"/>
      <c r="L16" s="1"/>
      <c r="M16" s="44"/>
      <c r="N16" s="295"/>
      <c r="O16" s="645"/>
      <c r="P16" s="675"/>
      <c r="Q16" s="675"/>
      <c r="R16" s="366"/>
      <c r="S16" s="675"/>
      <c r="T16" s="675"/>
      <c r="U16" s="624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43"/>
      <c r="I17" s="1"/>
      <c r="J17" s="366"/>
      <c r="K17" s="1"/>
      <c r="L17" s="1"/>
      <c r="M17" s="44"/>
      <c r="N17" s="295"/>
      <c r="O17" s="645"/>
      <c r="P17" s="675"/>
      <c r="Q17" s="675"/>
      <c r="R17" s="366"/>
      <c r="S17" s="675"/>
      <c r="T17" s="675"/>
      <c r="U17" s="624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43"/>
      <c r="I18" s="1"/>
      <c r="J18" s="366"/>
      <c r="K18" s="1"/>
      <c r="L18" s="1"/>
      <c r="M18" s="44"/>
      <c r="N18" s="295"/>
      <c r="O18" s="645"/>
      <c r="P18" s="675"/>
      <c r="Q18" s="161"/>
      <c r="R18" s="366"/>
      <c r="S18" s="675"/>
      <c r="T18" s="675"/>
      <c r="U18" s="624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43"/>
      <c r="I19" s="1"/>
      <c r="J19" s="366"/>
      <c r="K19" s="1"/>
      <c r="L19" s="1"/>
      <c r="M19" s="44"/>
      <c r="N19" s="150"/>
      <c r="O19" s="645"/>
      <c r="P19" s="624"/>
      <c r="Q19" s="675"/>
      <c r="R19" s="366"/>
      <c r="S19" s="675"/>
      <c r="T19" s="675"/>
      <c r="U19" s="624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6450.1100000000006</v>
      </c>
      <c r="D20" s="358"/>
      <c r="E20" s="160">
        <f>SUM(E5:E19)</f>
        <v>0</v>
      </c>
      <c r="F20" s="162"/>
      <c r="G20" s="450"/>
      <c r="H20" s="43"/>
      <c r="I20" s="1"/>
      <c r="J20" s="366"/>
      <c r="K20" s="1"/>
      <c r="L20" s="1"/>
      <c r="M20" s="44"/>
      <c r="N20" s="1"/>
      <c r="O20" s="645"/>
      <c r="P20" s="624"/>
      <c r="Q20" s="675"/>
      <c r="R20" s="366"/>
      <c r="S20" s="675"/>
      <c r="T20" s="675"/>
      <c r="U20" s="624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>
        <f>SUM(Q4:Q20)</f>
        <v>4796.8400000000011</v>
      </c>
      <c r="R21" s="366"/>
      <c r="S21" s="366"/>
      <c r="T21" s="366"/>
      <c r="U21" s="448">
        <f>SUM(U4:U20)</f>
        <v>3961.22</v>
      </c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653" t="s">
        <v>21</v>
      </c>
      <c r="K22" s="653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8"/>
      <c r="B23" s="199"/>
      <c r="C23" s="288"/>
      <c r="D23" s="232"/>
      <c r="E23" s="84"/>
      <c r="F23" s="199"/>
      <c r="G23" s="199"/>
      <c r="H23" s="347" t="s">
        <v>18</v>
      </c>
      <c r="I23" s="94">
        <v>32809.9</v>
      </c>
      <c r="J23" s="94">
        <v>1675.7199999999998</v>
      </c>
      <c r="K23" s="297">
        <v>1047.01</v>
      </c>
      <c r="L23" s="96">
        <v>52152</v>
      </c>
      <c r="M23" s="104">
        <f>82159.79-I23-J23-K23+L23</f>
        <v>98779.159999999989</v>
      </c>
      <c r="N23" s="1"/>
      <c r="O23" s="447"/>
      <c r="P23" s="696"/>
      <c r="Q23" s="366"/>
      <c r="R23" s="84"/>
      <c r="S23" s="86"/>
      <c r="T23" s="86"/>
      <c r="U23" s="366"/>
      <c r="V23" s="86"/>
      <c r="W23" s="86"/>
      <c r="X23" s="86"/>
    </row>
    <row r="24" spans="1:35" ht="15.75" customHeight="1">
      <c r="A24" s="339"/>
      <c r="B24" s="199"/>
      <c r="C24" s="199"/>
      <c r="D24" s="273"/>
      <c r="E24" s="366"/>
      <c r="F24" s="84"/>
      <c r="G24" s="366"/>
      <c r="H24" s="347" t="s">
        <v>19</v>
      </c>
      <c r="I24" s="94">
        <v>35259.58</v>
      </c>
      <c r="J24" s="94">
        <v>1363.3000000000002</v>
      </c>
      <c r="K24" s="94">
        <v>1176.05</v>
      </c>
      <c r="L24" s="96">
        <v>40465.950000000004</v>
      </c>
      <c r="M24" s="104">
        <f>M23-I24-J24-K24+L24</f>
        <v>101446.18</v>
      </c>
      <c r="N24" s="1"/>
      <c r="O24" s="447"/>
      <c r="P24" s="84"/>
      <c r="Q24" s="366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366"/>
      <c r="C25" s="199"/>
      <c r="D25" s="273"/>
      <c r="E25" s="366"/>
      <c r="F25" s="366"/>
      <c r="G25" s="366"/>
      <c r="H25" s="347" t="s">
        <v>20</v>
      </c>
      <c r="I25" s="298">
        <v>34690.219999999994</v>
      </c>
      <c r="J25" s="94">
        <v>1209.3000000000002</v>
      </c>
      <c r="K25" s="299">
        <v>1213.33</v>
      </c>
      <c r="L25" s="299">
        <v>19306</v>
      </c>
      <c r="M25" s="104">
        <f t="shared" ref="M25:M32" si="2">M24-I25-J25-K25+L25</f>
        <v>83639.329999999987</v>
      </c>
      <c r="N25" s="1"/>
      <c r="O25" s="447"/>
      <c r="P25" s="84"/>
      <c r="Q25" s="366"/>
      <c r="R25" s="84"/>
      <c r="S25" s="541"/>
      <c r="T25" s="86"/>
      <c r="U25" s="366"/>
      <c r="V25" s="86"/>
      <c r="W25" s="86"/>
      <c r="X25" s="86"/>
      <c r="Z25" s="1"/>
    </row>
    <row r="26" spans="1:35">
      <c r="A26" s="339"/>
      <c r="B26" s="1"/>
      <c r="C26" s="284"/>
      <c r="D26" s="273"/>
      <c r="E26" s="366"/>
      <c r="F26" s="366"/>
      <c r="G26" s="84"/>
      <c r="H26" s="347" t="s">
        <v>148</v>
      </c>
      <c r="I26" s="299">
        <v>30955.479999999996</v>
      </c>
      <c r="J26" s="300">
        <v>3184.46</v>
      </c>
      <c r="K26" s="300">
        <v>1035.6600000000001</v>
      </c>
      <c r="L26" s="299">
        <v>59195.5</v>
      </c>
      <c r="M26" s="104">
        <f t="shared" si="2"/>
        <v>107659.22999999998</v>
      </c>
      <c r="N26" s="1"/>
      <c r="O26" s="447"/>
      <c r="P26" s="84"/>
      <c r="Q26" s="366"/>
      <c r="R26" s="84"/>
      <c r="S26" s="541"/>
      <c r="T26" s="86"/>
      <c r="U26" s="366"/>
      <c r="V26" s="86"/>
      <c r="W26" s="86"/>
      <c r="X26" s="86"/>
      <c r="Z26" s="1"/>
    </row>
    <row r="27" spans="1:35">
      <c r="A27" s="339"/>
      <c r="B27" s="199"/>
      <c r="C27" s="1"/>
      <c r="D27" s="273"/>
      <c r="E27" s="366"/>
      <c r="F27" s="366"/>
      <c r="G27" s="366"/>
      <c r="H27" s="348" t="s">
        <v>162</v>
      </c>
      <c r="I27" s="300">
        <v>31239.439999999995</v>
      </c>
      <c r="J27" s="299">
        <v>2443.4</v>
      </c>
      <c r="K27" s="300">
        <v>1496.52</v>
      </c>
      <c r="L27" s="299">
        <v>40132</v>
      </c>
      <c r="M27" s="104">
        <f t="shared" si="2"/>
        <v>112611.86999999998</v>
      </c>
      <c r="N27" s="1"/>
      <c r="O27" s="447"/>
      <c r="P27" s="84"/>
      <c r="Q27" s="145"/>
      <c r="R27" s="84"/>
      <c r="S27" s="541"/>
      <c r="T27" s="86"/>
      <c r="U27" s="366"/>
      <c r="V27" s="86"/>
      <c r="W27" s="86"/>
      <c r="X27" s="86"/>
      <c r="Z27" s="1"/>
    </row>
    <row r="28" spans="1:35">
      <c r="A28" s="339"/>
      <c r="B28" s="199"/>
      <c r="C28" s="1"/>
      <c r="D28" s="273"/>
      <c r="E28" s="366"/>
      <c r="F28" s="366"/>
      <c r="G28" s="366"/>
      <c r="H28" s="379" t="s">
        <v>163</v>
      </c>
      <c r="I28" s="380">
        <v>28986.99</v>
      </c>
      <c r="J28" s="432">
        <v>6271.4999999999991</v>
      </c>
      <c r="K28" s="433">
        <v>1046.56</v>
      </c>
      <c r="L28" s="433">
        <v>22678.1</v>
      </c>
      <c r="M28" s="104">
        <f t="shared" si="2"/>
        <v>98984.919999999984</v>
      </c>
      <c r="N28" s="1"/>
      <c r="O28" s="366"/>
      <c r="P28" s="84"/>
      <c r="Q28" s="145"/>
      <c r="R28" s="84"/>
      <c r="S28" s="541"/>
      <c r="T28" s="86"/>
      <c r="U28" s="86"/>
      <c r="V28" s="86"/>
      <c r="W28" s="86"/>
      <c r="X28" s="86"/>
      <c r="Z28" s="1"/>
    </row>
    <row r="29" spans="1:35">
      <c r="A29" s="339"/>
      <c r="B29" s="199"/>
      <c r="C29" s="1"/>
      <c r="D29" s="273"/>
      <c r="E29" s="366"/>
      <c r="F29" s="366"/>
      <c r="G29" s="366"/>
      <c r="H29" s="379" t="s">
        <v>192</v>
      </c>
      <c r="I29" s="380">
        <v>31654.69</v>
      </c>
      <c r="J29" s="432">
        <v>7124.02</v>
      </c>
      <c r="K29" s="433">
        <v>1268.5600000000002</v>
      </c>
      <c r="L29" s="433">
        <v>32888</v>
      </c>
      <c r="M29" s="104">
        <f t="shared" si="2"/>
        <v>91825.64999999998</v>
      </c>
      <c r="N29" s="1"/>
      <c r="O29" s="366"/>
      <c r="P29" s="84"/>
      <c r="Q29" s="145"/>
      <c r="R29" s="84"/>
      <c r="S29" s="541"/>
      <c r="T29" s="86"/>
      <c r="U29" s="86"/>
      <c r="V29" s="86"/>
      <c r="W29" s="86"/>
      <c r="X29" s="86"/>
      <c r="Z29" s="366"/>
    </row>
    <row r="30" spans="1:35">
      <c r="A30" s="339"/>
      <c r="B30" s="199"/>
      <c r="C30" s="1"/>
      <c r="D30" s="273"/>
      <c r="E30" s="366"/>
      <c r="F30" s="366"/>
      <c r="G30" s="366"/>
      <c r="H30" s="379" t="s">
        <v>199</v>
      </c>
      <c r="I30" s="380">
        <v>28891.4</v>
      </c>
      <c r="J30" s="432">
        <v>8339.34</v>
      </c>
      <c r="K30" s="433">
        <v>1310.53</v>
      </c>
      <c r="L30" s="433">
        <v>36419</v>
      </c>
      <c r="M30" s="104">
        <f t="shared" si="2"/>
        <v>89703.379999999976</v>
      </c>
      <c r="N30" s="1"/>
      <c r="O30" s="366"/>
      <c r="P30" s="84"/>
      <c r="Q30" s="145"/>
      <c r="R30" s="84"/>
      <c r="S30" s="541"/>
      <c r="T30" s="86"/>
      <c r="U30" s="86"/>
      <c r="V30" s="86"/>
      <c r="W30" s="86"/>
      <c r="X30" s="8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209</v>
      </c>
      <c r="I31" s="297">
        <v>28339.37</v>
      </c>
      <c r="J31" s="438">
        <v>1758.9</v>
      </c>
      <c r="K31" s="606">
        <v>1141.96</v>
      </c>
      <c r="L31" s="606">
        <v>35862.5</v>
      </c>
      <c r="M31" s="104">
        <f t="shared" si="2"/>
        <v>94325.64999999998</v>
      </c>
      <c r="N31" s="1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210</v>
      </c>
      <c r="I32" s="297">
        <v>28933.9</v>
      </c>
      <c r="J32" s="438">
        <v>954.3</v>
      </c>
      <c r="K32" s="607">
        <v>1267.8599999999999</v>
      </c>
      <c r="L32" s="607">
        <v>22833.599999999999</v>
      </c>
      <c r="M32" s="104">
        <f t="shared" si="2"/>
        <v>86003.189999999973</v>
      </c>
      <c r="N32" s="1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211</v>
      </c>
      <c r="I33" s="689">
        <v>23375.089999999997</v>
      </c>
      <c r="J33" s="438">
        <f>2414.8+6115</f>
        <v>8529.7999999999993</v>
      </c>
      <c r="K33" s="607">
        <v>977.16000000000008</v>
      </c>
      <c r="L33" s="607">
        <v>16277.199999999999</v>
      </c>
      <c r="M33" s="104">
        <v>70105.570000000007</v>
      </c>
      <c r="N33" s="1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 thickBot="1">
      <c r="A34" s="339"/>
      <c r="B34" s="199"/>
      <c r="C34" s="1"/>
      <c r="D34" s="273"/>
      <c r="E34" s="366"/>
      <c r="F34" s="366"/>
      <c r="G34" s="366"/>
      <c r="H34" s="688" t="s">
        <v>9</v>
      </c>
      <c r="I34" s="622">
        <f>'зп май'!J35</f>
        <v>22761.37</v>
      </c>
      <c r="J34" s="610">
        <f>116.9+42+40.8+6+67.5+160+87+4.9+69+6+31.5+264.5+501.5+19+1.4+367.5</f>
        <v>1785.5</v>
      </c>
      <c r="K34" s="611">
        <v>996.7</v>
      </c>
      <c r="L34" s="611">
        <v>30847</v>
      </c>
      <c r="M34" s="104">
        <f>M33-I34-J34-K34+L34</f>
        <v>75409.000000000015</v>
      </c>
      <c r="N34" s="1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 thickTop="1">
      <c r="A35" s="339"/>
      <c r="B35" s="199"/>
      <c r="C35" s="1"/>
      <c r="D35" s="273"/>
      <c r="E35" s="84"/>
      <c r="F35" s="366"/>
      <c r="G35" s="366"/>
      <c r="H35" s="1148" t="s">
        <v>36</v>
      </c>
      <c r="I35" s="1150" t="s">
        <v>178</v>
      </c>
      <c r="J35" s="1151"/>
      <c r="K35" s="1152"/>
      <c r="L35" s="1156" t="s">
        <v>159</v>
      </c>
      <c r="M35" s="1157"/>
      <c r="N35" s="1"/>
      <c r="P35" s="84"/>
      <c r="Q35" s="145"/>
      <c r="R35" s="145"/>
      <c r="S35" s="86"/>
      <c r="T35" s="86"/>
      <c r="U35" s="86"/>
      <c r="V35" s="86"/>
      <c r="W35" s="86"/>
      <c r="X35" s="86"/>
      <c r="Y35" s="366"/>
      <c r="Z35" s="366"/>
    </row>
    <row r="36" spans="1:26" ht="13.5" customHeight="1">
      <c r="A36" s="339"/>
      <c r="B36" s="199"/>
      <c r="C36" s="284"/>
      <c r="D36" s="273"/>
      <c r="E36" s="284"/>
      <c r="F36" s="366"/>
      <c r="G36" s="378"/>
      <c r="H36" s="1149"/>
      <c r="I36" s="1153"/>
      <c r="J36" s="1154"/>
      <c r="K36" s="1155"/>
      <c r="L36" s="1158"/>
      <c r="M36" s="1159"/>
      <c r="N36" s="1"/>
      <c r="P36" s="84"/>
      <c r="Q36" s="145"/>
      <c r="R36" s="84"/>
      <c r="S36" s="86"/>
      <c r="T36" s="86"/>
      <c r="U36" s="86"/>
      <c r="V36" s="294"/>
      <c r="W36" s="86"/>
      <c r="X36" s="86"/>
      <c r="Y36" s="366"/>
      <c r="Z36" s="366"/>
    </row>
    <row r="37" spans="1:26" ht="15.75" customHeight="1">
      <c r="A37" s="339"/>
      <c r="B37" s="199"/>
      <c r="C37" s="199"/>
      <c r="D37" s="273"/>
      <c r="E37" s="199"/>
      <c r="F37" s="366"/>
      <c r="G37" s="378"/>
      <c r="H37" s="512" t="s">
        <v>250</v>
      </c>
      <c r="I37" s="1278" t="s">
        <v>47</v>
      </c>
      <c r="J37" s="1278"/>
      <c r="K37" s="672">
        <v>328.13</v>
      </c>
      <c r="L37" s="282">
        <v>43966</v>
      </c>
      <c r="M37" s="44" t="s">
        <v>269</v>
      </c>
      <c r="N37" s="150"/>
      <c r="P37" s="84"/>
      <c r="Q37" s="145"/>
      <c r="R37" s="84"/>
      <c r="S37" s="86"/>
      <c r="T37" s="86"/>
      <c r="U37" s="86"/>
      <c r="V37" s="294"/>
      <c r="W37" s="86"/>
      <c r="X37" s="86"/>
      <c r="Y37" s="366"/>
      <c r="Z37" s="366"/>
    </row>
    <row r="38" spans="1:26">
      <c r="A38" s="339"/>
      <c r="B38" s="366"/>
      <c r="C38" s="274"/>
      <c r="D38" s="273"/>
      <c r="E38" s="274"/>
      <c r="F38" s="366"/>
      <c r="G38" s="366"/>
      <c r="H38" s="512" t="s">
        <v>250</v>
      </c>
      <c r="I38" s="1262" t="s">
        <v>51</v>
      </c>
      <c r="J38" s="1262"/>
      <c r="K38" s="673">
        <v>71.83</v>
      </c>
      <c r="L38" s="282">
        <v>43966</v>
      </c>
      <c r="M38" s="44" t="s">
        <v>269</v>
      </c>
      <c r="N38" s="1"/>
      <c r="O38" s="12"/>
      <c r="P38" s="84"/>
      <c r="Q38" s="145"/>
      <c r="R38" s="273"/>
      <c r="S38" s="366"/>
      <c r="T38" s="86"/>
      <c r="U38" s="86"/>
      <c r="V38" s="294"/>
      <c r="W38" s="294"/>
      <c r="X38" s="294"/>
      <c r="Y38" s="366"/>
    </row>
    <row r="39" spans="1:26">
      <c r="A39" s="340"/>
      <c r="B39" s="366"/>
      <c r="C39" s="366"/>
      <c r="D39" s="273"/>
      <c r="E39" s="199"/>
      <c r="F39" s="366"/>
      <c r="G39" s="366"/>
      <c r="H39" s="512" t="s">
        <v>250</v>
      </c>
      <c r="I39" s="1262" t="s">
        <v>52</v>
      </c>
      <c r="J39" s="1262"/>
      <c r="K39" s="673">
        <v>5.63</v>
      </c>
      <c r="L39" s="282">
        <v>43966</v>
      </c>
      <c r="M39" s="44" t="s">
        <v>269</v>
      </c>
      <c r="N39" s="1"/>
      <c r="P39" s="84"/>
      <c r="Q39" s="145"/>
      <c r="R39" s="273"/>
      <c r="S39" s="366"/>
      <c r="T39" s="294"/>
      <c r="U39" s="86"/>
      <c r="V39" s="366"/>
      <c r="W39" s="294"/>
      <c r="X39" s="294"/>
      <c r="Y39" s="366"/>
    </row>
    <row r="40" spans="1:26">
      <c r="A40" s="340"/>
      <c r="B40" s="366"/>
      <c r="C40" s="366"/>
      <c r="D40" s="273"/>
      <c r="E40" s="366"/>
      <c r="F40" s="366"/>
      <c r="G40" s="366"/>
      <c r="H40" s="512" t="s">
        <v>250</v>
      </c>
      <c r="I40" s="1262" t="s">
        <v>49</v>
      </c>
      <c r="J40" s="1262"/>
      <c r="K40" s="685">
        <v>314</v>
      </c>
      <c r="L40" s="282">
        <v>43971</v>
      </c>
      <c r="M40" s="44" t="s">
        <v>41</v>
      </c>
      <c r="N40" s="150"/>
      <c r="P40" s="721"/>
      <c r="Q40" s="366"/>
      <c r="R40" s="657"/>
      <c r="S40" s="366"/>
      <c r="T40" s="294"/>
      <c r="U40" s="86"/>
      <c r="V40" s="294"/>
      <c r="W40" s="294"/>
      <c r="X40" s="294"/>
      <c r="Y40" s="366"/>
    </row>
    <row r="41" spans="1:26">
      <c r="A41" s="340"/>
      <c r="B41" s="366"/>
      <c r="C41" s="366"/>
      <c r="D41" s="273"/>
      <c r="E41" s="366"/>
      <c r="F41" s="366"/>
      <c r="G41" s="366"/>
      <c r="H41" s="512" t="s">
        <v>250</v>
      </c>
      <c r="I41" s="1263" t="s">
        <v>59</v>
      </c>
      <c r="J41" s="1263"/>
      <c r="K41" s="686">
        <v>101.89</v>
      </c>
      <c r="L41" s="302" t="s">
        <v>177</v>
      </c>
      <c r="M41" s="44" t="s">
        <v>269</v>
      </c>
      <c r="N41" s="1"/>
      <c r="P41" s="646"/>
      <c r="Q41" s="366"/>
      <c r="R41" s="657"/>
      <c r="S41" s="366"/>
      <c r="T41" s="294"/>
      <c r="U41" s="86"/>
      <c r="V41" s="294"/>
      <c r="W41" s="366"/>
      <c r="X41" s="366"/>
      <c r="Y41" s="366"/>
    </row>
    <row r="42" spans="1:26">
      <c r="A42" s="340"/>
      <c r="B42" s="199"/>
      <c r="C42" s="199"/>
      <c r="D42" s="273"/>
      <c r="E42" s="199"/>
      <c r="F42" s="366"/>
      <c r="G42" s="366"/>
      <c r="H42" s="512" t="s">
        <v>250</v>
      </c>
      <c r="I42" s="1264" t="s">
        <v>68</v>
      </c>
      <c r="J42" s="1265"/>
      <c r="K42" s="660">
        <f>191.92+87</f>
        <v>278.91999999999996</v>
      </c>
      <c r="L42" s="282">
        <v>43971</v>
      </c>
      <c r="M42" s="44" t="s">
        <v>269</v>
      </c>
      <c r="O42" s="12"/>
      <c r="P42" s="643"/>
      <c r="Q42" s="657"/>
      <c r="R42" s="657"/>
      <c r="S42" s="366"/>
      <c r="T42" s="366"/>
      <c r="U42" s="294"/>
      <c r="V42" s="294"/>
      <c r="W42" s="294"/>
      <c r="X42" s="294"/>
      <c r="Y42" s="366"/>
    </row>
    <row r="43" spans="1:26">
      <c r="A43" s="340"/>
      <c r="B43" s="199"/>
      <c r="C43" s="366"/>
      <c r="D43" s="273"/>
      <c r="E43" s="199"/>
      <c r="F43" s="366"/>
      <c r="G43" s="366"/>
      <c r="H43" s="512" t="s">
        <v>250</v>
      </c>
      <c r="I43" s="661" t="s">
        <v>174</v>
      </c>
      <c r="J43" s="662"/>
      <c r="K43" s="5">
        <f>337.71+180.88</f>
        <v>518.58999999999992</v>
      </c>
      <c r="L43" s="282">
        <v>43966</v>
      </c>
      <c r="M43" s="44" t="s">
        <v>269</v>
      </c>
      <c r="N43" s="12"/>
      <c r="P43" s="643"/>
      <c r="Q43" s="657"/>
      <c r="R43" s="365"/>
      <c r="S43" s="366"/>
      <c r="T43" s="294"/>
      <c r="U43" s="294"/>
      <c r="V43" s="294"/>
      <c r="W43" s="294"/>
      <c r="X43" s="294"/>
      <c r="Y43" s="366"/>
    </row>
    <row r="44" spans="1:26">
      <c r="A44" s="340"/>
      <c r="B44" s="199"/>
      <c r="C44" s="366"/>
      <c r="D44" s="273"/>
      <c r="E44" s="199"/>
      <c r="F44" s="366"/>
      <c r="G44" s="366"/>
      <c r="H44" s="687" t="s">
        <v>241</v>
      </c>
      <c r="I44" s="661" t="s">
        <v>176</v>
      </c>
      <c r="J44" s="662"/>
      <c r="K44" s="660" t="s">
        <v>258</v>
      </c>
      <c r="L44" s="282">
        <v>43971</v>
      </c>
      <c r="M44" s="44" t="s">
        <v>269</v>
      </c>
      <c r="N44" s="1"/>
      <c r="O44" s="12"/>
      <c r="P44" s="448"/>
      <c r="Q44" s="657"/>
      <c r="R44" s="365"/>
      <c r="S44" s="366"/>
      <c r="T44" s="294"/>
      <c r="U44" s="294"/>
      <c r="V44" s="294"/>
      <c r="W44" s="294"/>
      <c r="X44" s="294"/>
      <c r="Y44" s="366"/>
    </row>
    <row r="45" spans="1:26">
      <c r="A45" s="340"/>
      <c r="B45" s="199"/>
      <c r="C45" s="366"/>
      <c r="D45" s="273"/>
      <c r="E45" s="232"/>
      <c r="F45" s="366"/>
      <c r="G45" s="366"/>
      <c r="H45" s="512" t="s">
        <v>250</v>
      </c>
      <c r="I45" s="1264" t="s">
        <v>81</v>
      </c>
      <c r="J45" s="1265"/>
      <c r="K45" s="660">
        <v>1143.98</v>
      </c>
      <c r="L45" s="282">
        <v>43966</v>
      </c>
      <c r="M45" s="44" t="s">
        <v>269</v>
      </c>
      <c r="N45" s="1" t="s">
        <v>322</v>
      </c>
      <c r="O45" s="366"/>
      <c r="P45" s="448"/>
      <c r="Q45" s="657"/>
      <c r="R45" s="657"/>
      <c r="S45" s="366"/>
      <c r="T45" s="294"/>
      <c r="U45" s="366"/>
      <c r="V45" s="294"/>
      <c r="W45" s="294"/>
      <c r="X45" s="294"/>
      <c r="Y45" s="366"/>
    </row>
    <row r="46" spans="1:26">
      <c r="A46" s="340"/>
      <c r="B46" s="199"/>
      <c r="C46" s="366"/>
      <c r="D46" s="273"/>
      <c r="E46" s="232"/>
      <c r="F46" s="366"/>
      <c r="G46" s="366"/>
      <c r="H46" s="512" t="s">
        <v>250</v>
      </c>
      <c r="I46" s="1264" t="s">
        <v>181</v>
      </c>
      <c r="J46" s="1265"/>
      <c r="K46" s="660">
        <v>10</v>
      </c>
      <c r="L46" s="282">
        <v>43966</v>
      </c>
      <c r="M46" s="44" t="s">
        <v>269</v>
      </c>
      <c r="N46" s="1"/>
      <c r="O46" s="12"/>
      <c r="P46" s="145"/>
      <c r="Q46" s="657"/>
      <c r="R46" s="366"/>
      <c r="S46" s="366"/>
      <c r="T46" s="294"/>
      <c r="U46" s="294"/>
      <c r="V46" s="366"/>
      <c r="W46" s="294"/>
      <c r="X46" s="294"/>
      <c r="Y46" s="366"/>
    </row>
    <row r="47" spans="1:26">
      <c r="A47" s="340" t="s">
        <v>314</v>
      </c>
      <c r="B47" s="199"/>
      <c r="C47" s="366"/>
      <c r="D47" s="273"/>
      <c r="E47" s="232"/>
      <c r="F47" s="366"/>
      <c r="G47" s="366"/>
      <c r="H47" s="512" t="s">
        <v>250</v>
      </c>
      <c r="I47" s="1145" t="s">
        <v>61</v>
      </c>
      <c r="J47" s="1145"/>
      <c r="K47" s="93">
        <f>L5</f>
        <v>0</v>
      </c>
      <c r="L47" s="282">
        <v>43971</v>
      </c>
      <c r="M47" s="44" t="s">
        <v>269</v>
      </c>
      <c r="N47" s="1"/>
      <c r="P47" s="448"/>
      <c r="Q47" s="365"/>
      <c r="R47" s="365"/>
      <c r="S47" s="366"/>
      <c r="T47" s="294"/>
      <c r="U47" s="294"/>
      <c r="V47" s="366"/>
      <c r="W47" s="294"/>
      <c r="X47" s="294"/>
      <c r="Y47" s="366"/>
    </row>
    <row r="48" spans="1:26">
      <c r="A48" s="340"/>
      <c r="B48" s="199"/>
      <c r="C48" s="366"/>
      <c r="D48" s="273"/>
      <c r="E48" s="232"/>
      <c r="F48" s="366"/>
      <c r="G48" s="366"/>
      <c r="H48" s="512" t="s">
        <v>250</v>
      </c>
      <c r="I48" s="1145" t="s">
        <v>274</v>
      </c>
      <c r="J48" s="1145"/>
      <c r="K48" s="93">
        <v>73</v>
      </c>
      <c r="L48" s="282">
        <v>43971</v>
      </c>
      <c r="M48" s="44" t="s">
        <v>269</v>
      </c>
      <c r="N48" s="1"/>
      <c r="P48" s="448"/>
      <c r="Q48" s="365"/>
      <c r="R48" s="365"/>
      <c r="S48" s="366"/>
      <c r="T48" s="294"/>
      <c r="U48" s="294"/>
      <c r="V48" s="366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250</v>
      </c>
      <c r="I49" s="1145" t="s">
        <v>275</v>
      </c>
      <c r="J49" s="1145"/>
      <c r="K49" s="93">
        <v>50</v>
      </c>
      <c r="L49" s="282">
        <v>43966</v>
      </c>
      <c r="M49" s="44" t="s">
        <v>269</v>
      </c>
      <c r="N49" s="1"/>
      <c r="P49" s="448"/>
      <c r="Q49" s="273"/>
      <c r="R49" s="365"/>
      <c r="S49" s="366"/>
      <c r="T49" s="294"/>
      <c r="U49" s="294"/>
      <c r="V49" s="366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250</v>
      </c>
      <c r="I50" s="1145" t="s">
        <v>276</v>
      </c>
      <c r="J50" s="1145"/>
      <c r="K50" s="93">
        <v>150</v>
      </c>
      <c r="L50" s="282">
        <v>43981</v>
      </c>
      <c r="M50" s="44" t="s">
        <v>269</v>
      </c>
      <c r="N50" s="1"/>
      <c r="P50" s="448"/>
      <c r="Q50" s="365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250</v>
      </c>
      <c r="I51" s="1145" t="s">
        <v>296</v>
      </c>
      <c r="J51" s="1145"/>
      <c r="K51" s="93">
        <v>18</v>
      </c>
      <c r="L51" s="282">
        <v>43966</v>
      </c>
      <c r="M51" s="44" t="s">
        <v>269</v>
      </c>
      <c r="N51" s="1"/>
      <c r="O51" s="150"/>
      <c r="P51" s="448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 ht="15.75" thickBot="1">
      <c r="A52" s="341"/>
      <c r="B52" s="330"/>
      <c r="C52" s="331"/>
      <c r="D52" s="342"/>
      <c r="E52" s="330"/>
      <c r="F52" s="331"/>
      <c r="G52" s="331"/>
      <c r="H52" s="1280" t="s">
        <v>179</v>
      </c>
      <c r="I52" s="1281"/>
      <c r="J52" s="361">
        <f>SUM(K37:K51)</f>
        <v>3063.97</v>
      </c>
      <c r="K52" s="1146" t="s">
        <v>180</v>
      </c>
      <c r="L52" s="1146"/>
      <c r="M52" s="484">
        <f>K47</f>
        <v>0</v>
      </c>
      <c r="N52" s="1"/>
      <c r="P52" s="448"/>
      <c r="Q52" s="365"/>
      <c r="R52" s="366"/>
      <c r="S52" s="366"/>
      <c r="T52" s="294"/>
      <c r="U52" s="366"/>
      <c r="V52" s="366"/>
      <c r="W52" s="366"/>
      <c r="X52" s="366"/>
      <c r="Y52" s="366"/>
    </row>
    <row r="53" spans="1:25" ht="15.75" thickTop="1">
      <c r="A53" s="366"/>
      <c r="B53" s="366"/>
      <c r="C53" s="366"/>
      <c r="D53" s="366"/>
      <c r="E53" s="366"/>
      <c r="F53" s="366"/>
      <c r="G53" s="366"/>
      <c r="H53" s="1162"/>
      <c r="I53" s="1162"/>
      <c r="J53" s="1162"/>
      <c r="K53" s="1162"/>
      <c r="L53" s="366"/>
      <c r="M53" s="441"/>
      <c r="N53" s="1"/>
      <c r="P53" s="448"/>
      <c r="Q53" s="365"/>
      <c r="R53" s="366"/>
      <c r="S53" s="366"/>
      <c r="T53" s="366"/>
      <c r="U53" s="366"/>
      <c r="V53" s="366"/>
      <c r="W53" s="366"/>
      <c r="X53" s="366"/>
      <c r="Y53" s="366"/>
    </row>
    <row r="54" spans="1:25" ht="15" customHeight="1">
      <c r="A54" s="1163" t="s">
        <v>328</v>
      </c>
      <c r="B54" s="1163"/>
      <c r="C54" s="1163"/>
      <c r="D54" s="1163"/>
      <c r="E54" s="1163"/>
      <c r="F54" s="1163"/>
      <c r="G54" s="1163"/>
      <c r="H54" s="1163"/>
      <c r="I54" s="1163"/>
      <c r="J54" s="1163"/>
      <c r="K54" s="1163"/>
      <c r="L54" s="1163"/>
      <c r="M54" s="1163"/>
      <c r="N54" s="1"/>
      <c r="P54" s="448"/>
      <c r="Q54" s="365"/>
      <c r="R54" s="366"/>
      <c r="S54" s="366"/>
      <c r="T54" s="366"/>
      <c r="U54" s="366"/>
      <c r="V54" s="366"/>
      <c r="W54" s="366"/>
      <c r="X54" s="366"/>
    </row>
    <row r="55" spans="1:25" ht="15.75" customHeight="1" thickBot="1">
      <c r="A55" s="1164"/>
      <c r="B55" s="1164"/>
      <c r="C55" s="1164"/>
      <c r="D55" s="1164"/>
      <c r="E55" s="1164"/>
      <c r="F55" s="1164"/>
      <c r="G55" s="1164"/>
      <c r="H55" s="1164"/>
      <c r="I55" s="1164"/>
      <c r="J55" s="1164"/>
      <c r="K55" s="1164"/>
      <c r="L55" s="1164"/>
      <c r="M55" s="1164"/>
      <c r="N55" s="1"/>
      <c r="P55" s="448"/>
      <c r="Q55" s="365"/>
      <c r="R55" s="365"/>
      <c r="S55" s="657"/>
      <c r="T55" s="366"/>
      <c r="U55" s="366"/>
      <c r="V55" s="366"/>
      <c r="W55" s="366"/>
      <c r="X55" s="366"/>
    </row>
    <row r="56" spans="1:25" ht="15.75" thickTop="1">
      <c r="A56" s="1266" t="s">
        <v>317</v>
      </c>
      <c r="B56" s="1166"/>
      <c r="C56" s="1166"/>
      <c r="D56" s="1166"/>
      <c r="E56" s="1166"/>
      <c r="F56" s="1166"/>
      <c r="G56" s="1167"/>
      <c r="H56" s="1282" t="s">
        <v>316</v>
      </c>
      <c r="I56" s="1283"/>
      <c r="J56" s="1283"/>
      <c r="K56" s="1283"/>
      <c r="L56" s="1283"/>
      <c r="M56" s="1284"/>
      <c r="N56" s="1"/>
      <c r="P56" s="448"/>
      <c r="Q56" s="366"/>
      <c r="S56" s="274"/>
      <c r="T56" s="366"/>
      <c r="U56" s="366"/>
      <c r="V56" s="366"/>
      <c r="W56" s="366"/>
      <c r="X56" s="366"/>
    </row>
    <row r="57" spans="1:25">
      <c r="A57" s="324" t="s">
        <v>2</v>
      </c>
      <c r="B57" s="649" t="s">
        <v>34</v>
      </c>
      <c r="C57" s="36" t="s">
        <v>35</v>
      </c>
      <c r="D57" s="36" t="s">
        <v>38</v>
      </c>
      <c r="E57" s="36" t="s">
        <v>42</v>
      </c>
      <c r="F57" s="649" t="s">
        <v>36</v>
      </c>
      <c r="G57" s="100" t="s">
        <v>173</v>
      </c>
      <c r="H57" s="676" t="s">
        <v>2</v>
      </c>
      <c r="I57" s="1285" t="s">
        <v>34</v>
      </c>
      <c r="J57" s="1285"/>
      <c r="K57" s="674" t="s">
        <v>35</v>
      </c>
      <c r="L57" s="1286" t="s">
        <v>173</v>
      </c>
      <c r="M57" s="1287"/>
      <c r="N57" s="1"/>
      <c r="P57" s="448"/>
      <c r="Q57" s="366"/>
      <c r="S57" s="274"/>
      <c r="T57" s="366"/>
      <c r="U57" s="366"/>
      <c r="V57" s="366"/>
      <c r="W57" s="366"/>
      <c r="X57" s="366"/>
    </row>
    <row r="58" spans="1:25">
      <c r="A58" s="325">
        <v>43888</v>
      </c>
      <c r="B58" s="681" t="s">
        <v>263</v>
      </c>
      <c r="C58" s="275">
        <v>1008.8</v>
      </c>
      <c r="D58" s="275">
        <f>508.8+250+250</f>
        <v>1008.8</v>
      </c>
      <c r="E58" s="542" t="str">
        <f t="shared" ref="E58:E63" si="3">IF(C58-D58=0,"",C58-D58)</f>
        <v/>
      </c>
      <c r="F58" s="162" t="str">
        <f t="shared" ref="F58:F63" si="4">IF(C58=0,"",IF(C58-D58=0,"оплачено","ОЖИДАЕТСЯ оплата"))</f>
        <v>оплачено</v>
      </c>
      <c r="G58" s="162"/>
      <c r="H58" s="678">
        <f t="shared" ref="H58:I63" si="5">S4</f>
        <v>43959</v>
      </c>
      <c r="I58" s="1288" t="str">
        <f t="shared" si="5"/>
        <v>jess nail</v>
      </c>
      <c r="J58" s="1289"/>
      <c r="K58" s="480">
        <f t="shared" ref="K58:K63" si="6">U4</f>
        <v>290</v>
      </c>
      <c r="L58" s="1293"/>
      <c r="M58" s="1294"/>
      <c r="N58" s="1"/>
      <c r="P58" s="448"/>
      <c r="Q58" s="366"/>
      <c r="S58" s="366"/>
      <c r="T58" s="84"/>
      <c r="U58" s="366"/>
      <c r="W58" s="366"/>
      <c r="X58" s="366"/>
    </row>
    <row r="59" spans="1:25">
      <c r="A59" s="325">
        <v>43955</v>
      </c>
      <c r="B59" s="680" t="s">
        <v>301</v>
      </c>
      <c r="C59" s="275">
        <v>589.83000000000004</v>
      </c>
      <c r="D59" s="275">
        <v>589.83000000000004</v>
      </c>
      <c r="E59" s="542" t="str">
        <f t="shared" si="3"/>
        <v/>
      </c>
      <c r="F59" s="162" t="str">
        <f t="shared" si="4"/>
        <v>оплачено</v>
      </c>
      <c r="G59" s="162"/>
      <c r="H59" s="678">
        <f t="shared" si="5"/>
        <v>43962</v>
      </c>
      <c r="I59" s="1288" t="str">
        <f t="shared" si="5"/>
        <v>джамп</v>
      </c>
      <c r="J59" s="1289"/>
      <c r="K59" s="480">
        <f t="shared" si="6"/>
        <v>52.32</v>
      </c>
      <c r="L59" s="1293"/>
      <c r="M59" s="1294"/>
      <c r="N59" s="1"/>
      <c r="P59" s="448"/>
      <c r="Q59" s="366"/>
      <c r="S59" s="366"/>
      <c r="T59" s="366"/>
      <c r="U59" s="366"/>
      <c r="W59" s="366"/>
      <c r="X59" s="366"/>
    </row>
    <row r="60" spans="1:25">
      <c r="A60" s="325">
        <v>43950</v>
      </c>
      <c r="B60" s="161" t="s">
        <v>301</v>
      </c>
      <c r="C60" s="275">
        <v>361.38</v>
      </c>
      <c r="D60" s="275">
        <v>361.38</v>
      </c>
      <c r="E60" s="542" t="str">
        <f t="shared" si="3"/>
        <v/>
      </c>
      <c r="F60" s="162" t="str">
        <f t="shared" si="4"/>
        <v>оплачено</v>
      </c>
      <c r="G60" s="162"/>
      <c r="H60" s="678">
        <f t="shared" si="5"/>
        <v>43960</v>
      </c>
      <c r="I60" s="1288" t="str">
        <f t="shared" si="5"/>
        <v>граттол</v>
      </c>
      <c r="J60" s="1289"/>
      <c r="K60" s="480">
        <f t="shared" si="6"/>
        <v>100.2</v>
      </c>
      <c r="L60" s="1290"/>
      <c r="M60" s="1291"/>
      <c r="N60" s="1"/>
      <c r="P60" s="448"/>
      <c r="T60" s="366"/>
      <c r="U60" s="366"/>
    </row>
    <row r="61" spans="1:25">
      <c r="A61" s="325">
        <v>43956</v>
      </c>
      <c r="B61" s="161" t="s">
        <v>307</v>
      </c>
      <c r="C61" s="275">
        <v>331.25</v>
      </c>
      <c r="D61" s="275">
        <v>331.25</v>
      </c>
      <c r="E61" s="542" t="str">
        <f t="shared" si="3"/>
        <v/>
      </c>
      <c r="F61" s="162" t="str">
        <f t="shared" si="4"/>
        <v>оплачено</v>
      </c>
      <c r="G61" s="162"/>
      <c r="H61" s="678">
        <f t="shared" si="5"/>
        <v>43960</v>
      </c>
      <c r="I61" s="1288" t="str">
        <f t="shared" si="5"/>
        <v>киеми</v>
      </c>
      <c r="J61" s="1289"/>
      <c r="K61" s="480">
        <f t="shared" si="6"/>
        <v>339.1</v>
      </c>
      <c r="L61" s="1290"/>
      <c r="M61" s="1291"/>
      <c r="N61" s="1"/>
      <c r="P61" s="448"/>
      <c r="U61" s="366"/>
    </row>
    <row r="62" spans="1:25">
      <c r="A62" s="325">
        <v>43957</v>
      </c>
      <c r="B62" s="161" t="s">
        <v>291</v>
      </c>
      <c r="C62" s="275">
        <v>376.62</v>
      </c>
      <c r="D62" s="275">
        <v>376.62</v>
      </c>
      <c r="E62" s="542" t="str">
        <f t="shared" si="3"/>
        <v/>
      </c>
      <c r="F62" s="162" t="str">
        <f t="shared" si="4"/>
        <v>оплачено</v>
      </c>
      <c r="G62" s="162"/>
      <c r="H62" s="678">
        <f t="shared" si="5"/>
        <v>43964</v>
      </c>
      <c r="I62" s="1288" t="str">
        <f t="shared" si="5"/>
        <v>насир</v>
      </c>
      <c r="J62" s="1289"/>
      <c r="K62" s="480">
        <f t="shared" si="6"/>
        <v>581.75</v>
      </c>
      <c r="L62" s="1290"/>
      <c r="M62" s="1291"/>
      <c r="N62" s="1"/>
      <c r="P62" s="541"/>
      <c r="U62" s="366"/>
    </row>
    <row r="63" spans="1:25">
      <c r="A63" s="325">
        <v>43957</v>
      </c>
      <c r="B63" s="161" t="s">
        <v>308</v>
      </c>
      <c r="C63" s="275">
        <v>128.15</v>
      </c>
      <c r="D63" s="275">
        <v>128.15</v>
      </c>
      <c r="E63" s="542" t="str">
        <f t="shared" si="3"/>
        <v/>
      </c>
      <c r="F63" s="162" t="str">
        <f t="shared" si="4"/>
        <v>оплачено</v>
      </c>
      <c r="G63" s="162"/>
      <c r="H63" s="678">
        <f t="shared" si="5"/>
        <v>43962</v>
      </c>
      <c r="I63" s="1288" t="str">
        <f t="shared" si="5"/>
        <v>киеми</v>
      </c>
      <c r="J63" s="1289"/>
      <c r="K63" s="480">
        <f t="shared" si="6"/>
        <v>253.6</v>
      </c>
      <c r="L63" s="1290"/>
      <c r="M63" s="1291"/>
      <c r="N63" s="1"/>
      <c r="P63" s="86"/>
      <c r="U63" s="366"/>
    </row>
    <row r="64" spans="1:25" ht="14.45" customHeight="1">
      <c r="A64" s="325">
        <v>43962</v>
      </c>
      <c r="B64" s="161" t="s">
        <v>101</v>
      </c>
      <c r="C64" s="692">
        <v>194.74</v>
      </c>
      <c r="D64" s="693">
        <v>194.74</v>
      </c>
      <c r="E64" s="542" t="str">
        <f t="shared" ref="E64:E73" si="7">IF(C64-D64=0,"",C64-D64)</f>
        <v/>
      </c>
      <c r="F64" s="162" t="str">
        <f t="shared" ref="F64:F73" si="8">IF(C64=0,"",IF(C64-D64=0,"оплачено","ОЖИДАЕТСЯ оплата"))</f>
        <v>оплачено</v>
      </c>
      <c r="G64" s="162"/>
      <c r="H64" s="678" t="str">
        <f>IF(S10="","",S10)</f>
        <v/>
      </c>
      <c r="I64" s="1288" t="str">
        <f>IF(T10="","",T10)</f>
        <v>зингер</v>
      </c>
      <c r="J64" s="1289"/>
      <c r="K64" s="480">
        <f>IF(U10="","",U10)</f>
        <v>2000</v>
      </c>
      <c r="L64" s="1191"/>
      <c r="M64" s="1292"/>
      <c r="N64" s="1"/>
      <c r="P64" s="86"/>
    </row>
    <row r="65" spans="1:21" ht="14.45" customHeight="1">
      <c r="A65" s="325">
        <v>43962</v>
      </c>
      <c r="B65" s="161" t="s">
        <v>307</v>
      </c>
      <c r="C65" s="275">
        <v>377</v>
      </c>
      <c r="D65" s="275">
        <v>377</v>
      </c>
      <c r="E65" s="542" t="str">
        <f t="shared" si="7"/>
        <v/>
      </c>
      <c r="F65" s="162" t="str">
        <f t="shared" si="8"/>
        <v>оплачено</v>
      </c>
      <c r="G65" s="162"/>
      <c r="H65" s="678">
        <v>43976</v>
      </c>
      <c r="I65" s="1288" t="str">
        <f t="shared" ref="I65" si="9">IF(T11="","",T11)</f>
        <v>граттол</v>
      </c>
      <c r="J65" s="1289"/>
      <c r="K65" s="480">
        <v>344.25</v>
      </c>
      <c r="L65" s="1191"/>
      <c r="M65" s="1292"/>
      <c r="N65" s="1"/>
    </row>
    <row r="66" spans="1:21" ht="14.45" customHeight="1">
      <c r="A66" s="325">
        <v>43963</v>
      </c>
      <c r="B66" s="161" t="s">
        <v>221</v>
      </c>
      <c r="C66" s="275">
        <v>295.05</v>
      </c>
      <c r="D66" s="275">
        <v>295.05</v>
      </c>
      <c r="E66" s="542" t="str">
        <f t="shared" si="7"/>
        <v/>
      </c>
      <c r="F66" s="162" t="str">
        <f t="shared" si="8"/>
        <v>оплачено</v>
      </c>
      <c r="G66" s="162"/>
      <c r="H66" s="678" t="str">
        <f t="shared" ref="H66:H73" si="10">IF(S12="","",S12)</f>
        <v/>
      </c>
      <c r="I66" s="1288" t="str">
        <f>IF(T12="","",T12)</f>
        <v/>
      </c>
      <c r="J66" s="1289"/>
      <c r="K66" s="480" t="str">
        <f>IF(U12="","",U12)</f>
        <v/>
      </c>
      <c r="L66" s="1191"/>
      <c r="M66" s="1292"/>
      <c r="N66" s="1"/>
      <c r="O66" s="366"/>
    </row>
    <row r="67" spans="1:21">
      <c r="A67" s="325">
        <v>43963</v>
      </c>
      <c r="B67" s="161" t="s">
        <v>301</v>
      </c>
      <c r="C67" s="275">
        <v>471.64</v>
      </c>
      <c r="D67" s="275">
        <v>471.64</v>
      </c>
      <c r="E67" s="542" t="str">
        <f t="shared" si="7"/>
        <v/>
      </c>
      <c r="F67" s="162" t="str">
        <f t="shared" si="8"/>
        <v>оплачено</v>
      </c>
      <c r="G67" s="162"/>
      <c r="H67" s="678" t="str">
        <f t="shared" si="10"/>
        <v/>
      </c>
      <c r="I67" s="1288" t="str">
        <f t="shared" ref="I67:I73" si="11">IF(T13="","",T13)</f>
        <v/>
      </c>
      <c r="J67" s="1289"/>
      <c r="K67" s="480" t="str">
        <f>IF(U13="","",U13)</f>
        <v/>
      </c>
      <c r="L67" s="1191"/>
      <c r="M67" s="1292"/>
      <c r="N67" s="1"/>
      <c r="O67" s="366"/>
    </row>
    <row r="68" spans="1:21" s="86" customFormat="1">
      <c r="A68" s="325">
        <v>43963</v>
      </c>
      <c r="B68" s="161" t="s">
        <v>312</v>
      </c>
      <c r="C68" s="275">
        <v>88.32</v>
      </c>
      <c r="D68" s="275">
        <v>88.32</v>
      </c>
      <c r="E68" s="542" t="str">
        <f t="shared" si="7"/>
        <v/>
      </c>
      <c r="F68" s="162" t="str">
        <f t="shared" si="8"/>
        <v>оплачено</v>
      </c>
      <c r="G68" s="162"/>
      <c r="H68" s="678" t="str">
        <f t="shared" si="10"/>
        <v/>
      </c>
      <c r="I68" s="1288" t="str">
        <f t="shared" si="11"/>
        <v/>
      </c>
      <c r="J68" s="1289"/>
      <c r="K68" s="480" t="str">
        <f t="shared" ref="K68:K73" si="12">IF(U14="","",U14)</f>
        <v/>
      </c>
      <c r="L68" s="1290"/>
      <c r="M68" s="1291"/>
      <c r="N68" s="366"/>
      <c r="O68" s="84"/>
      <c r="P68" s="1"/>
      <c r="Q68" s="35"/>
      <c r="T68" s="35"/>
      <c r="U68" s="35"/>
    </row>
    <row r="69" spans="1:21">
      <c r="A69" s="325">
        <v>43964</v>
      </c>
      <c r="B69" s="161" t="s">
        <v>222</v>
      </c>
      <c r="C69" s="275">
        <v>370.74</v>
      </c>
      <c r="D69" s="275">
        <v>370.74</v>
      </c>
      <c r="E69" s="542" t="str">
        <f t="shared" si="7"/>
        <v/>
      </c>
      <c r="F69" s="162" t="str">
        <f t="shared" si="8"/>
        <v>оплачено</v>
      </c>
      <c r="G69" s="162"/>
      <c r="H69" s="678" t="str">
        <f t="shared" si="10"/>
        <v/>
      </c>
      <c r="I69" s="1288" t="str">
        <f t="shared" si="11"/>
        <v/>
      </c>
      <c r="J69" s="1289"/>
      <c r="K69" s="480" t="str">
        <f t="shared" si="12"/>
        <v/>
      </c>
      <c r="L69" s="1191"/>
      <c r="M69" s="1292"/>
      <c r="N69" s="1"/>
      <c r="O69" s="366"/>
      <c r="P69" s="1"/>
      <c r="T69" s="86"/>
    </row>
    <row r="70" spans="1:21">
      <c r="A70" s="325">
        <v>43972</v>
      </c>
      <c r="B70" s="161" t="s">
        <v>307</v>
      </c>
      <c r="C70" s="275">
        <v>107</v>
      </c>
      <c r="D70" s="275">
        <v>107</v>
      </c>
      <c r="E70" s="542" t="str">
        <f t="shared" si="7"/>
        <v/>
      </c>
      <c r="F70" s="162" t="str">
        <f t="shared" si="8"/>
        <v>оплачено</v>
      </c>
      <c r="G70" s="162"/>
      <c r="H70" s="678" t="str">
        <f t="shared" si="10"/>
        <v/>
      </c>
      <c r="I70" s="1288" t="str">
        <f t="shared" si="11"/>
        <v/>
      </c>
      <c r="J70" s="1289"/>
      <c r="K70" s="480" t="str">
        <f t="shared" si="12"/>
        <v/>
      </c>
      <c r="L70" s="1191"/>
      <c r="M70" s="1292"/>
      <c r="N70" s="1"/>
      <c r="O70" s="366"/>
      <c r="P70" s="366"/>
    </row>
    <row r="71" spans="1:21">
      <c r="A71" s="325">
        <v>43973</v>
      </c>
      <c r="B71" s="276" t="s">
        <v>263</v>
      </c>
      <c r="C71" s="682">
        <v>441.44</v>
      </c>
      <c r="D71" s="275"/>
      <c r="E71" s="542">
        <f t="shared" si="7"/>
        <v>441.44</v>
      </c>
      <c r="F71" s="162" t="str">
        <f t="shared" si="8"/>
        <v>ОЖИДАЕТСЯ оплата</v>
      </c>
      <c r="G71" s="162"/>
      <c r="H71" s="678" t="str">
        <f t="shared" si="10"/>
        <v/>
      </c>
      <c r="I71" s="1288" t="str">
        <f t="shared" si="11"/>
        <v/>
      </c>
      <c r="J71" s="1289"/>
      <c r="K71" s="480" t="str">
        <f t="shared" si="12"/>
        <v/>
      </c>
      <c r="L71" s="1191"/>
      <c r="M71" s="1292"/>
      <c r="N71" s="1"/>
      <c r="O71" s="84"/>
      <c r="P71" s="150"/>
    </row>
    <row r="72" spans="1:21">
      <c r="A72" s="325">
        <v>43985</v>
      </c>
      <c r="B72" s="161" t="s">
        <v>291</v>
      </c>
      <c r="C72" s="275">
        <v>308.64999999999998</v>
      </c>
      <c r="D72" s="275"/>
      <c r="E72" s="542">
        <f t="shared" si="7"/>
        <v>308.64999999999998</v>
      </c>
      <c r="F72" s="162" t="str">
        <f t="shared" si="8"/>
        <v>ОЖИДАЕТСЯ оплата</v>
      </c>
      <c r="G72" s="162"/>
      <c r="H72" s="678" t="str">
        <f t="shared" si="10"/>
        <v/>
      </c>
      <c r="I72" s="1288" t="str">
        <f t="shared" si="11"/>
        <v/>
      </c>
      <c r="J72" s="1289"/>
      <c r="K72" s="480" t="str">
        <f t="shared" si="12"/>
        <v/>
      </c>
      <c r="L72" s="1191"/>
      <c r="M72" s="1292"/>
      <c r="N72" s="1"/>
      <c r="O72" s="366"/>
      <c r="P72" s="1"/>
      <c r="Q72" s="86"/>
    </row>
    <row r="73" spans="1:21">
      <c r="A73" s="325"/>
      <c r="B73" s="161"/>
      <c r="C73" s="275"/>
      <c r="D73" s="275"/>
      <c r="E73" s="542" t="str">
        <f t="shared" si="7"/>
        <v/>
      </c>
      <c r="F73" s="162" t="str">
        <f t="shared" si="8"/>
        <v/>
      </c>
      <c r="G73" s="162"/>
      <c r="H73" s="678" t="str">
        <f t="shared" si="10"/>
        <v/>
      </c>
      <c r="I73" s="1288" t="str">
        <f t="shared" si="11"/>
        <v/>
      </c>
      <c r="J73" s="1289"/>
      <c r="K73" s="480" t="str">
        <f t="shared" si="12"/>
        <v/>
      </c>
      <c r="L73" s="1191"/>
      <c r="M73" s="1292"/>
      <c r="N73" s="1"/>
      <c r="O73" s="366"/>
      <c r="P73" s="1"/>
    </row>
    <row r="74" spans="1:21" ht="15.75" thickBot="1">
      <c r="A74" s="1272" t="s">
        <v>259</v>
      </c>
      <c r="B74" s="1273"/>
      <c r="C74" s="358">
        <f>SUM(C58:C73)</f>
        <v>5450.61</v>
      </c>
      <c r="D74" s="358"/>
      <c r="E74" s="542">
        <f>SUM(E58:E73)</f>
        <v>750.08999999999992</v>
      </c>
      <c r="F74" s="162"/>
      <c r="G74" s="450"/>
      <c r="H74" s="1295" t="s">
        <v>259</v>
      </c>
      <c r="I74" s="1296"/>
      <c r="J74" s="1297"/>
      <c r="K74" s="677">
        <f>SUM(K58:K73)</f>
        <v>3961.22</v>
      </c>
      <c r="L74" s="1298"/>
      <c r="M74" s="1299"/>
      <c r="N74" s="1"/>
      <c r="O74" s="366"/>
      <c r="P74" s="84"/>
      <c r="U74" s="86"/>
    </row>
    <row r="75" spans="1:21" ht="15.75" thickTop="1">
      <c r="A75" s="351"/>
      <c r="B75" s="352"/>
      <c r="C75" s="353"/>
      <c r="D75" s="353"/>
      <c r="E75" s="354"/>
      <c r="F75" s="352"/>
      <c r="G75" s="376"/>
      <c r="H75" s="1171" t="s">
        <v>16</v>
      </c>
      <c r="I75" s="1173" t="s">
        <v>17</v>
      </c>
      <c r="J75" s="1173" t="s">
        <v>21</v>
      </c>
      <c r="K75" s="1173"/>
      <c r="L75" s="1175" t="s">
        <v>93</v>
      </c>
      <c r="M75" s="1177" t="s">
        <v>95</v>
      </c>
      <c r="N75" s="1"/>
      <c r="O75" s="366"/>
      <c r="P75" s="84"/>
    </row>
    <row r="76" spans="1:21" ht="24">
      <c r="A76" s="355"/>
      <c r="B76" s="201"/>
      <c r="C76" s="201"/>
      <c r="D76" s="201"/>
      <c r="E76" s="216"/>
      <c r="F76" s="201"/>
      <c r="G76" s="201"/>
      <c r="H76" s="1172"/>
      <c r="I76" s="1174"/>
      <c r="J76" s="653" t="s">
        <v>21</v>
      </c>
      <c r="K76" s="653" t="s">
        <v>25</v>
      </c>
      <c r="L76" s="1176"/>
      <c r="M76" s="1178"/>
      <c r="N76" s="1"/>
      <c r="O76" s="366"/>
      <c r="P76" s="84"/>
    </row>
    <row r="77" spans="1:21">
      <c r="A77" s="338"/>
      <c r="B77" s="199"/>
      <c r="C77" s="288"/>
      <c r="D77" s="232"/>
      <c r="E77" s="84"/>
      <c r="F77" s="199"/>
      <c r="G77" s="199"/>
      <c r="H77" s="347" t="s">
        <v>163</v>
      </c>
      <c r="I77" s="94">
        <v>2420.3999999999996</v>
      </c>
      <c r="J77" s="94">
        <v>115.5</v>
      </c>
      <c r="K77" s="656">
        <v>132.61000000000001</v>
      </c>
      <c r="L77" s="96">
        <v>22665.5</v>
      </c>
      <c r="M77" s="104">
        <f>L77-I77-J77-K77</f>
        <v>19996.989999999998</v>
      </c>
      <c r="N77" s="150"/>
      <c r="O77" s="448"/>
      <c r="P77" s="439"/>
      <c r="R77" s="86"/>
    </row>
    <row r="78" spans="1:21">
      <c r="A78" s="339"/>
      <c r="B78" s="199"/>
      <c r="C78" s="199"/>
      <c r="D78" s="273"/>
      <c r="E78" s="366"/>
      <c r="F78" s="84"/>
      <c r="G78" s="366"/>
      <c r="H78" s="347" t="s">
        <v>192</v>
      </c>
      <c r="I78" s="94">
        <v>7629.69</v>
      </c>
      <c r="J78" s="94">
        <v>352.29</v>
      </c>
      <c r="K78" s="94">
        <v>193.85000000000002</v>
      </c>
      <c r="L78" s="96">
        <v>10342</v>
      </c>
      <c r="M78" s="104">
        <f>M77-I78-J78-K78+L78</f>
        <v>22163.159999999996</v>
      </c>
      <c r="N78" s="1"/>
      <c r="O78" s="448"/>
      <c r="P78" s="439"/>
      <c r="R78" s="86"/>
    </row>
    <row r="79" spans="1:21">
      <c r="A79" s="339"/>
      <c r="B79" s="366"/>
      <c r="C79" s="199"/>
      <c r="D79" s="273"/>
      <c r="E79" s="366"/>
      <c r="F79" s="366"/>
      <c r="G79" s="366"/>
      <c r="H79" s="347" t="s">
        <v>199</v>
      </c>
      <c r="I79" s="298">
        <v>8423.6400000000012</v>
      </c>
      <c r="J79" s="94">
        <v>921.3</v>
      </c>
      <c r="K79" s="299">
        <v>312.46000000000004</v>
      </c>
      <c r="L79" s="299">
        <v>16668</v>
      </c>
      <c r="M79" s="104">
        <f>M78-I79-J79-K79+L79</f>
        <v>29173.759999999995</v>
      </c>
      <c r="N79" s="1"/>
      <c r="O79" s="448"/>
      <c r="P79" s="436"/>
      <c r="R79" s="86"/>
    </row>
    <row r="80" spans="1:21">
      <c r="A80" s="339"/>
      <c r="B80" s="1"/>
      <c r="C80" s="284"/>
      <c r="D80" s="273"/>
      <c r="E80" s="366"/>
      <c r="F80" s="366"/>
      <c r="G80" s="84"/>
      <c r="H80" s="347" t="s">
        <v>209</v>
      </c>
      <c r="I80" s="299">
        <v>8639.7199999999993</v>
      </c>
      <c r="J80" s="300">
        <v>749.49</v>
      </c>
      <c r="K80" s="526">
        <v>435.1</v>
      </c>
      <c r="L80" s="299">
        <v>17824.919999999998</v>
      </c>
      <c r="M80" s="104">
        <f>M79-I80-J80-K80+L80</f>
        <v>37174.369999999995</v>
      </c>
      <c r="N80" s="92" t="s">
        <v>284</v>
      </c>
      <c r="O80" s="619"/>
      <c r="P80" s="724"/>
      <c r="R80" s="86"/>
    </row>
    <row r="81" spans="1:26">
      <c r="A81" s="339"/>
      <c r="B81" s="199"/>
      <c r="C81" s="1"/>
      <c r="D81" s="273"/>
      <c r="E81" s="366"/>
      <c r="F81" s="366"/>
      <c r="G81" s="366"/>
      <c r="H81" s="348" t="s">
        <v>210</v>
      </c>
      <c r="I81" s="300">
        <v>12605.26</v>
      </c>
      <c r="J81" s="299">
        <v>600.5</v>
      </c>
      <c r="K81" s="300">
        <v>491.64</v>
      </c>
      <c r="L81" s="299">
        <v>15183.9</v>
      </c>
      <c r="M81" s="104">
        <v>36025.39</v>
      </c>
      <c r="N81" s="618">
        <v>38660.869999999995</v>
      </c>
      <c r="O81" s="145"/>
      <c r="P81" s="437"/>
      <c r="Q81" s="86"/>
      <c r="R81" s="86"/>
    </row>
    <row r="82" spans="1:26">
      <c r="A82" s="339"/>
      <c r="B82" s="199"/>
      <c r="C82" s="1"/>
      <c r="D82" s="273"/>
      <c r="E82" s="366"/>
      <c r="F82" s="366"/>
      <c r="G82" s="366"/>
      <c r="H82" s="379" t="s">
        <v>211</v>
      </c>
      <c r="I82" s="689">
        <v>11425.189999999999</v>
      </c>
      <c r="J82" s="438">
        <v>232.2</v>
      </c>
      <c r="K82" s="694">
        <v>262</v>
      </c>
      <c r="L82" s="606">
        <v>11864.4</v>
      </c>
      <c r="M82" s="104">
        <f>M81-I82-J82-K82+L82</f>
        <v>35970.400000000001</v>
      </c>
      <c r="N82" s="1"/>
      <c r="O82" s="366"/>
      <c r="P82" s="437"/>
      <c r="Q82" s="86"/>
      <c r="R82" s="86"/>
      <c r="V82" s="1"/>
    </row>
    <row r="83" spans="1:26" ht="15.75" thickBot="1">
      <c r="A83" s="339"/>
      <c r="B83" s="199"/>
      <c r="C83" s="1"/>
      <c r="D83" s="273"/>
      <c r="E83" s="366"/>
      <c r="F83" s="366"/>
      <c r="G83" s="366"/>
      <c r="H83" s="608" t="s">
        <v>9</v>
      </c>
      <c r="I83" s="622">
        <v>13612.520000000002</v>
      </c>
      <c r="J83" s="610">
        <f>19+42+25.5+33+4+25+7.5+18+170+1+9+37.5+2+1.4</f>
        <v>394.9</v>
      </c>
      <c r="K83" s="695">
        <f>112.8+296.38+33.5</f>
        <v>442.68</v>
      </c>
      <c r="L83" s="611">
        <f>14352+1353+311+316+73+278</f>
        <v>16683</v>
      </c>
      <c r="M83" s="705">
        <v>37929.35</v>
      </c>
      <c r="N83" s="722" t="s">
        <v>326</v>
      </c>
      <c r="O83" s="723"/>
      <c r="P83" s="437"/>
      <c r="Q83" s="703"/>
      <c r="R83" s="86"/>
      <c r="V83" s="1"/>
    </row>
    <row r="84" spans="1:26" ht="15.75" thickTop="1">
      <c r="A84" s="339"/>
      <c r="B84" s="199"/>
      <c r="C84" s="1"/>
      <c r="D84" s="273"/>
      <c r="E84" s="84"/>
      <c r="F84" s="366"/>
      <c r="G84" s="366"/>
      <c r="H84" s="1148" t="s">
        <v>36</v>
      </c>
      <c r="I84" s="1150" t="s">
        <v>178</v>
      </c>
      <c r="J84" s="1151"/>
      <c r="K84" s="1152"/>
      <c r="L84" s="1156" t="s">
        <v>159</v>
      </c>
      <c r="M84" s="1157"/>
      <c r="N84" s="1"/>
      <c r="O84" s="366"/>
      <c r="P84" s="437"/>
      <c r="Q84" s="86"/>
      <c r="R84" s="86"/>
      <c r="V84" s="1"/>
    </row>
    <row r="85" spans="1:26">
      <c r="A85" s="339"/>
      <c r="B85" s="199"/>
      <c r="C85" s="284"/>
      <c r="D85" s="273"/>
      <c r="E85" s="284"/>
      <c r="F85" s="366"/>
      <c r="G85" s="378"/>
      <c r="H85" s="1149"/>
      <c r="I85" s="1153"/>
      <c r="J85" s="1154"/>
      <c r="K85" s="1155"/>
      <c r="L85" s="1158"/>
      <c r="M85" s="1159"/>
      <c r="N85" s="1"/>
      <c r="O85" s="84"/>
      <c r="P85" s="646"/>
      <c r="Q85" s="86"/>
      <c r="R85" s="366"/>
      <c r="S85" s="1"/>
      <c r="V85" s="1"/>
      <c r="W85" s="1"/>
      <c r="X85" s="1"/>
      <c r="Y85" s="1"/>
    </row>
    <row r="86" spans="1:26">
      <c r="A86" s="339"/>
      <c r="B86" s="199"/>
      <c r="C86" s="199"/>
      <c r="D86" s="273"/>
      <c r="E86" s="199"/>
      <c r="F86" s="366"/>
      <c r="G86" s="378"/>
      <c r="H86" s="512" t="s">
        <v>250</v>
      </c>
      <c r="I86" s="1160" t="s">
        <v>47</v>
      </c>
      <c r="J86" s="1160"/>
      <c r="K86" s="659">
        <v>131.25</v>
      </c>
      <c r="L86" s="282">
        <v>43966</v>
      </c>
      <c r="M86" s="44" t="s">
        <v>269</v>
      </c>
      <c r="O86" s="366"/>
      <c r="P86" s="646"/>
      <c r="Q86" s="86"/>
      <c r="R86" s="366"/>
      <c r="S86" s="1"/>
      <c r="T86" s="1"/>
      <c r="V86" s="282"/>
      <c r="W86" s="1"/>
      <c r="X86" s="1"/>
      <c r="Y86" s="1"/>
    </row>
    <row r="87" spans="1:26">
      <c r="A87" s="339"/>
      <c r="B87" s="366"/>
      <c r="C87" s="274"/>
      <c r="D87" s="273"/>
      <c r="E87" s="274"/>
      <c r="F87" s="366"/>
      <c r="G87" s="366"/>
      <c r="H87" s="512" t="s">
        <v>250</v>
      </c>
      <c r="I87" s="1161" t="s">
        <v>51</v>
      </c>
      <c r="J87" s="1161"/>
      <c r="K87" s="660">
        <v>21.35</v>
      </c>
      <c r="L87" s="282">
        <v>43966</v>
      </c>
      <c r="M87" s="44" t="s">
        <v>269</v>
      </c>
      <c r="O87" s="366"/>
      <c r="P87" s="646"/>
      <c r="Q87" s="541"/>
      <c r="R87" s="86"/>
      <c r="S87" s="1"/>
      <c r="T87" s="1"/>
      <c r="V87" s="282"/>
      <c r="W87" s="1"/>
      <c r="X87" s="1"/>
      <c r="Y87" s="1"/>
    </row>
    <row r="88" spans="1:26">
      <c r="A88" s="340"/>
      <c r="B88" s="366"/>
      <c r="C88" s="366"/>
      <c r="D88" s="273"/>
      <c r="E88" s="199"/>
      <c r="F88" s="366"/>
      <c r="G88" s="366"/>
      <c r="H88" s="512" t="s">
        <v>250</v>
      </c>
      <c r="I88" s="1161" t="s">
        <v>52</v>
      </c>
      <c r="J88" s="1161"/>
      <c r="K88" s="660">
        <v>2.25</v>
      </c>
      <c r="L88" s="282">
        <v>43966</v>
      </c>
      <c r="M88" s="44" t="s">
        <v>269</v>
      </c>
      <c r="O88" s="366"/>
      <c r="P88" s="646"/>
      <c r="Q88" s="86"/>
      <c r="R88" s="714"/>
      <c r="S88" s="1"/>
      <c r="T88" s="1"/>
      <c r="V88" s="282"/>
      <c r="W88" s="282"/>
      <c r="X88" s="282"/>
      <c r="Y88" s="1"/>
      <c r="Z88" s="1"/>
    </row>
    <row r="89" spans="1:26">
      <c r="A89" s="340"/>
      <c r="B89" s="366"/>
      <c r="C89" s="366"/>
      <c r="D89" s="273"/>
      <c r="E89" s="366"/>
      <c r="F89" s="366"/>
      <c r="G89" s="366"/>
      <c r="H89" s="512" t="s">
        <v>250</v>
      </c>
      <c r="I89" s="1161" t="s">
        <v>49</v>
      </c>
      <c r="J89" s="1161"/>
      <c r="K89" s="660">
        <v>89</v>
      </c>
      <c r="L89" s="282">
        <v>43971</v>
      </c>
      <c r="M89" s="44" t="s">
        <v>41</v>
      </c>
      <c r="O89" s="84"/>
      <c r="P89" s="646"/>
      <c r="Q89" s="366"/>
      <c r="R89" s="86"/>
      <c r="S89" s="1"/>
      <c r="T89" s="282"/>
      <c r="U89" s="1"/>
      <c r="V89" s="282"/>
      <c r="W89" s="282"/>
      <c r="X89" s="282"/>
      <c r="Y89" s="1"/>
      <c r="Z89" s="1"/>
    </row>
    <row r="90" spans="1:26">
      <c r="A90" s="340"/>
      <c r="B90" s="366"/>
      <c r="C90" s="366"/>
      <c r="D90" s="273"/>
      <c r="E90" s="366"/>
      <c r="F90" s="366"/>
      <c r="G90" s="366"/>
      <c r="H90" s="512" t="s">
        <v>250</v>
      </c>
      <c r="I90" s="1276" t="s">
        <v>59</v>
      </c>
      <c r="J90" s="1276"/>
      <c r="K90" s="456">
        <v>274.99</v>
      </c>
      <c r="L90" s="302" t="s">
        <v>177</v>
      </c>
      <c r="M90" s="44" t="s">
        <v>269</v>
      </c>
      <c r="N90" s="490"/>
      <c r="O90" s="84"/>
      <c r="P90" s="646"/>
      <c r="Q90" s="479"/>
      <c r="R90" s="714"/>
      <c r="S90" s="1"/>
      <c r="T90" s="282"/>
      <c r="U90" s="1"/>
      <c r="V90" s="1"/>
      <c r="W90" s="282"/>
      <c r="X90" s="282"/>
      <c r="Y90" s="1"/>
      <c r="Z90" s="1"/>
    </row>
    <row r="91" spans="1:26">
      <c r="A91" s="340"/>
      <c r="B91" s="199"/>
      <c r="C91" s="199"/>
      <c r="D91" s="273"/>
      <c r="E91" s="199"/>
      <c r="F91" s="366"/>
      <c r="G91" s="366"/>
      <c r="H91" s="512" t="s">
        <v>250</v>
      </c>
      <c r="I91" s="1264" t="s">
        <v>68</v>
      </c>
      <c r="J91" s="1265"/>
      <c r="K91" s="660">
        <v>52.62</v>
      </c>
      <c r="L91" s="282">
        <v>43971</v>
      </c>
      <c r="M91" s="44" t="s">
        <v>269</v>
      </c>
      <c r="O91" s="366"/>
      <c r="P91" s="437"/>
      <c r="Q91" s="86"/>
      <c r="R91" s="714"/>
      <c r="S91" s="1"/>
      <c r="T91" s="282"/>
      <c r="U91" s="1"/>
      <c r="V91" s="282"/>
      <c r="W91" s="282"/>
      <c r="X91" s="282"/>
      <c r="Y91" s="1"/>
      <c r="Z91" s="1"/>
    </row>
    <row r="92" spans="1:26">
      <c r="A92" s="340"/>
      <c r="B92" s="199"/>
      <c r="C92" s="366"/>
      <c r="D92" s="273"/>
      <c r="E92" s="199"/>
      <c r="F92" s="366"/>
      <c r="G92" s="366"/>
      <c r="H92" s="512" t="s">
        <v>250</v>
      </c>
      <c r="I92" s="1143" t="s">
        <v>174</v>
      </c>
      <c r="J92" s="1144"/>
      <c r="K92" s="660">
        <v>257.08999999999997</v>
      </c>
      <c r="L92" s="282">
        <v>43966</v>
      </c>
      <c r="M92" s="44" t="s">
        <v>269</v>
      </c>
      <c r="O92" s="84"/>
      <c r="P92" s="86"/>
      <c r="Q92" s="86"/>
      <c r="R92" s="714"/>
      <c r="S92" s="1"/>
      <c r="T92" s="282"/>
      <c r="U92" s="282"/>
      <c r="V92" s="282"/>
      <c r="W92" s="1"/>
      <c r="X92" s="1"/>
      <c r="Y92" s="1"/>
      <c r="Z92" s="1"/>
    </row>
    <row r="93" spans="1:26">
      <c r="A93" s="340"/>
      <c r="B93" s="199"/>
      <c r="C93" s="366"/>
      <c r="D93" s="273"/>
      <c r="E93" s="199"/>
      <c r="F93" s="366"/>
      <c r="G93" s="366"/>
      <c r="H93" s="687" t="s">
        <v>241</v>
      </c>
      <c r="I93" s="651" t="s">
        <v>176</v>
      </c>
      <c r="J93" s="652"/>
      <c r="K93" s="660" t="s">
        <v>258</v>
      </c>
      <c r="L93" s="282">
        <v>43971</v>
      </c>
      <c r="M93" s="44" t="s">
        <v>269</v>
      </c>
      <c r="O93" s="84"/>
      <c r="P93" s="86"/>
      <c r="Q93" s="86"/>
      <c r="R93" s="483"/>
      <c r="S93" s="1"/>
      <c r="T93" s="1"/>
      <c r="U93" s="282"/>
      <c r="V93" s="282"/>
      <c r="W93" s="282"/>
      <c r="X93" s="282"/>
      <c r="Y93" s="1"/>
      <c r="Z93" s="1"/>
    </row>
    <row r="94" spans="1:26">
      <c r="A94" s="340"/>
      <c r="B94" s="199"/>
      <c r="C94" s="366"/>
      <c r="D94" s="273"/>
      <c r="E94" s="232"/>
      <c r="F94" s="366"/>
      <c r="G94" s="366"/>
      <c r="H94" s="512" t="s">
        <v>250</v>
      </c>
      <c r="I94" s="1143" t="s">
        <v>81</v>
      </c>
      <c r="J94" s="1144"/>
      <c r="K94" s="664">
        <v>616.88</v>
      </c>
      <c r="L94" s="282">
        <v>43961</v>
      </c>
      <c r="M94" s="44" t="s">
        <v>269</v>
      </c>
      <c r="O94" s="84"/>
      <c r="P94" s="86"/>
      <c r="Q94" s="483"/>
      <c r="R94" s="365"/>
      <c r="S94" s="1"/>
      <c r="T94" s="282"/>
      <c r="U94" s="282"/>
      <c r="V94" s="282"/>
      <c r="W94" s="282"/>
      <c r="X94" s="282"/>
      <c r="Y94" s="366"/>
      <c r="Z94" s="1"/>
    </row>
    <row r="95" spans="1:26">
      <c r="A95" s="340"/>
      <c r="B95" s="199"/>
      <c r="C95" s="366"/>
      <c r="D95" s="273"/>
      <c r="E95" s="232"/>
      <c r="F95" s="366"/>
      <c r="G95" s="366"/>
      <c r="H95" s="512" t="s">
        <v>250</v>
      </c>
      <c r="I95" s="1143" t="s">
        <v>53</v>
      </c>
      <c r="J95" s="1144"/>
      <c r="K95" s="454">
        <v>10</v>
      </c>
      <c r="L95" s="282">
        <v>43966</v>
      </c>
      <c r="M95" s="44" t="s">
        <v>269</v>
      </c>
      <c r="O95" s="84"/>
      <c r="P95" s="86"/>
      <c r="Q95" s="714"/>
      <c r="R95" s="86"/>
      <c r="S95" s="1"/>
      <c r="T95" s="282"/>
      <c r="U95" s="282"/>
      <c r="V95" s="282"/>
      <c r="W95" s="282"/>
      <c r="X95" s="282"/>
      <c r="Y95" s="366"/>
      <c r="Z95" s="1"/>
    </row>
    <row r="96" spans="1:26">
      <c r="A96" s="340"/>
      <c r="B96" s="199"/>
      <c r="C96" s="366"/>
      <c r="D96" s="273"/>
      <c r="E96" s="232"/>
      <c r="F96" s="366"/>
      <c r="G96" s="366"/>
      <c r="H96" s="512" t="s">
        <v>250</v>
      </c>
      <c r="I96" s="1145" t="s">
        <v>276</v>
      </c>
      <c r="J96" s="1145"/>
      <c r="K96" s="637">
        <v>100</v>
      </c>
      <c r="L96" s="282">
        <v>43981</v>
      </c>
      <c r="M96" s="44" t="s">
        <v>269</v>
      </c>
      <c r="O96" s="84"/>
      <c r="P96" s="86"/>
      <c r="Q96" s="714"/>
      <c r="R96" s="86"/>
      <c r="S96" s="366"/>
      <c r="T96" s="282"/>
      <c r="U96" s="282"/>
      <c r="V96" s="282"/>
      <c r="W96" s="282"/>
      <c r="X96" s="282"/>
      <c r="Y96" s="1"/>
      <c r="Z96" s="1"/>
    </row>
    <row r="97" spans="1:26">
      <c r="A97" s="340"/>
      <c r="B97" s="199"/>
      <c r="C97" s="366"/>
      <c r="D97" s="273"/>
      <c r="E97" s="232"/>
      <c r="F97" s="366"/>
      <c r="G97" s="366"/>
      <c r="H97" s="665" t="s">
        <v>250</v>
      </c>
      <c r="I97" s="1145" t="s">
        <v>296</v>
      </c>
      <c r="J97" s="1145"/>
      <c r="K97" s="637">
        <v>9</v>
      </c>
      <c r="L97" s="282">
        <v>43966</v>
      </c>
      <c r="M97" s="44" t="s">
        <v>269</v>
      </c>
      <c r="O97" s="84"/>
      <c r="P97" s="86"/>
      <c r="Q97" s="366"/>
      <c r="R97" s="86"/>
      <c r="S97" s="366"/>
      <c r="T97" s="282"/>
      <c r="U97" s="282"/>
      <c r="V97" s="282"/>
      <c r="W97" s="282"/>
      <c r="X97" s="282"/>
      <c r="Y97" s="1"/>
      <c r="Z97" s="1"/>
    </row>
    <row r="98" spans="1:26">
      <c r="A98" s="340"/>
      <c r="B98" s="199"/>
      <c r="C98" s="366"/>
      <c r="D98" s="273"/>
      <c r="E98" s="232"/>
      <c r="F98" s="366"/>
      <c r="G98" s="366"/>
      <c r="H98" s="697" t="s">
        <v>250</v>
      </c>
      <c r="I98" s="1279" t="s">
        <v>315</v>
      </c>
      <c r="J98" s="1279"/>
      <c r="K98" s="637">
        <v>273.95</v>
      </c>
      <c r="L98" s="282"/>
      <c r="M98" s="44"/>
      <c r="O98" s="84"/>
      <c r="P98" s="86"/>
      <c r="Q98" s="366"/>
      <c r="R98" s="86"/>
      <c r="S98" s="366"/>
      <c r="T98" s="282"/>
      <c r="U98" s="282"/>
      <c r="V98" s="282"/>
      <c r="W98" s="282"/>
      <c r="X98" s="282"/>
      <c r="Y98" s="1"/>
      <c r="Z98" s="1"/>
    </row>
    <row r="99" spans="1:26" ht="15.75" thickBot="1">
      <c r="A99" s="341"/>
      <c r="B99" s="330"/>
      <c r="C99" s="331"/>
      <c r="D99" s="342"/>
      <c r="E99" s="330"/>
      <c r="F99" s="331"/>
      <c r="G99" s="331"/>
      <c r="H99" s="1280" t="s">
        <v>179</v>
      </c>
      <c r="I99" s="1281"/>
      <c r="J99" s="361">
        <f>SUM(K86:K96)</f>
        <v>1555.4299999999998</v>
      </c>
      <c r="K99" s="1146" t="s">
        <v>180</v>
      </c>
      <c r="L99" s="1146"/>
      <c r="M99" s="514"/>
      <c r="O99" s="84"/>
      <c r="P99" s="86"/>
      <c r="Q99" s="86"/>
      <c r="R99" s="365"/>
      <c r="S99" s="366"/>
      <c r="T99" s="282"/>
      <c r="U99" s="282"/>
      <c r="V99" s="1"/>
      <c r="W99" s="282"/>
      <c r="X99" s="282"/>
      <c r="Y99" s="1"/>
      <c r="Z99" s="1"/>
    </row>
    <row r="100" spans="1:26" ht="15.75" thickTop="1">
      <c r="C100" s="491"/>
      <c r="D100" s="491"/>
      <c r="O100" s="84"/>
      <c r="P100" s="86"/>
      <c r="Q100" s="86"/>
      <c r="R100" s="365"/>
      <c r="S100" s="366"/>
      <c r="T100" s="282"/>
      <c r="U100" s="282"/>
      <c r="V100" s="1"/>
      <c r="W100" s="282"/>
      <c r="X100" s="282"/>
      <c r="Y100" s="1"/>
      <c r="Z100" s="1"/>
    </row>
    <row r="101" spans="1:26">
      <c r="C101" s="446"/>
      <c r="O101" s="84"/>
      <c r="P101" s="86"/>
      <c r="Q101" s="86"/>
      <c r="R101" s="366"/>
      <c r="S101" s="1"/>
      <c r="T101" s="282"/>
      <c r="U101" s="282"/>
      <c r="V101" s="1"/>
      <c r="W101" s="1"/>
      <c r="X101" s="1"/>
      <c r="Y101" s="1"/>
      <c r="Z101" s="1"/>
    </row>
    <row r="102" spans="1:26">
      <c r="C102" s="446"/>
      <c r="O102" s="84"/>
      <c r="P102" s="86"/>
      <c r="Q102" s="86"/>
      <c r="R102" s="366"/>
      <c r="S102" s="1"/>
      <c r="T102" s="1"/>
      <c r="U102" s="282"/>
      <c r="V102" s="1"/>
      <c r="W102" s="1"/>
      <c r="X102" s="1"/>
      <c r="Y102" s="1"/>
      <c r="Z102" s="1"/>
    </row>
    <row r="103" spans="1:26">
      <c r="C103" s="446"/>
      <c r="E103" s="86"/>
      <c r="O103" s="84"/>
      <c r="P103" s="86"/>
      <c r="Q103" s="365"/>
      <c r="R103" s="366"/>
      <c r="S103" s="1"/>
      <c r="T103" s="1"/>
      <c r="U103" s="282"/>
      <c r="V103" s="1"/>
      <c r="W103" s="1"/>
      <c r="X103" s="1"/>
      <c r="Y103" s="1"/>
      <c r="Z103" s="1"/>
    </row>
    <row r="104" spans="1:26">
      <c r="C104" s="446"/>
      <c r="O104" s="84"/>
      <c r="P104" s="86"/>
      <c r="Q104" s="489"/>
      <c r="R104" s="366"/>
      <c r="S104" s="1"/>
      <c r="T104" s="1"/>
      <c r="U104" s="282"/>
      <c r="V104" s="1"/>
      <c r="W104" s="1"/>
      <c r="X104" s="1"/>
      <c r="Y104" s="1"/>
      <c r="Z104" s="1"/>
    </row>
    <row r="105" spans="1:26">
      <c r="C105" s="446"/>
      <c r="K105" s="490"/>
      <c r="O105" s="84"/>
      <c r="P105" s="86"/>
      <c r="Q105" s="366"/>
      <c r="R105" s="366"/>
      <c r="S105" s="1"/>
      <c r="T105" s="1"/>
      <c r="U105" s="1"/>
      <c r="W105" s="1"/>
      <c r="X105" s="1"/>
      <c r="Y105" s="1"/>
      <c r="Z105" s="1"/>
    </row>
    <row r="106" spans="1:26">
      <c r="C106" s="446"/>
      <c r="O106" s="84"/>
      <c r="P106" s="86"/>
      <c r="Q106" s="366"/>
      <c r="R106" s="366"/>
      <c r="S106" s="1"/>
      <c r="T106" s="1"/>
      <c r="U106" s="1"/>
      <c r="W106" s="1"/>
      <c r="X106" s="1"/>
      <c r="Y106" s="1"/>
      <c r="Z106" s="1"/>
    </row>
    <row r="107" spans="1:26">
      <c r="C107" s="446"/>
      <c r="M107" s="490"/>
      <c r="O107" s="84"/>
      <c r="P107" s="86"/>
      <c r="Q107" s="86"/>
      <c r="R107" s="86"/>
      <c r="T107" s="1"/>
      <c r="U107" s="1"/>
      <c r="Z107" s="1"/>
    </row>
    <row r="108" spans="1:26">
      <c r="C108" s="446"/>
      <c r="O108" s="84"/>
      <c r="P108" s="86"/>
      <c r="Q108" s="366"/>
      <c r="R108" s="86"/>
      <c r="U108" s="1"/>
      <c r="Z108" s="1"/>
    </row>
    <row r="109" spans="1:26">
      <c r="C109" s="446"/>
      <c r="M109" s="1"/>
      <c r="O109" s="84"/>
      <c r="P109" s="86"/>
      <c r="Q109" s="366"/>
      <c r="R109" s="86"/>
      <c r="U109" s="1"/>
      <c r="Z109" s="1"/>
    </row>
    <row r="110" spans="1:26">
      <c r="C110" s="446"/>
      <c r="M110" s="1"/>
      <c r="O110" s="84"/>
      <c r="P110" s="86"/>
      <c r="Q110" s="366"/>
      <c r="R110" s="86"/>
      <c r="U110" s="1"/>
    </row>
    <row r="111" spans="1:26">
      <c r="C111" s="446"/>
      <c r="M111" s="1"/>
      <c r="O111" s="84"/>
      <c r="P111" s="86"/>
      <c r="Q111" s="86"/>
      <c r="R111" s="86"/>
    </row>
    <row r="112" spans="1:26">
      <c r="C112" s="446"/>
      <c r="M112" s="366"/>
      <c r="O112" s="84"/>
      <c r="P112" s="86"/>
      <c r="Q112" s="86"/>
      <c r="R112" s="86"/>
    </row>
    <row r="113" spans="3:18">
      <c r="C113" s="446"/>
      <c r="M113" s="366"/>
      <c r="O113" s="84"/>
      <c r="P113" s="86"/>
      <c r="Q113" s="86"/>
      <c r="R113" s="86"/>
    </row>
    <row r="114" spans="3:18">
      <c r="C114" s="446"/>
      <c r="M114" s="1"/>
      <c r="O114" s="84"/>
      <c r="P114" s="86"/>
      <c r="Q114" s="86"/>
      <c r="R114" s="86"/>
    </row>
    <row r="115" spans="3:18">
      <c r="C115" s="446"/>
      <c r="M115" s="1"/>
      <c r="O115" s="84"/>
      <c r="P115" s="86"/>
      <c r="Q115" s="86"/>
      <c r="R115" s="86"/>
    </row>
    <row r="116" spans="3:18">
      <c r="C116" s="446"/>
      <c r="M116" s="1"/>
      <c r="O116" s="84"/>
      <c r="P116" s="86"/>
      <c r="Q116" s="86"/>
      <c r="R116" s="86"/>
    </row>
    <row r="117" spans="3:18">
      <c r="C117" s="446"/>
      <c r="M117" s="1"/>
      <c r="O117" s="84"/>
      <c r="P117" s="86"/>
      <c r="Q117" s="86"/>
      <c r="R117" s="86"/>
    </row>
    <row r="118" spans="3:18">
      <c r="C118" s="446"/>
      <c r="O118" s="84"/>
      <c r="P118" s="86"/>
      <c r="Q118" s="86"/>
      <c r="R118" s="86"/>
    </row>
    <row r="119" spans="3:18">
      <c r="C119" s="446"/>
      <c r="O119" s="84"/>
      <c r="P119" s="86"/>
      <c r="Q119" s="86"/>
      <c r="R119" s="86"/>
    </row>
    <row r="120" spans="3:18">
      <c r="C120" s="446"/>
      <c r="O120" s="84"/>
      <c r="P120" s="86"/>
      <c r="Q120" s="86"/>
      <c r="R120" s="86"/>
    </row>
    <row r="121" spans="3:18">
      <c r="C121" s="446"/>
      <c r="O121" s="84"/>
      <c r="P121" s="86"/>
      <c r="Q121" s="86"/>
      <c r="R121" s="86"/>
    </row>
    <row r="122" spans="3:18">
      <c r="C122" s="446"/>
      <c r="O122" s="84"/>
      <c r="P122" s="86"/>
      <c r="Q122" s="86"/>
      <c r="R122" s="86"/>
    </row>
    <row r="123" spans="3:18">
      <c r="C123" s="446"/>
      <c r="O123" s="84"/>
      <c r="P123" s="86"/>
      <c r="Q123" s="86"/>
      <c r="R123" s="86"/>
    </row>
    <row r="124" spans="3:18">
      <c r="C124" s="446"/>
    </row>
    <row r="125" spans="3:18">
      <c r="C125" s="446"/>
    </row>
    <row r="126" spans="3:18">
      <c r="C126" s="446"/>
    </row>
    <row r="127" spans="3:18">
      <c r="C127" s="446"/>
    </row>
    <row r="128" spans="3:18">
      <c r="C128" s="446"/>
    </row>
    <row r="129" spans="3:3">
      <c r="C129" s="446"/>
    </row>
  </sheetData>
  <mergeCells count="96">
    <mergeCell ref="H74:J74"/>
    <mergeCell ref="L70:M70"/>
    <mergeCell ref="L71:M71"/>
    <mergeCell ref="L72:M72"/>
    <mergeCell ref="L73:M73"/>
    <mergeCell ref="L74:M74"/>
    <mergeCell ref="I71:J71"/>
    <mergeCell ref="I72:J72"/>
    <mergeCell ref="I73:J73"/>
    <mergeCell ref="I70:J70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9:M69"/>
    <mergeCell ref="I66:J66"/>
    <mergeCell ref="I67:J67"/>
    <mergeCell ref="I68:J68"/>
    <mergeCell ref="I69:J69"/>
    <mergeCell ref="I96:J96"/>
    <mergeCell ref="I97:J97"/>
    <mergeCell ref="H99:I99"/>
    <mergeCell ref="K99:L99"/>
    <mergeCell ref="I94:J94"/>
    <mergeCell ref="I95:J95"/>
    <mergeCell ref="I98:J98"/>
    <mergeCell ref="H84:H85"/>
    <mergeCell ref="I84:K85"/>
    <mergeCell ref="L84:M85"/>
    <mergeCell ref="I86:J86"/>
    <mergeCell ref="I87:J87"/>
    <mergeCell ref="I88:J88"/>
    <mergeCell ref="I89:J89"/>
    <mergeCell ref="I90:J90"/>
    <mergeCell ref="I91:J91"/>
    <mergeCell ref="I92:J92"/>
    <mergeCell ref="H53:K53"/>
    <mergeCell ref="A54:M55"/>
    <mergeCell ref="A56:G56"/>
    <mergeCell ref="H56:M56"/>
    <mergeCell ref="A74:B74"/>
    <mergeCell ref="I57:J57"/>
    <mergeCell ref="L57:M57"/>
    <mergeCell ref="I58:J58"/>
    <mergeCell ref="I59:J59"/>
    <mergeCell ref="I60:J60"/>
    <mergeCell ref="I61:J61"/>
    <mergeCell ref="I62:J62"/>
    <mergeCell ref="I63:J63"/>
    <mergeCell ref="I64:J64"/>
    <mergeCell ref="I65:J65"/>
    <mergeCell ref="L68:M68"/>
    <mergeCell ref="H75:H76"/>
    <mergeCell ref="I75:I76"/>
    <mergeCell ref="J75:K75"/>
    <mergeCell ref="L75:L76"/>
    <mergeCell ref="M75:M76"/>
    <mergeCell ref="K52:L52"/>
    <mergeCell ref="I40:J40"/>
    <mergeCell ref="I41:J41"/>
    <mergeCell ref="I42:J42"/>
    <mergeCell ref="I45:J45"/>
    <mergeCell ref="I46:J46"/>
    <mergeCell ref="I47:J47"/>
    <mergeCell ref="I48:J48"/>
    <mergeCell ref="I49:J49"/>
    <mergeCell ref="I50:J50"/>
    <mergeCell ref="I51:J51"/>
    <mergeCell ref="H52:I52"/>
    <mergeCell ref="I39:J39"/>
    <mergeCell ref="H5:I5"/>
    <mergeCell ref="AF6:AF7"/>
    <mergeCell ref="AG6:AG7"/>
    <mergeCell ref="A20:B20"/>
    <mergeCell ref="H21:H22"/>
    <mergeCell ref="I21:I22"/>
    <mergeCell ref="J21:K21"/>
    <mergeCell ref="L21:L22"/>
    <mergeCell ref="M21:M22"/>
    <mergeCell ref="H35:H36"/>
    <mergeCell ref="I35:K36"/>
    <mergeCell ref="L35:M36"/>
    <mergeCell ref="I37:J37"/>
    <mergeCell ref="I38:J38"/>
    <mergeCell ref="H4:I4"/>
    <mergeCell ref="A1:M2"/>
    <mergeCell ref="O2:Q2"/>
    <mergeCell ref="S2:U2"/>
    <mergeCell ref="A3:G3"/>
    <mergeCell ref="H3:M3"/>
  </mergeCells>
  <printOptions horizontalCentered="1" verticalCentered="1"/>
  <pageMargins left="0" right="0" top="0" bottom="0" header="0" footer="0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6"/>
  <sheetViews>
    <sheetView zoomScaleNormal="100" zoomScaleSheetLayoutView="70" zoomScalePageLayoutView="7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21" sqref="A21:XFD21"/>
    </sheetView>
  </sheetViews>
  <sheetFormatPr defaultColWidth="9.140625" defaultRowHeight="15"/>
  <cols>
    <col min="1" max="1" width="9.42578125" style="35" customWidth="1"/>
    <col min="2" max="2" width="6" style="35" customWidth="1"/>
    <col min="3" max="3" width="14.28515625" style="35" customWidth="1"/>
    <col min="4" max="5" width="12.28515625" style="35" customWidth="1"/>
    <col min="6" max="6" width="11.42578125" style="35" customWidth="1"/>
    <col min="7" max="8" width="13.7109375" style="35" customWidth="1"/>
    <col min="9" max="9" width="10.42578125" style="35" customWidth="1"/>
    <col min="10" max="10" width="9.140625" style="35" customWidth="1"/>
    <col min="11" max="12" width="9.140625" style="35"/>
    <col min="13" max="13" width="10" style="35" customWidth="1"/>
    <col min="14" max="16384" width="9.140625" style="35"/>
  </cols>
  <sheetData>
    <row r="1" spans="1:17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184</v>
      </c>
      <c r="H1" s="116" t="s">
        <v>324</v>
      </c>
      <c r="I1" s="15" t="s">
        <v>191</v>
      </c>
      <c r="J1" s="463" t="s">
        <v>240</v>
      </c>
      <c r="K1" s="463"/>
      <c r="L1" s="463"/>
      <c r="M1" s="463"/>
    </row>
    <row r="2" spans="1:17" ht="11.1" customHeight="1">
      <c r="B2" s="16">
        <f>IF(C2="","",WEEKDAY(C2,2))</f>
        <v>5</v>
      </c>
      <c r="C2" s="17">
        <v>43952</v>
      </c>
      <c r="D2" s="22">
        <v>677.5</v>
      </c>
      <c r="E2" s="22"/>
      <c r="F2" s="226"/>
      <c r="G2" s="227">
        <v>372</v>
      </c>
      <c r="H2" s="227"/>
      <c r="I2" s="663"/>
      <c r="J2" s="669">
        <v>129</v>
      </c>
      <c r="K2" s="463"/>
      <c r="L2" s="463"/>
      <c r="M2" s="463"/>
    </row>
    <row r="3" spans="1:17" ht="11.1" customHeight="1">
      <c r="B3" s="16">
        <f t="shared" ref="B3:B32" si="0">IF(C3="","",WEEKDAY(C3,2))</f>
        <v>6</v>
      </c>
      <c r="C3" s="17">
        <v>43953</v>
      </c>
      <c r="D3" s="22"/>
      <c r="E3" s="22">
        <v>630.65</v>
      </c>
      <c r="F3" s="226"/>
      <c r="G3" s="668">
        <v>257.2</v>
      </c>
      <c r="H3" s="668"/>
      <c r="I3" s="663"/>
      <c r="J3" s="670">
        <v>21.8</v>
      </c>
      <c r="K3" s="463"/>
      <c r="L3" s="463"/>
      <c r="M3" s="463"/>
    </row>
    <row r="4" spans="1:17" ht="11.1" customHeight="1">
      <c r="B4" s="16">
        <f t="shared" si="0"/>
        <v>7</v>
      </c>
      <c r="C4" s="17">
        <v>43954</v>
      </c>
      <c r="D4" s="22"/>
      <c r="E4" s="21">
        <v>797.96</v>
      </c>
      <c r="F4" s="226"/>
      <c r="G4" s="227">
        <v>365.3</v>
      </c>
      <c r="H4" s="227"/>
      <c r="I4" s="663"/>
      <c r="J4" s="670">
        <v>116</v>
      </c>
      <c r="K4" s="463"/>
      <c r="L4" s="463"/>
      <c r="M4" s="463"/>
    </row>
    <row r="5" spans="1:17" ht="11.1" customHeight="1">
      <c r="B5" s="16">
        <f t="shared" si="0"/>
        <v>1</v>
      </c>
      <c r="C5" s="17">
        <v>43955</v>
      </c>
      <c r="D5" s="22">
        <v>537.6</v>
      </c>
      <c r="E5" s="22"/>
      <c r="F5" s="226">
        <v>271</v>
      </c>
      <c r="G5" s="227"/>
      <c r="H5" s="227"/>
      <c r="I5" s="663"/>
      <c r="J5" s="669"/>
      <c r="K5" s="463"/>
      <c r="L5" s="463"/>
      <c r="M5" s="463"/>
    </row>
    <row r="6" spans="1:17" ht="11.1" customHeight="1">
      <c r="B6" s="16">
        <f t="shared" si="0"/>
        <v>2</v>
      </c>
      <c r="C6" s="17">
        <v>43956</v>
      </c>
      <c r="D6" s="22"/>
      <c r="E6" s="22">
        <v>407.1</v>
      </c>
      <c r="F6" s="226"/>
      <c r="G6" s="227">
        <v>688.5</v>
      </c>
      <c r="H6" s="227"/>
      <c r="I6" s="663"/>
      <c r="J6" s="669">
        <v>25</v>
      </c>
      <c r="K6" s="463"/>
      <c r="L6" s="463"/>
      <c r="M6" s="463"/>
    </row>
    <row r="7" spans="1:17" ht="11.1" customHeight="1">
      <c r="B7" s="16">
        <f t="shared" si="0"/>
        <v>3</v>
      </c>
      <c r="C7" s="17">
        <v>43957</v>
      </c>
      <c r="D7" s="22">
        <v>451.1</v>
      </c>
      <c r="E7" s="22"/>
      <c r="F7" s="226"/>
      <c r="G7" s="227">
        <v>584.79999999999995</v>
      </c>
      <c r="H7" s="227"/>
      <c r="I7" s="663"/>
      <c r="J7" s="669">
        <v>90</v>
      </c>
      <c r="K7" s="463"/>
      <c r="L7" s="463"/>
      <c r="M7" s="463"/>
    </row>
    <row r="8" spans="1:17" ht="11.1" customHeight="1">
      <c r="B8" s="16">
        <f t="shared" si="0"/>
        <v>4</v>
      </c>
      <c r="C8" s="17">
        <v>43958</v>
      </c>
      <c r="D8" s="22">
        <v>753.5</v>
      </c>
      <c r="E8" s="22"/>
      <c r="F8" s="226"/>
      <c r="G8" s="227">
        <v>423.2</v>
      </c>
      <c r="H8" s="227"/>
      <c r="I8" s="663"/>
      <c r="J8" s="669">
        <v>168.95</v>
      </c>
      <c r="K8" s="463"/>
      <c r="L8" s="463"/>
      <c r="M8" s="463"/>
    </row>
    <row r="9" spans="1:17" ht="11.1" customHeight="1">
      <c r="B9" s="16">
        <f>IF(C9="","",WEEKDAY(C9,2))</f>
        <v>5</v>
      </c>
      <c r="C9" s="17">
        <v>43959</v>
      </c>
      <c r="D9" s="22"/>
      <c r="E9" s="22">
        <v>561.5</v>
      </c>
      <c r="F9" s="226">
        <v>449</v>
      </c>
      <c r="G9" s="227"/>
      <c r="H9" s="227"/>
      <c r="I9" s="18"/>
      <c r="J9" s="464">
        <v>67.3</v>
      </c>
      <c r="K9" s="463"/>
      <c r="L9" s="463"/>
      <c r="M9" s="463"/>
    </row>
    <row r="10" spans="1:17" ht="11.1" customHeight="1">
      <c r="B10" s="16">
        <f t="shared" si="0"/>
        <v>6</v>
      </c>
      <c r="C10" s="17">
        <v>43960</v>
      </c>
      <c r="D10" s="22"/>
      <c r="E10" s="22">
        <v>386.4</v>
      </c>
      <c r="F10" s="226">
        <v>466.5</v>
      </c>
      <c r="G10" s="227"/>
      <c r="H10" s="227"/>
      <c r="I10" s="431"/>
      <c r="J10" s="464">
        <v>153.69999999999999</v>
      </c>
      <c r="K10" s="463"/>
      <c r="L10" s="463"/>
      <c r="M10" s="463"/>
    </row>
    <row r="11" spans="1:17" ht="11.1" customHeight="1">
      <c r="B11" s="16">
        <f t="shared" si="0"/>
        <v>7</v>
      </c>
      <c r="C11" s="17">
        <v>43961</v>
      </c>
      <c r="D11" s="22">
        <v>864</v>
      </c>
      <c r="E11" s="22"/>
      <c r="F11" s="226"/>
      <c r="G11" s="226">
        <v>408.6</v>
      </c>
      <c r="H11" s="671"/>
      <c r="I11" s="671"/>
      <c r="J11" s="464">
        <v>42</v>
      </c>
      <c r="K11" s="463"/>
      <c r="L11" s="465"/>
      <c r="M11" s="463"/>
      <c r="O11" s="86"/>
      <c r="P11" s="86"/>
      <c r="Q11" s="86"/>
    </row>
    <row r="12" spans="1:17" ht="11.1" customHeight="1">
      <c r="B12" s="16">
        <f t="shared" si="0"/>
        <v>1</v>
      </c>
      <c r="C12" s="17">
        <v>43962</v>
      </c>
      <c r="D12" s="22">
        <v>516.25</v>
      </c>
      <c r="E12" s="22"/>
      <c r="F12" s="226"/>
      <c r="G12" s="226">
        <v>190.5</v>
      </c>
      <c r="H12" s="226"/>
      <c r="I12" s="226"/>
      <c r="J12" s="464"/>
      <c r="K12" s="463"/>
      <c r="L12" s="465"/>
      <c r="M12" s="463"/>
      <c r="O12" s="86"/>
      <c r="P12" s="86"/>
      <c r="Q12" s="86"/>
    </row>
    <row r="13" spans="1:17" ht="11.1" customHeight="1">
      <c r="B13" s="16">
        <f t="shared" si="0"/>
        <v>2</v>
      </c>
      <c r="C13" s="17">
        <v>43963</v>
      </c>
      <c r="D13" s="22"/>
      <c r="E13" s="22">
        <v>746.9</v>
      </c>
      <c r="F13" s="226"/>
      <c r="G13" s="226">
        <v>390.2</v>
      </c>
      <c r="H13" s="226"/>
      <c r="I13" s="226"/>
      <c r="J13" s="464">
        <v>204.75</v>
      </c>
      <c r="K13" s="463"/>
      <c r="L13" s="465"/>
      <c r="M13" s="463"/>
      <c r="O13" s="86"/>
      <c r="P13" s="86"/>
      <c r="Q13" s="86"/>
    </row>
    <row r="14" spans="1:17" ht="11.1" customHeight="1">
      <c r="B14" s="16">
        <f t="shared" si="0"/>
        <v>3</v>
      </c>
      <c r="C14" s="17">
        <v>43964</v>
      </c>
      <c r="D14" s="22"/>
      <c r="E14" s="22">
        <v>463.2</v>
      </c>
      <c r="F14" s="226">
        <v>305.7</v>
      </c>
      <c r="G14" s="226"/>
      <c r="H14" s="226"/>
      <c r="I14" s="226"/>
      <c r="J14" s="464">
        <v>93.55</v>
      </c>
      <c r="K14" s="463"/>
      <c r="L14" s="465"/>
      <c r="M14" s="463"/>
      <c r="O14" s="86"/>
      <c r="P14" s="86"/>
      <c r="Q14" s="86"/>
    </row>
    <row r="15" spans="1:17" ht="11.25" customHeight="1">
      <c r="A15" s="86"/>
      <c r="B15" s="16">
        <f t="shared" si="0"/>
        <v>4</v>
      </c>
      <c r="C15" s="17">
        <v>43965</v>
      </c>
      <c r="D15" s="22">
        <v>948.3</v>
      </c>
      <c r="E15" s="22"/>
      <c r="F15" s="226"/>
      <c r="G15" s="226">
        <v>645.5</v>
      </c>
      <c r="H15" s="226"/>
      <c r="I15" s="650"/>
      <c r="J15" s="116">
        <v>28</v>
      </c>
      <c r="K15" s="463"/>
      <c r="L15" s="465"/>
      <c r="M15" s="463"/>
      <c r="O15" s="86"/>
      <c r="P15" s="86"/>
      <c r="Q15" s="86"/>
    </row>
    <row r="16" spans="1:17" ht="12.75" customHeight="1">
      <c r="B16" s="16">
        <f t="shared" si="0"/>
        <v>5</v>
      </c>
      <c r="C16" s="17">
        <v>43966</v>
      </c>
      <c r="D16" s="22">
        <v>967.01</v>
      </c>
      <c r="F16" s="226"/>
      <c r="G16" s="226">
        <v>798.35</v>
      </c>
      <c r="H16" s="226"/>
      <c r="I16" s="14"/>
      <c r="J16" s="464">
        <v>97.85</v>
      </c>
      <c r="K16" s="463"/>
      <c r="L16" s="465"/>
      <c r="M16" s="465"/>
      <c r="N16" s="86"/>
      <c r="O16" s="86"/>
      <c r="P16" s="86"/>
      <c r="Q16" s="86"/>
    </row>
    <row r="17" spans="1:17" ht="11.1" customHeight="1">
      <c r="B17" s="16">
        <f t="shared" si="0"/>
        <v>6</v>
      </c>
      <c r="C17" s="17">
        <v>43967</v>
      </c>
      <c r="D17" s="22"/>
      <c r="E17" s="22">
        <v>440.35</v>
      </c>
      <c r="F17" s="226">
        <v>468.8</v>
      </c>
      <c r="G17" s="226"/>
      <c r="H17" s="226"/>
      <c r="I17" s="14"/>
      <c r="J17" s="464">
        <v>99</v>
      </c>
      <c r="K17" s="463"/>
      <c r="L17" s="465"/>
      <c r="M17" s="467"/>
      <c r="N17" s="86"/>
      <c r="O17" s="86"/>
      <c r="P17" s="86"/>
      <c r="Q17" s="86"/>
    </row>
    <row r="18" spans="1:17" ht="11.1" customHeight="1">
      <c r="B18" s="16">
        <f t="shared" si="0"/>
        <v>7</v>
      </c>
      <c r="C18" s="17">
        <v>43968</v>
      </c>
      <c r="D18" s="22"/>
      <c r="E18" s="22">
        <v>1001.3</v>
      </c>
      <c r="F18" s="226"/>
      <c r="G18" s="226">
        <v>598.1</v>
      </c>
      <c r="H18" s="226"/>
      <c r="I18" s="226"/>
      <c r="J18" s="464">
        <v>196.7</v>
      </c>
      <c r="K18" s="463"/>
      <c r="L18" s="465"/>
      <c r="M18" s="465"/>
      <c r="N18" s="86"/>
      <c r="O18" s="86"/>
      <c r="P18" s="86"/>
      <c r="Q18" s="86"/>
    </row>
    <row r="19" spans="1:17" ht="11.1" customHeight="1">
      <c r="B19" s="16">
        <f t="shared" si="0"/>
        <v>1</v>
      </c>
      <c r="C19" s="17">
        <v>43969</v>
      </c>
      <c r="D19" s="22"/>
      <c r="E19" s="22">
        <v>540.5</v>
      </c>
      <c r="F19" s="226">
        <v>559.70000000000005</v>
      </c>
      <c r="G19" s="226"/>
      <c r="H19" s="226"/>
      <c r="I19" s="14"/>
      <c r="J19" s="464"/>
      <c r="K19" s="463"/>
      <c r="L19" s="465"/>
      <c r="M19" s="465"/>
      <c r="N19" s="86"/>
      <c r="O19" s="86"/>
      <c r="P19" s="86"/>
      <c r="Q19" s="86"/>
    </row>
    <row r="20" spans="1:17" s="86" customFormat="1" ht="11.1" customHeight="1">
      <c r="A20" s="474"/>
      <c r="B20" s="459">
        <f t="shared" si="0"/>
        <v>2</v>
      </c>
      <c r="C20" s="17">
        <v>43970</v>
      </c>
      <c r="D20" s="22">
        <v>844.5</v>
      </c>
      <c r="E20" s="22"/>
      <c r="F20" s="226">
        <v>443.7</v>
      </c>
      <c r="G20" s="226"/>
      <c r="H20" s="226"/>
      <c r="I20" s="22"/>
      <c r="J20" s="467">
        <v>172.8</v>
      </c>
      <c r="K20" s="465"/>
      <c r="L20" s="465"/>
      <c r="M20" s="465"/>
    </row>
    <row r="21" spans="1:17" s="86" customFormat="1" ht="11.1" customHeight="1">
      <c r="B21" s="459">
        <f t="shared" si="0"/>
        <v>3</v>
      </c>
      <c r="C21" s="17">
        <v>43971</v>
      </c>
      <c r="D21" s="22"/>
      <c r="E21" s="22">
        <v>1418.5</v>
      </c>
      <c r="F21" s="226"/>
      <c r="G21" s="226">
        <v>444.6</v>
      </c>
      <c r="H21" s="226"/>
      <c r="I21" s="226"/>
      <c r="J21" s="467">
        <v>184.5</v>
      </c>
      <c r="K21" s="465"/>
      <c r="L21" s="465"/>
      <c r="M21" s="465"/>
    </row>
    <row r="22" spans="1:17" s="86" customFormat="1" ht="11.1" customHeight="1">
      <c r="B22" s="459">
        <f>IF(C22="","",WEEKDAY(C22,2))</f>
        <v>4</v>
      </c>
      <c r="C22" s="17">
        <v>43972</v>
      </c>
      <c r="D22" s="22"/>
      <c r="E22" s="22">
        <v>824.7</v>
      </c>
      <c r="F22" s="226"/>
      <c r="G22" s="226">
        <v>225.5</v>
      </c>
      <c r="H22" s="226"/>
      <c r="I22" s="226"/>
      <c r="J22" s="467">
        <v>45.9</v>
      </c>
      <c r="K22" s="465"/>
      <c r="L22" s="465"/>
      <c r="M22" s="465"/>
    </row>
    <row r="23" spans="1:17" s="86" customFormat="1" ht="11.1" customHeight="1">
      <c r="B23" s="459">
        <f t="shared" si="0"/>
        <v>5</v>
      </c>
      <c r="C23" s="17">
        <v>43973</v>
      </c>
      <c r="D23" s="22">
        <v>858.8</v>
      </c>
      <c r="E23" s="22"/>
      <c r="F23" s="226"/>
      <c r="G23" s="226">
        <v>417.4</v>
      </c>
      <c r="H23" s="226"/>
      <c r="I23" s="475"/>
      <c r="J23" s="467"/>
      <c r="K23" s="465"/>
      <c r="L23" s="465"/>
      <c r="M23" s="465"/>
    </row>
    <row r="24" spans="1:17" s="86" customFormat="1" ht="10.5" customHeight="1">
      <c r="B24" s="459">
        <f t="shared" si="0"/>
        <v>6</v>
      </c>
      <c r="C24" s="17">
        <v>43974</v>
      </c>
      <c r="D24" s="22"/>
      <c r="E24" s="22">
        <v>775.1</v>
      </c>
      <c r="F24" s="226">
        <v>388.5</v>
      </c>
      <c r="G24" s="226"/>
      <c r="H24" s="226"/>
      <c r="I24" s="226"/>
      <c r="J24" s="467"/>
      <c r="K24" s="465"/>
      <c r="L24" s="704"/>
      <c r="M24" s="465"/>
    </row>
    <row r="25" spans="1:17" s="86" customFormat="1" ht="11.1" customHeight="1">
      <c r="B25" s="459">
        <f t="shared" si="0"/>
        <v>7</v>
      </c>
      <c r="C25" s="17">
        <v>43975</v>
      </c>
      <c r="D25" s="22"/>
      <c r="E25" s="22">
        <v>835.3</v>
      </c>
      <c r="F25" s="226"/>
      <c r="G25" s="226"/>
      <c r="H25" s="226">
        <v>414.5</v>
      </c>
      <c r="I25" s="226"/>
      <c r="J25" s="467"/>
      <c r="K25" s="465"/>
      <c r="L25" s="465"/>
      <c r="M25" s="476"/>
    </row>
    <row r="26" spans="1:17" s="86" customFormat="1" ht="11.1" customHeight="1">
      <c r="B26" s="459">
        <f t="shared" si="0"/>
        <v>1</v>
      </c>
      <c r="C26" s="17">
        <v>43976</v>
      </c>
      <c r="D26" s="22">
        <v>683.5</v>
      </c>
      <c r="E26" s="22"/>
      <c r="F26" s="22"/>
      <c r="G26" s="499">
        <v>443.5</v>
      </c>
      <c r="H26" s="499"/>
      <c r="I26" s="226"/>
      <c r="J26" s="467"/>
      <c r="K26" s="465"/>
      <c r="L26" s="465"/>
      <c r="M26" s="476"/>
    </row>
    <row r="27" spans="1:17" s="86" customFormat="1" ht="11.1" customHeight="1">
      <c r="B27" s="459">
        <f t="shared" si="0"/>
        <v>2</v>
      </c>
      <c r="C27" s="17">
        <v>43977</v>
      </c>
      <c r="D27" s="22">
        <v>1194</v>
      </c>
      <c r="E27" s="22"/>
      <c r="F27" s="226"/>
      <c r="G27" s="226">
        <v>517.16999999999996</v>
      </c>
      <c r="H27" s="226"/>
      <c r="I27" s="226"/>
      <c r="J27" s="466"/>
      <c r="K27" s="468"/>
      <c r="L27" s="468"/>
      <c r="M27" s="468"/>
      <c r="N27" s="366"/>
      <c r="O27" s="366"/>
      <c r="P27" s="366"/>
      <c r="Q27" s="366"/>
    </row>
    <row r="28" spans="1:17" s="86" customFormat="1" ht="10.5" customHeight="1">
      <c r="A28" s="474"/>
      <c r="B28" s="459">
        <f t="shared" si="0"/>
        <v>3</v>
      </c>
      <c r="C28" s="17">
        <v>43978</v>
      </c>
      <c r="D28" s="22"/>
      <c r="E28" s="22"/>
      <c r="F28" s="702">
        <v>960.4</v>
      </c>
      <c r="G28" s="226">
        <v>461.6</v>
      </c>
      <c r="H28" s="226"/>
      <c r="I28" s="226"/>
      <c r="J28" s="466"/>
      <c r="K28" s="468"/>
      <c r="L28" s="468"/>
      <c r="M28" s="468"/>
      <c r="N28" s="366"/>
      <c r="O28" s="366"/>
      <c r="P28" s="366"/>
      <c r="Q28" s="366"/>
    </row>
    <row r="29" spans="1:17" s="86" customFormat="1" ht="10.5" customHeight="1">
      <c r="B29" s="459">
        <f t="shared" si="0"/>
        <v>4</v>
      </c>
      <c r="C29" s="17">
        <v>43979</v>
      </c>
      <c r="D29" s="22"/>
      <c r="E29" s="22"/>
      <c r="F29" s="702">
        <v>663.75</v>
      </c>
      <c r="G29" s="226"/>
      <c r="H29" s="226">
        <v>246.2</v>
      </c>
      <c r="I29" s="226"/>
      <c r="J29" s="466"/>
      <c r="K29" s="468"/>
      <c r="L29" s="466"/>
      <c r="M29" s="466"/>
      <c r="N29" s="366"/>
      <c r="O29" s="366"/>
      <c r="P29" s="366"/>
      <c r="Q29" s="366"/>
    </row>
    <row r="30" spans="1:17" s="86" customFormat="1" ht="11.1" customHeight="1">
      <c r="B30" s="459">
        <f t="shared" si="0"/>
        <v>5</v>
      </c>
      <c r="C30" s="17">
        <v>43980</v>
      </c>
      <c r="D30" s="22">
        <v>656.6</v>
      </c>
      <c r="E30" s="226"/>
      <c r="G30" s="226"/>
      <c r="H30" s="226">
        <v>392.4</v>
      </c>
      <c r="I30" s="226"/>
      <c r="J30" s="466"/>
      <c r="K30" s="466"/>
      <c r="L30" s="468"/>
      <c r="M30" s="466"/>
      <c r="N30" s="366"/>
      <c r="O30" s="366"/>
      <c r="P30" s="366"/>
      <c r="Q30" s="366"/>
    </row>
    <row r="31" spans="1:17" s="86" customFormat="1" ht="11.1" customHeight="1">
      <c r="A31" s="474"/>
      <c r="B31" s="459">
        <f t="shared" si="0"/>
        <v>6</v>
      </c>
      <c r="C31" s="17">
        <v>43981</v>
      </c>
      <c r="D31" s="22">
        <v>868.4</v>
      </c>
      <c r="E31" s="22"/>
      <c r="F31" s="226"/>
      <c r="G31" s="226">
        <v>667.8</v>
      </c>
      <c r="H31" s="226"/>
      <c r="I31" s="22"/>
      <c r="J31" s="469"/>
      <c r="K31" s="469"/>
      <c r="L31" s="469"/>
      <c r="M31" s="469"/>
      <c r="N31" s="366"/>
      <c r="O31" s="366"/>
      <c r="P31" s="366"/>
      <c r="Q31" s="366"/>
    </row>
    <row r="32" spans="1:17" s="86" customFormat="1" ht="12" customHeight="1">
      <c r="A32" s="474"/>
      <c r="B32" s="303">
        <f t="shared" si="0"/>
        <v>7</v>
      </c>
      <c r="C32" s="17">
        <v>43982</v>
      </c>
      <c r="D32" s="236"/>
      <c r="E32" s="236"/>
      <c r="F32" s="701">
        <v>486.7</v>
      </c>
      <c r="G32" s="305"/>
      <c r="H32" s="305">
        <v>306.7</v>
      </c>
      <c r="I32" s="366"/>
      <c r="J32" s="469"/>
      <c r="K32" s="469"/>
      <c r="L32" s="469"/>
      <c r="M32" s="469"/>
      <c r="N32" s="145"/>
      <c r="O32" s="366"/>
      <c r="P32" s="366"/>
      <c r="Q32" s="366"/>
    </row>
    <row r="33" spans="1:20" ht="12.95" customHeight="1" thickBot="1">
      <c r="B33" s="21"/>
      <c r="C33" s="574" t="s">
        <v>225</v>
      </c>
      <c r="D33" s="85">
        <f>COUNT(D2:D32)</f>
        <v>14</v>
      </c>
      <c r="E33" s="85">
        <f>COUNT(E2:E32)</f>
        <v>14</v>
      </c>
      <c r="F33" s="85">
        <f>COUNT(F2:F32)</f>
        <v>11</v>
      </c>
      <c r="G33" s="85">
        <f>COUNT(G2:G32)</f>
        <v>19</v>
      </c>
      <c r="H33" s="85">
        <f>COUNT(H2:H32)</f>
        <v>4</v>
      </c>
      <c r="J33" s="469"/>
      <c r="K33" s="469"/>
      <c r="L33" s="469"/>
      <c r="M33" s="469"/>
      <c r="N33" s="366"/>
      <c r="O33" s="366"/>
      <c r="P33" s="366"/>
      <c r="Q33" s="366"/>
    </row>
    <row r="34" spans="1:20" ht="12.75" customHeight="1" thickBot="1">
      <c r="B34" s="21"/>
      <c r="C34" s="85" t="s">
        <v>13</v>
      </c>
      <c r="D34" s="238">
        <f>SUM(D2:D32)</f>
        <v>10821.060000000001</v>
      </c>
      <c r="E34" s="238">
        <f>SUM(E2:E32)</f>
        <v>9829.4600000000009</v>
      </c>
      <c r="F34" s="238">
        <f>SUM(F2:F32)</f>
        <v>5463.7499999999991</v>
      </c>
      <c r="G34" s="238">
        <f>SUM(G2:G32)</f>
        <v>8899.82</v>
      </c>
      <c r="H34" s="66"/>
      <c r="I34" s="1"/>
      <c r="J34" s="253" t="s">
        <v>189</v>
      </c>
      <c r="K34" s="292" t="s">
        <v>190</v>
      </c>
      <c r="L34" s="452" t="s">
        <v>219</v>
      </c>
      <c r="M34" s="363"/>
      <c r="N34" s="366"/>
      <c r="O34" s="366"/>
      <c r="P34" s="366"/>
      <c r="Q34" s="366"/>
    </row>
    <row r="35" spans="1:20" ht="13.9" customHeight="1" thickBot="1">
      <c r="B35" s="21"/>
      <c r="C35" s="85" t="s">
        <v>22</v>
      </c>
      <c r="D35" s="238">
        <v>9715.75</v>
      </c>
      <c r="E35" s="238">
        <v>8507.9</v>
      </c>
      <c r="F35" s="238">
        <v>5200.25</v>
      </c>
      <c r="G35" s="238">
        <v>7935.22</v>
      </c>
      <c r="H35" s="66"/>
      <c r="I35" s="12"/>
      <c r="J35" s="292">
        <f>SUM(D2:E32)+F28+F29+F32</f>
        <v>22761.37</v>
      </c>
      <c r="K35" s="292">
        <f>SUM(F2:G27)+G28+H25+H29+H30+G31+H32</f>
        <v>13612.520000000002</v>
      </c>
      <c r="L35" s="453">
        <f>SUM(J2:J32)</f>
        <v>1936.8</v>
      </c>
      <c r="M35" s="363"/>
      <c r="N35" s="366"/>
      <c r="O35" s="366"/>
      <c r="P35" s="366"/>
      <c r="Q35" s="366"/>
    </row>
    <row r="36" spans="1:20" ht="13.9" customHeight="1">
      <c r="B36" s="21"/>
      <c r="C36" s="85" t="s">
        <v>5</v>
      </c>
      <c r="D36" s="88">
        <f>ABS(D34-D35)</f>
        <v>1105.3100000000013</v>
      </c>
      <c r="E36" s="88">
        <f>ABS(E34-E35)</f>
        <v>1321.5600000000013</v>
      </c>
      <c r="F36" s="88">
        <f>ABS(F34-F35)</f>
        <v>263.49999999999909</v>
      </c>
      <c r="G36" s="88">
        <f>ABS(G34-G35)</f>
        <v>964.59999999999945</v>
      </c>
      <c r="H36" s="68"/>
      <c r="I36" s="1"/>
      <c r="J36" s="363" t="s">
        <v>327</v>
      </c>
      <c r="K36" s="363" t="s">
        <v>327</v>
      </c>
      <c r="L36" s="363"/>
      <c r="M36" s="363"/>
      <c r="N36" s="366"/>
      <c r="O36" s="366"/>
      <c r="P36" s="366"/>
      <c r="Q36" s="366"/>
    </row>
    <row r="37" spans="1:20" ht="13.9" customHeight="1">
      <c r="B37" s="21"/>
      <c r="C37" s="700" t="s">
        <v>233</v>
      </c>
      <c r="D37" s="89">
        <f>ROUND(D36*1%,2)</f>
        <v>11.05</v>
      </c>
      <c r="E37" s="89">
        <f>ROUND(E36*1%,2)</f>
        <v>13.22</v>
      </c>
      <c r="F37" s="89">
        <f>ROUND(F36*1%,2)</f>
        <v>2.63</v>
      </c>
      <c r="G37" s="89">
        <f>ROUND(G36*1%,2)</f>
        <v>9.65</v>
      </c>
      <c r="H37" s="70"/>
      <c r="I37" s="1"/>
      <c r="J37" s="363">
        <f>D44+E44</f>
        <v>1230.98</v>
      </c>
      <c r="K37" s="363">
        <f>F44+G44</f>
        <v>1105.8000000000002</v>
      </c>
      <c r="L37" s="363"/>
      <c r="M37" s="363"/>
      <c r="N37" s="366"/>
      <c r="O37" s="366"/>
      <c r="P37" s="366"/>
      <c r="Q37" s="366"/>
    </row>
    <row r="38" spans="1:20" ht="13.9" customHeight="1">
      <c r="B38" s="21"/>
      <c r="C38" s="699" t="s">
        <v>234</v>
      </c>
      <c r="D38" s="89">
        <f>ROUND(3%*D35,2)</f>
        <v>291.47000000000003</v>
      </c>
      <c r="E38" s="89">
        <f>ROUND(3%*E35,2)</f>
        <v>255.24</v>
      </c>
      <c r="F38" s="89">
        <f>ROUND(3%*F35,2)</f>
        <v>156.01</v>
      </c>
      <c r="G38" s="89">
        <f>ROUND(3%*G35,2)</f>
        <v>238.06</v>
      </c>
      <c r="H38" s="70"/>
      <c r="I38" s="1"/>
      <c r="J38" s="145"/>
      <c r="K38" s="145"/>
      <c r="L38" s="366"/>
      <c r="M38" s="363"/>
      <c r="N38" s="366"/>
      <c r="O38" s="366"/>
      <c r="P38" s="366"/>
      <c r="Q38" s="366"/>
    </row>
    <row r="39" spans="1:20" ht="11.25" customHeight="1">
      <c r="B39" s="21"/>
      <c r="C39" s="85" t="s">
        <v>7</v>
      </c>
      <c r="D39" s="87">
        <v>50</v>
      </c>
      <c r="E39" s="87">
        <v>50</v>
      </c>
      <c r="F39" s="87"/>
      <c r="G39" s="472"/>
      <c r="H39" s="690"/>
      <c r="I39" s="12"/>
      <c r="J39" s="145"/>
      <c r="K39" s="366"/>
      <c r="L39" s="366"/>
      <c r="M39" s="363"/>
      <c r="N39" s="366"/>
      <c r="O39" s="366"/>
      <c r="P39" s="366"/>
      <c r="Q39" s="366"/>
    </row>
    <row r="40" spans="1:20" ht="13.9" customHeight="1">
      <c r="B40" s="21"/>
      <c r="C40" s="85" t="s">
        <v>244</v>
      </c>
      <c r="D40" s="87">
        <f>ROUND(20*D33,2)</f>
        <v>280</v>
      </c>
      <c r="E40" s="87">
        <f>ROUND(20*E33,2)</f>
        <v>280</v>
      </c>
      <c r="F40" s="488">
        <f>ROUND(23*8,2)+20*3</f>
        <v>244</v>
      </c>
      <c r="G40" s="88">
        <f>ROUND(23*G33,2)</f>
        <v>437</v>
      </c>
      <c r="H40" s="68"/>
      <c r="I40" s="8"/>
      <c r="J40" s="283">
        <f>D43+E43</f>
        <v>712.3900000000001</v>
      </c>
      <c r="K40" s="145"/>
      <c r="L40" s="145"/>
      <c r="M40" s="363"/>
      <c r="N40" s="366"/>
      <c r="O40" s="366"/>
      <c r="P40" s="366"/>
      <c r="Q40" s="366"/>
    </row>
    <row r="41" spans="1:20" ht="12" customHeight="1">
      <c r="B41" s="31"/>
      <c r="C41" s="239" t="s">
        <v>94</v>
      </c>
      <c r="D41" s="18">
        <v>337.71</v>
      </c>
      <c r="E41" s="241">
        <v>180.88</v>
      </c>
      <c r="F41" s="87"/>
      <c r="G41" s="87">
        <v>257.08999999999997</v>
      </c>
      <c r="H41" s="72"/>
      <c r="J41" s="145"/>
      <c r="K41" s="366"/>
      <c r="L41" s="366"/>
      <c r="M41" s="363"/>
      <c r="N41" s="366"/>
      <c r="O41" s="366"/>
      <c r="P41" s="366"/>
      <c r="Q41" s="366"/>
    </row>
    <row r="42" spans="1:20" ht="11.25" customHeight="1">
      <c r="B42" s="21"/>
      <c r="C42" s="242" t="s">
        <v>48</v>
      </c>
      <c r="D42" s="243"/>
      <c r="E42" s="240"/>
      <c r="F42" s="87"/>
      <c r="G42" s="87">
        <f>3%*(375+204+36)</f>
        <v>18.45</v>
      </c>
      <c r="H42" s="72"/>
      <c r="I42" s="8"/>
      <c r="J42" s="283"/>
      <c r="K42" s="145"/>
      <c r="L42" s="366"/>
      <c r="M42" s="366"/>
      <c r="N42" s="366"/>
      <c r="O42" s="366"/>
      <c r="P42" s="366"/>
      <c r="Q42" s="366"/>
    </row>
    <row r="43" spans="1:20" ht="13.9" customHeight="1">
      <c r="B43" s="21"/>
      <c r="C43" s="245" t="s">
        <v>77</v>
      </c>
      <c r="D43" s="455">
        <f>D37+D38+D39+D40-D41</f>
        <v>294.81</v>
      </c>
      <c r="E43" s="455">
        <f>E37+E38+E39+E40-E41-E42</f>
        <v>417.58000000000004</v>
      </c>
      <c r="F43" s="455">
        <f>F37+F38+F39+F40-F41-F42</f>
        <v>402.64</v>
      </c>
      <c r="G43" s="455">
        <f>G37+G38+G39+G40-G41+G42</f>
        <v>446.07000000000005</v>
      </c>
      <c r="H43" s="691"/>
      <c r="I43" s="8"/>
      <c r="J43" s="145"/>
      <c r="K43" s="145"/>
      <c r="L43" s="366"/>
      <c r="M43" s="366"/>
      <c r="N43" s="366"/>
      <c r="O43" s="366"/>
      <c r="P43" s="366"/>
      <c r="Q43" s="366"/>
    </row>
    <row r="44" spans="1:20" ht="13.9" customHeight="1">
      <c r="B44" s="21"/>
      <c r="C44" s="286" t="s">
        <v>45</v>
      </c>
      <c r="D44" s="287">
        <f>D37+D38+D39+D40</f>
        <v>632.52</v>
      </c>
      <c r="E44" s="287">
        <f>E37+E38+E39+E40</f>
        <v>598.46</v>
      </c>
      <c r="F44" s="287">
        <f>F37+F38+F39+F40</f>
        <v>402.64</v>
      </c>
      <c r="G44" s="287">
        <f>G37+G38+G39+G40+G42</f>
        <v>703.16000000000008</v>
      </c>
      <c r="H44" s="461"/>
      <c r="I44" s="8"/>
      <c r="J44" s="461"/>
      <c r="K44" s="366"/>
      <c r="L44" s="366"/>
      <c r="M44" s="366"/>
      <c r="N44" s="366"/>
      <c r="O44" s="366"/>
      <c r="P44" s="366"/>
      <c r="Q44" s="366"/>
    </row>
    <row r="45" spans="1:20" ht="12.95" customHeight="1">
      <c r="B45" s="21"/>
      <c r="C45" s="169"/>
      <c r="D45" s="364"/>
      <c r="E45" s="461"/>
      <c r="F45" s="8"/>
      <c r="G45" s="8"/>
      <c r="H45" s="8"/>
      <c r="J45" s="128"/>
      <c r="K45" s="504"/>
      <c r="L45" s="213"/>
      <c r="M45" s="213"/>
      <c r="N45" s="213"/>
      <c r="O45" s="213"/>
      <c r="P45" s="213"/>
      <c r="Q45" s="213"/>
      <c r="R45" s="7"/>
      <c r="S45" s="7"/>
      <c r="T45" s="505"/>
    </row>
    <row r="46" spans="1:20" ht="12.95" customHeight="1">
      <c r="A46" s="8"/>
      <c r="B46" s="31"/>
      <c r="C46" s="1195" t="s">
        <v>323</v>
      </c>
      <c r="D46" s="1195"/>
      <c r="E46" s="1195"/>
      <c r="F46" s="1195"/>
      <c r="G46" s="1195"/>
      <c r="H46" s="684"/>
      <c r="I46" s="8"/>
      <c r="J46" s="68"/>
      <c r="K46" s="506"/>
      <c r="L46" s="366"/>
      <c r="M46" s="366"/>
      <c r="N46" s="145"/>
      <c r="O46" s="366"/>
      <c r="P46" s="366"/>
      <c r="Q46" s="366"/>
      <c r="R46" s="1"/>
      <c r="S46" s="1"/>
      <c r="T46" s="507"/>
    </row>
    <row r="47" spans="1:20" ht="12.95" customHeight="1">
      <c r="A47" s="8"/>
      <c r="B47" s="31"/>
      <c r="C47" s="1"/>
      <c r="D47" s="12"/>
      <c r="E47" s="12"/>
      <c r="F47" s="8"/>
      <c r="G47" s="8"/>
      <c r="H47" s="8"/>
      <c r="I47" s="8"/>
      <c r="J47" s="72"/>
      <c r="K47" s="506"/>
      <c r="L47" s="366"/>
      <c r="M47" s="366"/>
      <c r="N47" s="145"/>
      <c r="O47" s="366"/>
      <c r="P47" s="366"/>
      <c r="Q47" s="366"/>
      <c r="R47" s="1"/>
      <c r="S47" s="1"/>
      <c r="T47" s="507"/>
    </row>
    <row r="48" spans="1:20" ht="12.95" customHeight="1">
      <c r="B48" s="32"/>
      <c r="C48" s="1"/>
      <c r="D48" s="1"/>
      <c r="E48" s="127"/>
      <c r="G48" s="8"/>
      <c r="H48" s="8"/>
      <c r="I48" s="207"/>
      <c r="J48" s="68"/>
      <c r="K48" s="506"/>
      <c r="L48" s="366"/>
      <c r="M48" s="366"/>
      <c r="N48" s="366"/>
      <c r="O48" s="366"/>
      <c r="P48" s="366"/>
      <c r="Q48" s="366"/>
      <c r="R48" s="1"/>
      <c r="S48" s="1"/>
      <c r="T48" s="507"/>
    </row>
    <row r="49" spans="1:20" s="86" customFormat="1" ht="12.95" customHeight="1">
      <c r="B49" s="501"/>
      <c r="C49" s="502"/>
      <c r="D49" s="502"/>
      <c r="E49" s="502"/>
      <c r="F49" s="502"/>
      <c r="G49" s="502"/>
      <c r="H49" s="502"/>
      <c r="I49" s="503"/>
      <c r="J49" s="534"/>
      <c r="K49" s="366"/>
      <c r="L49" s="366"/>
      <c r="M49" s="366"/>
      <c r="N49" s="366"/>
      <c r="O49" s="366"/>
      <c r="P49" s="366"/>
      <c r="Q49" s="366"/>
      <c r="R49" s="366"/>
      <c r="S49" s="366"/>
      <c r="T49" s="166"/>
    </row>
    <row r="50" spans="1:20" s="86" customFormat="1" ht="12.95" customHeight="1">
      <c r="C50" s="502"/>
      <c r="D50" s="502"/>
      <c r="E50" s="524"/>
      <c r="F50" s="524"/>
      <c r="G50" s="502"/>
      <c r="H50" s="502"/>
      <c r="I50" s="168"/>
      <c r="J50" s="525"/>
      <c r="K50" s="508"/>
      <c r="L50" s="502"/>
      <c r="M50" s="366"/>
      <c r="N50" s="366"/>
      <c r="O50" s="366"/>
      <c r="P50" s="366"/>
      <c r="Q50" s="366"/>
      <c r="R50" s="366"/>
      <c r="S50" s="366"/>
      <c r="T50" s="166"/>
    </row>
    <row r="51" spans="1:20" s="86" customFormat="1" ht="12" customHeight="1">
      <c r="A51" s="366"/>
      <c r="B51" s="366"/>
      <c r="C51" s="502"/>
      <c r="D51" s="502"/>
      <c r="E51" s="524"/>
      <c r="F51" s="524"/>
      <c r="G51" s="502"/>
      <c r="H51" s="502"/>
      <c r="I51" s="503"/>
      <c r="J51" s="502"/>
      <c r="K51" s="508"/>
      <c r="L51" s="502"/>
      <c r="M51" s="366"/>
      <c r="N51" s="366"/>
      <c r="O51" s="366"/>
      <c r="P51" s="366"/>
      <c r="Q51" s="366"/>
      <c r="R51" s="366"/>
      <c r="S51" s="366"/>
      <c r="T51" s="166"/>
    </row>
    <row r="52" spans="1:20" s="86" customFormat="1" ht="18.75">
      <c r="A52" s="366"/>
      <c r="B52" s="366"/>
      <c r="C52" s="366"/>
      <c r="D52" s="366"/>
      <c r="E52" s="144"/>
      <c r="I52" s="503"/>
      <c r="J52" s="502"/>
      <c r="K52" s="508"/>
      <c r="L52" s="502"/>
      <c r="M52" s="366"/>
      <c r="N52" s="366"/>
      <c r="O52" s="366"/>
      <c r="P52" s="366"/>
      <c r="Q52" s="366"/>
      <c r="R52" s="366"/>
      <c r="S52" s="366"/>
      <c r="T52" s="166"/>
    </row>
    <row r="53" spans="1:20" s="86" customFormat="1">
      <c r="A53" s="366"/>
      <c r="B53" s="366"/>
      <c r="C53" s="366"/>
      <c r="D53" s="366"/>
      <c r="E53" s="144"/>
      <c r="J53" s="143"/>
      <c r="K53" s="506"/>
      <c r="L53" s="366"/>
      <c r="M53" s="366"/>
      <c r="N53" s="366"/>
      <c r="O53" s="366"/>
      <c r="P53" s="366"/>
      <c r="Q53" s="366"/>
      <c r="R53" s="366"/>
      <c r="S53" s="366"/>
      <c r="T53" s="166"/>
    </row>
    <row r="54" spans="1:20" s="86" customFormat="1" ht="15" customHeight="1">
      <c r="A54" s="366"/>
      <c r="B54" s="366"/>
      <c r="C54" s="366"/>
      <c r="D54" s="366"/>
      <c r="E54" s="144"/>
      <c r="I54" s="524"/>
      <c r="J54" s="366"/>
      <c r="K54" s="506"/>
      <c r="L54" s="366"/>
      <c r="M54" s="366"/>
      <c r="N54" s="366"/>
      <c r="O54" s="366"/>
      <c r="P54" s="366"/>
      <c r="Q54" s="366"/>
      <c r="R54" s="366"/>
      <c r="S54" s="366"/>
      <c r="T54" s="166"/>
    </row>
    <row r="55" spans="1:20" s="86" customFormat="1" ht="15" customHeight="1">
      <c r="A55" s="366"/>
      <c r="B55" s="366"/>
      <c r="C55" s="366"/>
      <c r="D55" s="366"/>
      <c r="E55" s="144"/>
      <c r="I55" s="524"/>
      <c r="J55" s="366"/>
      <c r="K55" s="506"/>
      <c r="L55" s="366"/>
      <c r="M55" s="366"/>
      <c r="N55" s="366"/>
      <c r="O55" s="366"/>
      <c r="P55" s="366"/>
      <c r="Q55" s="366"/>
      <c r="R55" s="366"/>
      <c r="S55" s="366"/>
      <c r="T55" s="166"/>
    </row>
    <row r="56" spans="1:20" s="86" customFormat="1" ht="15" customHeight="1">
      <c r="A56" s="366"/>
      <c r="B56" s="366"/>
      <c r="C56" s="366"/>
      <c r="D56" s="366"/>
      <c r="E56" s="144"/>
      <c r="I56" s="524"/>
      <c r="J56" s="366"/>
      <c r="K56" s="506"/>
      <c r="L56" s="366"/>
      <c r="M56" s="366"/>
      <c r="N56" s="366"/>
      <c r="O56" s="366"/>
      <c r="P56" s="366"/>
      <c r="Q56" s="366"/>
      <c r="R56" s="366"/>
      <c r="S56" s="366"/>
      <c r="T56" s="166"/>
    </row>
    <row r="57" spans="1:20" s="86" customFormat="1">
      <c r="A57" s="366"/>
      <c r="B57" s="366"/>
      <c r="C57" s="366"/>
      <c r="D57" s="366"/>
      <c r="E57" s="144"/>
      <c r="I57" s="168"/>
      <c r="K57" s="506"/>
      <c r="L57" s="366"/>
      <c r="M57" s="366"/>
      <c r="N57" s="366"/>
      <c r="O57" s="366"/>
      <c r="P57" s="366"/>
      <c r="Q57" s="366"/>
      <c r="R57" s="366"/>
      <c r="S57" s="366"/>
      <c r="T57" s="166"/>
    </row>
    <row r="58" spans="1:20" s="86" customFormat="1">
      <c r="A58" s="366"/>
      <c r="B58" s="366"/>
      <c r="C58" s="366"/>
      <c r="D58" s="366"/>
      <c r="E58" s="144"/>
      <c r="K58" s="506"/>
      <c r="L58" s="366"/>
      <c r="M58" s="366"/>
      <c r="N58" s="366"/>
      <c r="O58" s="366"/>
      <c r="P58" s="366"/>
      <c r="Q58" s="366"/>
      <c r="R58" s="366"/>
      <c r="S58" s="366"/>
      <c r="T58" s="166"/>
    </row>
    <row r="59" spans="1:20" s="86" customFormat="1">
      <c r="A59" s="366"/>
      <c r="B59" s="366"/>
      <c r="C59" s="366"/>
      <c r="D59" s="366"/>
      <c r="E59" s="144"/>
      <c r="K59" s="506"/>
      <c r="L59" s="366"/>
      <c r="M59" s="366"/>
      <c r="N59" s="366"/>
      <c r="O59" s="366"/>
      <c r="P59" s="366"/>
      <c r="Q59" s="366"/>
      <c r="R59" s="366"/>
      <c r="S59" s="366"/>
      <c r="T59" s="166"/>
    </row>
    <row r="60" spans="1:20" s="86" customFormat="1">
      <c r="A60" s="366"/>
      <c r="B60" s="366"/>
      <c r="C60" s="366"/>
      <c r="D60" s="366"/>
      <c r="E60" s="144"/>
      <c r="K60" s="506"/>
      <c r="L60" s="366"/>
      <c r="M60" s="366"/>
      <c r="N60" s="366"/>
      <c r="O60" s="366"/>
      <c r="P60" s="366"/>
      <c r="Q60" s="366"/>
      <c r="R60" s="366"/>
      <c r="S60" s="366"/>
      <c r="T60" s="166"/>
    </row>
    <row r="61" spans="1:20" s="86" customFormat="1">
      <c r="A61" s="366"/>
      <c r="B61" s="366"/>
      <c r="C61" s="366"/>
      <c r="D61" s="366"/>
      <c r="E61" s="144"/>
      <c r="K61" s="506"/>
      <c r="L61" s="366"/>
      <c r="M61" s="366"/>
      <c r="N61" s="366"/>
      <c r="O61" s="366"/>
      <c r="P61" s="366"/>
      <c r="Q61" s="366"/>
      <c r="R61" s="366"/>
      <c r="S61" s="366"/>
      <c r="T61" s="166"/>
    </row>
    <row r="62" spans="1:20">
      <c r="A62" s="1"/>
      <c r="B62" s="1"/>
      <c r="C62" s="1"/>
      <c r="D62" s="1"/>
      <c r="E62" s="11"/>
      <c r="K62" s="509"/>
      <c r="L62" s="510"/>
      <c r="M62" s="510"/>
      <c r="N62" s="510"/>
      <c r="O62" s="510"/>
      <c r="P62" s="510"/>
      <c r="Q62" s="510"/>
      <c r="R62" s="510"/>
      <c r="S62" s="510"/>
      <c r="T62" s="511"/>
    </row>
    <row r="63" spans="1:20">
      <c r="A63" s="1"/>
      <c r="B63" s="1"/>
      <c r="C63" s="1"/>
      <c r="D63" s="1"/>
      <c r="E63" s="11"/>
    </row>
    <row r="64" spans="1:20">
      <c r="A64" s="1"/>
      <c r="B64" s="1"/>
      <c r="C64" s="1"/>
      <c r="D64" s="1"/>
      <c r="E64" s="11"/>
    </row>
    <row r="65" spans="1:5">
      <c r="A65" s="1"/>
      <c r="B65" s="1"/>
      <c r="C65" s="1"/>
      <c r="D65" s="1"/>
      <c r="E65" s="11"/>
    </row>
    <row r="66" spans="1:5">
      <c r="A66" s="1"/>
      <c r="B66" s="1"/>
      <c r="C66" s="11"/>
      <c r="D66" s="1"/>
      <c r="E66" s="11"/>
    </row>
    <row r="67" spans="1:5">
      <c r="A67" s="1"/>
      <c r="B67" s="1"/>
      <c r="C67" s="1"/>
      <c r="D67" s="1"/>
      <c r="E67" s="11"/>
    </row>
    <row r="68" spans="1:5">
      <c r="A68" s="1"/>
      <c r="B68" s="1"/>
      <c r="C68" s="1"/>
      <c r="D68" s="1"/>
      <c r="E68" s="11"/>
    </row>
    <row r="69" spans="1:5">
      <c r="A69" s="1"/>
      <c r="B69" s="1"/>
      <c r="C69" s="1"/>
      <c r="D69" s="1"/>
      <c r="E69" s="11"/>
    </row>
    <row r="70" spans="1:5">
      <c r="A70" s="1"/>
      <c r="B70" s="1"/>
      <c r="C70" s="1"/>
      <c r="D70" s="1"/>
      <c r="E70" s="11"/>
    </row>
    <row r="71" spans="1:5">
      <c r="A71" s="1"/>
      <c r="B71" s="1"/>
      <c r="C71" s="1"/>
      <c r="D71" s="1"/>
      <c r="E71" s="11"/>
    </row>
    <row r="72" spans="1:5">
      <c r="A72" s="1"/>
      <c r="B72" s="1"/>
      <c r="C72" s="1"/>
      <c r="D72" s="1"/>
      <c r="E72" s="11"/>
    </row>
    <row r="73" spans="1:5">
      <c r="A73" s="1"/>
      <c r="B73" s="1"/>
      <c r="C73" s="1"/>
      <c r="D73" s="1"/>
      <c r="E73" s="11"/>
    </row>
    <row r="74" spans="1:5">
      <c r="A74" s="1"/>
      <c r="B74" s="1"/>
      <c r="C74" s="1"/>
      <c r="D74" s="1"/>
      <c r="E74" s="11"/>
    </row>
    <row r="75" spans="1:5">
      <c r="A75" s="1"/>
      <c r="B75" s="1"/>
      <c r="C75" s="1"/>
      <c r="D75" s="1"/>
      <c r="E75" s="11"/>
    </row>
    <row r="76" spans="1:5">
      <c r="A76" s="1"/>
      <c r="B76" s="1"/>
      <c r="C76" s="1"/>
      <c r="D76" s="1"/>
      <c r="E76" s="11"/>
    </row>
    <row r="77" spans="1:5">
      <c r="A77" s="1"/>
      <c r="B77" s="1"/>
      <c r="C77" s="1"/>
      <c r="D77" s="1"/>
      <c r="E77" s="11"/>
    </row>
    <row r="78" spans="1:5">
      <c r="A78" s="1"/>
      <c r="B78" s="1"/>
      <c r="C78" s="1"/>
      <c r="D78" s="1"/>
      <c r="E78" s="11"/>
    </row>
    <row r="79" spans="1:5">
      <c r="A79" s="1"/>
      <c r="B79" s="1"/>
      <c r="C79" s="1"/>
      <c r="D79" s="1"/>
      <c r="E79" s="11"/>
    </row>
    <row r="80" spans="1:5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2"/>
    </row>
    <row r="89" spans="1:5">
      <c r="A89" s="1"/>
      <c r="B89" s="1"/>
      <c r="C89" s="1"/>
      <c r="D89" s="1"/>
      <c r="E89" s="2"/>
    </row>
    <row r="90" spans="1:5">
      <c r="A90" s="1"/>
      <c r="B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B93" s="1"/>
      <c r="E93" s="2"/>
    </row>
    <row r="94" spans="1:5">
      <c r="B94" s="1"/>
      <c r="E94" s="2"/>
    </row>
    <row r="95" spans="1:5"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</sheetData>
  <sortState ref="M2:N15">
    <sortCondition ref="N2"/>
  </sortState>
  <mergeCells count="1">
    <mergeCell ref="C46:G46"/>
  </mergeCells>
  <conditionalFormatting sqref="F32:H32 B2:H2 F4:H4 D4 D26:F28 D5:H15 D29:H29 D31:H31 G30:H30 D30:E30 D3:H3 D17:H25 F16:H16 D16 B3:C32">
    <cfRule type="expression" dxfId="51" priority="1">
      <formula>$B2=7</formula>
    </cfRule>
    <cfRule type="expression" dxfId="50" priority="2">
      <formula>$B2=6</formula>
    </cfRule>
  </conditionalFormatting>
  <pageMargins left="0.7" right="0.7" top="0.75" bottom="0.75" header="0.3" footer="0.3"/>
  <pageSetup paperSize="1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3"/>
  <sheetViews>
    <sheetView zoomScale="85" zoomScaleNormal="85" zoomScaleSheetLayoutView="70" zoomScalePageLayoutView="70" workbookViewId="0">
      <selection activeCell="B71" sqref="B71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4.710937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329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712"/>
      <c r="O2" s="741"/>
      <c r="P2" s="741"/>
      <c r="Q2" s="741"/>
      <c r="R2" s="366"/>
      <c r="S2" s="741"/>
      <c r="T2" s="741"/>
      <c r="U2" s="741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712"/>
      <c r="O3" s="366"/>
      <c r="P3" s="366"/>
      <c r="Q3" s="366"/>
      <c r="R3" s="366"/>
      <c r="S3" s="366"/>
      <c r="T3" s="366"/>
      <c r="U3" s="366"/>
      <c r="V3" s="741"/>
      <c r="W3" s="741"/>
      <c r="X3" s="366"/>
      <c r="Y3" s="741"/>
      <c r="Z3" s="629"/>
      <c r="AA3" s="366"/>
      <c r="AB3" s="366"/>
      <c r="AC3" s="366"/>
      <c r="AD3" s="714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706" t="s">
        <v>34</v>
      </c>
      <c r="C4" s="36" t="s">
        <v>35</v>
      </c>
      <c r="D4" s="36" t="s">
        <v>38</v>
      </c>
      <c r="E4" s="36" t="s">
        <v>42</v>
      </c>
      <c r="F4" s="706" t="s">
        <v>36</v>
      </c>
      <c r="G4" s="100" t="s">
        <v>173</v>
      </c>
      <c r="H4" s="676" t="s">
        <v>2</v>
      </c>
      <c r="I4" s="1285" t="s">
        <v>34</v>
      </c>
      <c r="J4" s="1285"/>
      <c r="K4" s="742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 t="s">
        <v>219</v>
      </c>
      <c r="B5" s="161" t="s">
        <v>222</v>
      </c>
      <c r="C5" s="275">
        <v>297.27</v>
      </c>
      <c r="D5" s="275">
        <v>297.27</v>
      </c>
      <c r="E5" s="542" t="str">
        <f t="shared" ref="E5" si="0">IF(C5-D5=0,"",C5-D5)</f>
        <v/>
      </c>
      <c r="F5" s="162" t="str">
        <f t="shared" ref="F5" si="1">IF(C5=0,"",IF(C5-D5=0,"оплачено","ОЖИДАЕТСЯ оплата"))</f>
        <v>оплачено</v>
      </c>
      <c r="G5" s="162" t="s">
        <v>332</v>
      </c>
      <c r="H5" s="678"/>
      <c r="I5" s="1288"/>
      <c r="J5" s="1289"/>
      <c r="K5" s="480">
        <v>7130</v>
      </c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 ht="45">
      <c r="A6" s="325" t="s">
        <v>219</v>
      </c>
      <c r="B6" s="276" t="s">
        <v>155</v>
      </c>
      <c r="C6" s="275">
        <v>153.37</v>
      </c>
      <c r="D6" s="275">
        <v>153.37</v>
      </c>
      <c r="E6" s="542" t="s">
        <v>373</v>
      </c>
      <c r="F6" s="162" t="str">
        <f t="shared" ref="F6:F19" si="2">IF(C6=0,"",IF(C6-D6=0,"оплачено","ОЖИДАЕТСЯ оплата"))</f>
        <v>оплачено</v>
      </c>
      <c r="G6" s="162" t="s">
        <v>332</v>
      </c>
      <c r="H6" s="678"/>
      <c r="I6" s="1288" t="s">
        <v>27</v>
      </c>
      <c r="J6" s="1289"/>
      <c r="K6" s="480">
        <v>648.25</v>
      </c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>
        <v>44008</v>
      </c>
      <c r="B7" s="161" t="s">
        <v>343</v>
      </c>
      <c r="C7" s="275">
        <v>2238.84</v>
      </c>
      <c r="D7" s="275">
        <v>2238.84</v>
      </c>
      <c r="E7" s="542" t="str">
        <f t="shared" ref="E7:E19" si="3">IF(C7-D7=0,"",C7-D7)</f>
        <v/>
      </c>
      <c r="F7" s="162" t="str">
        <f t="shared" si="2"/>
        <v>оплачено</v>
      </c>
      <c r="G7" s="162" t="s">
        <v>131</v>
      </c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44011</v>
      </c>
      <c r="B8" s="161" t="s">
        <v>82</v>
      </c>
      <c r="C8" s="275">
        <v>208</v>
      </c>
      <c r="D8" s="275">
        <v>208</v>
      </c>
      <c r="E8" s="542" t="str">
        <f t="shared" si="3"/>
        <v/>
      </c>
      <c r="F8" s="162" t="str">
        <f t="shared" si="2"/>
        <v>оплачено</v>
      </c>
      <c r="G8" s="162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44011</v>
      </c>
      <c r="B9" s="161" t="s">
        <v>334</v>
      </c>
      <c r="C9" s="275">
        <v>266.05</v>
      </c>
      <c r="D9" s="275">
        <v>266.05</v>
      </c>
      <c r="E9" s="542" t="str">
        <f t="shared" si="3"/>
        <v/>
      </c>
      <c r="F9" s="162" t="str">
        <f t="shared" si="2"/>
        <v>оплачено</v>
      </c>
      <c r="G9" s="162"/>
      <c r="H9" s="678"/>
      <c r="I9" s="1288"/>
      <c r="J9" s="1289"/>
      <c r="K9" s="480"/>
      <c r="L9" s="1290"/>
      <c r="M9" s="1291"/>
      <c r="N9" s="715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ht="18.75" customHeight="1">
      <c r="A10" s="325">
        <v>44008</v>
      </c>
      <c r="B10" s="161" t="s">
        <v>257</v>
      </c>
      <c r="C10" s="275">
        <v>136.56</v>
      </c>
      <c r="D10" s="275">
        <v>136.56</v>
      </c>
      <c r="E10" s="542" t="str">
        <f t="shared" si="3"/>
        <v/>
      </c>
      <c r="F10" s="162" t="str">
        <f t="shared" si="2"/>
        <v>оплачено</v>
      </c>
      <c r="G10" s="162"/>
      <c r="H10" s="678"/>
      <c r="I10" s="1288"/>
      <c r="J10" s="1289"/>
      <c r="K10" s="480"/>
      <c r="L10" s="1290"/>
      <c r="M10" s="1291"/>
      <c r="N10" s="715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5.75" customHeight="1">
      <c r="A11" s="325"/>
      <c r="B11" s="161"/>
      <c r="C11" s="275"/>
      <c r="D11" s="275"/>
      <c r="E11" s="542" t="str">
        <f t="shared" si="3"/>
        <v/>
      </c>
      <c r="F11" s="162" t="str">
        <f t="shared" si="2"/>
        <v/>
      </c>
      <c r="G11" s="162"/>
      <c r="H11" s="678"/>
      <c r="I11" s="1288"/>
      <c r="J11" s="1289"/>
      <c r="K11" s="480"/>
      <c r="L11" s="1191"/>
      <c r="M11" s="1292"/>
      <c r="N11" s="715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4.25" customHeight="1">
      <c r="A12" s="325"/>
      <c r="B12" s="161"/>
      <c r="C12" s="275"/>
      <c r="D12" s="275"/>
      <c r="E12" s="542" t="str">
        <f t="shared" si="3"/>
        <v/>
      </c>
      <c r="F12" s="162" t="str">
        <f t="shared" si="2"/>
        <v/>
      </c>
      <c r="G12" s="162"/>
      <c r="H12" s="678"/>
      <c r="I12" s="1288"/>
      <c r="J12" s="1289"/>
      <c r="K12" s="480"/>
      <c r="L12" s="1191"/>
      <c r="M12" s="1292"/>
      <c r="N12" s="715"/>
      <c r="O12" s="447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 ht="17.25" customHeight="1">
      <c r="A13" s="325"/>
      <c r="B13" s="161"/>
      <c r="C13" s="275"/>
      <c r="D13" s="275"/>
      <c r="E13" s="542" t="str">
        <f t="shared" si="3"/>
        <v/>
      </c>
      <c r="F13" s="162" t="str">
        <f t="shared" si="2"/>
        <v/>
      </c>
      <c r="G13" s="162"/>
      <c r="H13" s="678"/>
      <c r="I13" s="1288"/>
      <c r="J13" s="1289"/>
      <c r="K13" s="480"/>
      <c r="L13" s="1191"/>
      <c r="M13" s="1292"/>
      <c r="N13" s="715"/>
      <c r="O13" s="447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3"/>
        <v/>
      </c>
      <c r="F14" s="162" t="str">
        <f t="shared" si="2"/>
        <v/>
      </c>
      <c r="G14" s="162"/>
      <c r="H14" s="678"/>
      <c r="I14" s="1288"/>
      <c r="J14" s="1289"/>
      <c r="K14" s="480"/>
      <c r="L14" s="1191"/>
      <c r="M14" s="1292"/>
      <c r="N14" s="715"/>
      <c r="O14" s="447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3"/>
        <v/>
      </c>
      <c r="F15" s="162" t="str">
        <f t="shared" si="2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3"/>
        <v/>
      </c>
      <c r="F16" s="162" t="str">
        <f t="shared" si="2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3"/>
        <v/>
      </c>
      <c r="F17" s="162" t="str">
        <f t="shared" si="2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3"/>
        <v/>
      </c>
      <c r="F18" s="162" t="str">
        <f t="shared" si="2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3"/>
        <v/>
      </c>
      <c r="F19" s="162" t="str">
        <f t="shared" si="2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3300.09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SUM(K4:K19)</f>
        <v>7778.25</v>
      </c>
      <c r="L20" s="1298"/>
      <c r="M20" s="1299"/>
      <c r="N20" s="1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711" t="s">
        <v>21</v>
      </c>
      <c r="K22" s="711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8"/>
      <c r="B23" s="199"/>
      <c r="C23" s="288"/>
      <c r="D23" s="232"/>
      <c r="E23" s="84"/>
      <c r="F23" s="199"/>
      <c r="G23" s="199"/>
      <c r="H23" s="347" t="s">
        <v>18</v>
      </c>
      <c r="I23" s="94">
        <v>32809.9</v>
      </c>
      <c r="J23" s="94">
        <v>1675.7199999999998</v>
      </c>
      <c r="K23" s="297">
        <v>1047.01</v>
      </c>
      <c r="L23" s="96">
        <v>52152</v>
      </c>
      <c r="M23" s="104">
        <f>82159.79-I23-J23-K23+L23</f>
        <v>98779.159999999989</v>
      </c>
      <c r="N23" s="1"/>
      <c r="O23" s="447"/>
      <c r="P23" s="696"/>
      <c r="Q23" s="366"/>
      <c r="R23" s="84"/>
      <c r="S23" s="86"/>
      <c r="T23" s="86"/>
      <c r="U23" s="366"/>
      <c r="V23" s="86"/>
      <c r="W23" s="86"/>
      <c r="X23" s="86"/>
    </row>
    <row r="24" spans="1:35" ht="15.75" customHeight="1">
      <c r="A24" s="339"/>
      <c r="B24" s="199"/>
      <c r="C24" s="199"/>
      <c r="D24" s="273"/>
      <c r="E24" s="366"/>
      <c r="F24" s="84"/>
      <c r="G24" s="366"/>
      <c r="H24" s="347" t="s">
        <v>19</v>
      </c>
      <c r="I24" s="94">
        <v>35259.58</v>
      </c>
      <c r="J24" s="94">
        <v>1363.3000000000002</v>
      </c>
      <c r="K24" s="94">
        <v>1176.05</v>
      </c>
      <c r="L24" s="96">
        <v>40465.950000000004</v>
      </c>
      <c r="M24" s="104">
        <f>M23-I24-J24-K24+L24</f>
        <v>101446.18</v>
      </c>
      <c r="N24" s="1"/>
      <c r="O24" s="447"/>
      <c r="P24" s="84"/>
      <c r="Q24" s="366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366"/>
      <c r="C25" s="199"/>
      <c r="D25" s="273"/>
      <c r="E25" s="366"/>
      <c r="F25" s="366"/>
      <c r="G25" s="366"/>
      <c r="H25" s="347" t="s">
        <v>20</v>
      </c>
      <c r="I25" s="298">
        <v>34690.219999999994</v>
      </c>
      <c r="J25" s="94">
        <v>1209.3000000000002</v>
      </c>
      <c r="K25" s="299">
        <v>1213.33</v>
      </c>
      <c r="L25" s="299">
        <v>19306</v>
      </c>
      <c r="M25" s="104">
        <f t="shared" ref="M25:M32" si="4">M24-I25-J25-K25+L25</f>
        <v>83639.329999999987</v>
      </c>
      <c r="N25" s="1"/>
      <c r="O25" s="447"/>
      <c r="P25" s="84"/>
      <c r="Q25" s="366"/>
      <c r="R25" s="84"/>
      <c r="S25" s="541"/>
      <c r="T25" s="86"/>
      <c r="U25" s="366"/>
      <c r="V25" s="86"/>
      <c r="W25" s="86"/>
      <c r="X25" s="86"/>
      <c r="Z25" s="1"/>
    </row>
    <row r="26" spans="1:35">
      <c r="A26" s="339"/>
      <c r="B26" s="1"/>
      <c r="C26" s="284"/>
      <c r="D26" s="273"/>
      <c r="E26" s="366"/>
      <c r="F26" s="366"/>
      <c r="G26" s="84"/>
      <c r="H26" s="347" t="s">
        <v>148</v>
      </c>
      <c r="I26" s="299">
        <v>30955.479999999996</v>
      </c>
      <c r="J26" s="300">
        <v>3184.46</v>
      </c>
      <c r="K26" s="300">
        <v>1035.6600000000001</v>
      </c>
      <c r="L26" s="299">
        <v>59195.5</v>
      </c>
      <c r="M26" s="104">
        <f t="shared" si="4"/>
        <v>107659.22999999998</v>
      </c>
      <c r="N26" s="1"/>
      <c r="O26" s="447"/>
      <c r="P26" s="84"/>
      <c r="Q26" s="366"/>
      <c r="R26" s="84"/>
      <c r="S26" s="541"/>
      <c r="T26" s="86"/>
      <c r="U26" s="366"/>
      <c r="V26" s="86"/>
      <c r="W26" s="86"/>
      <c r="X26" s="86"/>
      <c r="Z26" s="1"/>
    </row>
    <row r="27" spans="1:35">
      <c r="A27" s="339"/>
      <c r="B27" s="199"/>
      <c r="C27" s="1"/>
      <c r="D27" s="273"/>
      <c r="E27" s="366"/>
      <c r="F27" s="366"/>
      <c r="G27" s="366"/>
      <c r="H27" s="348" t="s">
        <v>162</v>
      </c>
      <c r="I27" s="300">
        <v>31239.439999999995</v>
      </c>
      <c r="J27" s="299">
        <v>2443.4</v>
      </c>
      <c r="K27" s="300">
        <v>1496.52</v>
      </c>
      <c r="L27" s="299">
        <v>40132</v>
      </c>
      <c r="M27" s="104">
        <f t="shared" si="4"/>
        <v>112611.86999999998</v>
      </c>
      <c r="N27" s="1"/>
      <c r="O27" s="447"/>
      <c r="P27"/>
      <c r="Q27" s="145"/>
      <c r="R27" s="84"/>
      <c r="S27" s="541"/>
      <c r="T27" s="86"/>
      <c r="U27" s="366"/>
      <c r="V27" s="86"/>
      <c r="W27" s="86"/>
      <c r="X27" s="86"/>
      <c r="Z27" s="1"/>
    </row>
    <row r="28" spans="1:35">
      <c r="A28" s="339"/>
      <c r="B28" s="199"/>
      <c r="C28" s="1"/>
      <c r="D28" s="273"/>
      <c r="E28" s="366"/>
      <c r="F28" s="366"/>
      <c r="G28" s="366"/>
      <c r="H28" s="379" t="s">
        <v>163</v>
      </c>
      <c r="I28" s="380">
        <v>28986.99</v>
      </c>
      <c r="J28" s="432">
        <v>6271.4999999999991</v>
      </c>
      <c r="K28" s="433">
        <v>1046.56</v>
      </c>
      <c r="L28" s="433">
        <v>22678.1</v>
      </c>
      <c r="M28" s="104">
        <f t="shared" si="4"/>
        <v>98984.919999999984</v>
      </c>
      <c r="N28" s="1"/>
      <c r="O28" s="189"/>
      <c r="P28" s="84"/>
      <c r="Q28" s="145"/>
      <c r="R28" s="84"/>
      <c r="S28" s="541"/>
      <c r="T28" s="86"/>
      <c r="U28" s="86"/>
      <c r="V28" s="86"/>
      <c r="W28" s="86"/>
      <c r="X28" s="86"/>
      <c r="Z28" s="1"/>
    </row>
    <row r="29" spans="1:35">
      <c r="A29" s="339"/>
      <c r="B29" s="199"/>
      <c r="C29" s="1"/>
      <c r="D29" s="273"/>
      <c r="E29" s="366"/>
      <c r="F29" s="366"/>
      <c r="G29" s="366"/>
      <c r="H29" s="379" t="s">
        <v>192</v>
      </c>
      <c r="I29" s="380">
        <v>31654.69</v>
      </c>
      <c r="J29" s="432">
        <v>7124.02</v>
      </c>
      <c r="K29" s="433">
        <v>1268.5600000000002</v>
      </c>
      <c r="L29" s="433">
        <v>32888</v>
      </c>
      <c r="M29" s="104">
        <f t="shared" si="4"/>
        <v>91825.64999999998</v>
      </c>
      <c r="N29" s="1"/>
      <c r="O29" s="448"/>
      <c r="P29" s="84"/>
      <c r="Q29" s="145"/>
      <c r="R29" s="84"/>
      <c r="S29" s="541"/>
      <c r="T29" s="86"/>
      <c r="U29" s="86"/>
      <c r="V29" s="86"/>
      <c r="W29" s="86"/>
      <c r="X29" s="86"/>
      <c r="Z29" s="366"/>
    </row>
    <row r="30" spans="1:35">
      <c r="A30" s="339"/>
      <c r="B30" s="199"/>
      <c r="C30" s="1"/>
      <c r="D30" s="273"/>
      <c r="E30" s="366"/>
      <c r="F30" s="366"/>
      <c r="G30" s="366"/>
      <c r="H30" s="379" t="s">
        <v>199</v>
      </c>
      <c r="I30" s="380">
        <v>28891.4</v>
      </c>
      <c r="J30" s="432">
        <v>8339.34</v>
      </c>
      <c r="K30" s="433">
        <v>1310.53</v>
      </c>
      <c r="L30" s="433">
        <v>36419</v>
      </c>
      <c r="M30" s="104">
        <f t="shared" si="4"/>
        <v>89703.379999999976</v>
      </c>
      <c r="N30" s="1"/>
      <c r="O30" s="448"/>
      <c r="P30" s="84"/>
      <c r="Q30" s="145"/>
      <c r="R30" s="84"/>
      <c r="S30" s="541"/>
      <c r="T30" s="86"/>
      <c r="U30" s="86"/>
      <c r="V30" s="86"/>
      <c r="W30" s="86"/>
      <c r="X30" s="8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209</v>
      </c>
      <c r="I31" s="297">
        <v>28339.37</v>
      </c>
      <c r="J31" s="438">
        <v>1758.9</v>
      </c>
      <c r="K31" s="606">
        <v>1141.96</v>
      </c>
      <c r="L31" s="606">
        <v>35862.5</v>
      </c>
      <c r="M31" s="104">
        <f t="shared" si="4"/>
        <v>94325.64999999998</v>
      </c>
      <c r="N31" s="1"/>
      <c r="O31" s="12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210</v>
      </c>
      <c r="I32" s="380">
        <v>28933.9</v>
      </c>
      <c r="J32" s="432">
        <v>954.3</v>
      </c>
      <c r="K32" s="734">
        <v>1267.8599999999999</v>
      </c>
      <c r="L32" s="734">
        <v>22833.599999999999</v>
      </c>
      <c r="M32" s="104">
        <f t="shared" si="4"/>
        <v>86003.189999999973</v>
      </c>
      <c r="N32" s="1"/>
      <c r="O32" s="12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732" t="s">
        <v>211</v>
      </c>
      <c r="I33" s="689">
        <v>23375.089999999997</v>
      </c>
      <c r="J33" s="438">
        <f>2414.8+6115</f>
        <v>8529.7999999999993</v>
      </c>
      <c r="K33" s="607">
        <v>977.16000000000008</v>
      </c>
      <c r="L33" s="607">
        <v>16277.199999999999</v>
      </c>
      <c r="M33" s="733">
        <v>70105.570000000007</v>
      </c>
      <c r="N33" s="1"/>
      <c r="O33" s="127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9</v>
      </c>
      <c r="I34" s="689">
        <f>'зп май'!J35</f>
        <v>22761.37</v>
      </c>
      <c r="J34" s="438">
        <f>116.9+42+40.8+6+67.5+160+87+4.9+69+6+31.5+264.5+501.5+19+1.4+367.5</f>
        <v>1785.5</v>
      </c>
      <c r="K34" s="607">
        <f>515+347.7+121.5+12.5</f>
        <v>996.7</v>
      </c>
      <c r="L34" s="607">
        <v>30847</v>
      </c>
      <c r="M34" s="733">
        <f>M33-I34-J34-K34+L34</f>
        <v>75409.000000000015</v>
      </c>
      <c r="N34" s="1"/>
      <c r="O34" s="12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 thickBot="1">
      <c r="A35" s="339"/>
      <c r="B35" s="199"/>
      <c r="C35" s="1"/>
      <c r="D35" s="273"/>
      <c r="E35" s="366"/>
      <c r="F35" s="366"/>
      <c r="G35" s="366"/>
      <c r="H35" s="688" t="s">
        <v>18</v>
      </c>
      <c r="I35" s="735">
        <v>23251.61</v>
      </c>
      <c r="J35" s="736">
        <v>3103.5</v>
      </c>
      <c r="K35" s="737">
        <v>1099.29</v>
      </c>
      <c r="L35" s="737">
        <v>20113.5</v>
      </c>
      <c r="M35" s="733">
        <f>M34-I35-J35-K35+L35</f>
        <v>68068.100000000006</v>
      </c>
      <c r="N35" s="1"/>
      <c r="O35" s="12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 thickTop="1">
      <c r="A36" s="339"/>
      <c r="B36" s="199"/>
      <c r="C36" s="1"/>
      <c r="D36" s="273"/>
      <c r="E36" s="84"/>
      <c r="F36" s="366"/>
      <c r="G36" s="366"/>
      <c r="H36" s="1148" t="s">
        <v>36</v>
      </c>
      <c r="I36" s="1150" t="s">
        <v>178</v>
      </c>
      <c r="J36" s="1151"/>
      <c r="K36" s="1152"/>
      <c r="L36" s="1156" t="s">
        <v>159</v>
      </c>
      <c r="M36" s="1156"/>
      <c r="N36" s="747" t="s">
        <v>341</v>
      </c>
      <c r="O36" s="127"/>
      <c r="P36" s="84"/>
      <c r="Q36" s="145"/>
      <c r="R36" s="145"/>
      <c r="S36" s="86"/>
      <c r="T36" s="86"/>
      <c r="U36" s="86"/>
      <c r="V36" s="86"/>
      <c r="W36" s="86"/>
      <c r="X36" s="86"/>
      <c r="Y36" s="366"/>
      <c r="Z36" s="366"/>
    </row>
    <row r="37" spans="1:26" ht="13.5" customHeight="1">
      <c r="A37" s="339"/>
      <c r="B37" s="199"/>
      <c r="C37" s="284"/>
      <c r="D37" s="273"/>
      <c r="E37" s="284"/>
      <c r="F37" s="366"/>
      <c r="G37" s="378"/>
      <c r="H37" s="1149"/>
      <c r="I37" s="1153"/>
      <c r="J37" s="1154"/>
      <c r="K37" s="1155"/>
      <c r="L37" s="1158"/>
      <c r="M37" s="1158"/>
      <c r="N37" s="748" t="s">
        <v>189</v>
      </c>
      <c r="O37" s="127"/>
      <c r="P37" s="84"/>
      <c r="Q37" s="145"/>
      <c r="R37" s="84"/>
      <c r="S37" s="86"/>
      <c r="T37" s="86"/>
      <c r="U37" s="86"/>
      <c r="V37" s="294"/>
      <c r="W37" s="86"/>
      <c r="X37" s="86"/>
      <c r="Y37" s="366"/>
      <c r="Z37" s="366"/>
    </row>
    <row r="38" spans="1:26" ht="15.75" customHeight="1">
      <c r="A38" s="339"/>
      <c r="B38" s="199"/>
      <c r="C38" s="199"/>
      <c r="D38" s="273"/>
      <c r="E38" s="199"/>
      <c r="F38" s="366"/>
      <c r="G38" s="378"/>
      <c r="H38" s="512" t="s">
        <v>250</v>
      </c>
      <c r="I38" s="1278" t="s">
        <v>47</v>
      </c>
      <c r="J38" s="1278"/>
      <c r="K38" s="742">
        <v>328.13</v>
      </c>
      <c r="L38" s="282">
        <v>43997</v>
      </c>
      <c r="M38" s="1" t="s">
        <v>295</v>
      </c>
      <c r="N38" s="749">
        <v>132</v>
      </c>
      <c r="O38" s="127"/>
      <c r="P38" s="84"/>
      <c r="Q38" s="145"/>
      <c r="R38" s="84"/>
      <c r="S38" s="86"/>
      <c r="T38" s="86"/>
      <c r="U38" s="86"/>
      <c r="V38" s="294"/>
      <c r="W38" s="86"/>
      <c r="X38" s="86"/>
      <c r="Y38" s="366"/>
      <c r="Z38" s="366"/>
    </row>
    <row r="39" spans="1:26">
      <c r="A39" s="339"/>
      <c r="B39" s="366"/>
      <c r="C39" s="274"/>
      <c r="D39" s="273"/>
      <c r="E39" s="274"/>
      <c r="F39" s="366"/>
      <c r="G39" s="366"/>
      <c r="H39" s="512" t="s">
        <v>250</v>
      </c>
      <c r="I39" s="1262" t="s">
        <v>51</v>
      </c>
      <c r="J39" s="1262"/>
      <c r="K39" s="717">
        <v>71.83</v>
      </c>
      <c r="L39" s="282">
        <v>43997</v>
      </c>
      <c r="M39" s="1" t="s">
        <v>295</v>
      </c>
      <c r="N39" s="750">
        <v>40</v>
      </c>
      <c r="O39" s="127"/>
      <c r="P39" s="84"/>
      <c r="Q39" s="145"/>
      <c r="R39" s="273"/>
      <c r="S39" s="366"/>
      <c r="T39" s="86"/>
      <c r="U39" s="86"/>
      <c r="V39" s="294"/>
      <c r="W39" s="294"/>
      <c r="X39" s="294"/>
      <c r="Y39" s="366"/>
    </row>
    <row r="40" spans="1:26">
      <c r="A40" s="340"/>
      <c r="B40" s="366"/>
      <c r="C40" s="366"/>
      <c r="D40" s="273"/>
      <c r="E40" s="199"/>
      <c r="F40" s="366"/>
      <c r="G40" s="366"/>
      <c r="H40" s="512" t="s">
        <v>250</v>
      </c>
      <c r="I40" s="1262" t="s">
        <v>52</v>
      </c>
      <c r="J40" s="1262"/>
      <c r="K40" s="717">
        <v>5.63</v>
      </c>
      <c r="L40" s="282">
        <v>43997</v>
      </c>
      <c r="M40" s="1" t="s">
        <v>295</v>
      </c>
      <c r="N40" s="750">
        <v>3</v>
      </c>
      <c r="O40" s="127"/>
      <c r="P40" s="84"/>
      <c r="Q40" s="145"/>
      <c r="R40" s="273"/>
      <c r="S40" s="366"/>
      <c r="T40" s="294"/>
      <c r="U40" s="86"/>
      <c r="V40" s="366"/>
      <c r="W40" s="294"/>
      <c r="X40" s="294"/>
      <c r="Y40" s="366"/>
    </row>
    <row r="41" spans="1:26">
      <c r="A41" s="340"/>
      <c r="B41" s="366"/>
      <c r="C41" s="366"/>
      <c r="D41" s="273"/>
      <c r="E41" s="366"/>
      <c r="F41" s="366"/>
      <c r="G41" s="366"/>
      <c r="H41" s="743" t="s">
        <v>335</v>
      </c>
      <c r="I41" s="1262" t="s">
        <v>49</v>
      </c>
      <c r="J41" s="1262"/>
      <c r="K41" s="717">
        <v>314</v>
      </c>
      <c r="L41" s="744" t="s">
        <v>338</v>
      </c>
      <c r="M41" s="1" t="s">
        <v>104</v>
      </c>
      <c r="N41" s="749">
        <v>200</v>
      </c>
      <c r="O41" s="127"/>
      <c r="P41" s="721"/>
      <c r="Q41" s="366"/>
      <c r="R41" s="714"/>
      <c r="S41" s="366"/>
      <c r="T41" s="294"/>
      <c r="U41" s="86"/>
      <c r="V41" s="294"/>
      <c r="W41" s="294"/>
      <c r="X41" s="294"/>
      <c r="Y41" s="366"/>
    </row>
    <row r="42" spans="1:26">
      <c r="A42" s="340"/>
      <c r="B42" s="366"/>
      <c r="C42" s="366"/>
      <c r="D42" s="273"/>
      <c r="E42" s="366"/>
      <c r="F42" s="366"/>
      <c r="G42" s="366"/>
      <c r="H42" s="512" t="s">
        <v>250</v>
      </c>
      <c r="I42" s="1263" t="s">
        <v>59</v>
      </c>
      <c r="J42" s="1263"/>
      <c r="K42" s="720">
        <v>102.73</v>
      </c>
      <c r="L42" s="302" t="s">
        <v>177</v>
      </c>
      <c r="M42" s="1" t="s">
        <v>295</v>
      </c>
      <c r="N42" s="751">
        <v>102.73</v>
      </c>
      <c r="O42" s="127"/>
      <c r="P42" s="646"/>
      <c r="Q42" s="366"/>
      <c r="R42" s="714"/>
      <c r="S42" s="366"/>
      <c r="T42" s="294"/>
      <c r="U42" s="86"/>
      <c r="V42" s="294"/>
      <c r="W42" s="366"/>
      <c r="X42" s="366"/>
      <c r="Y42" s="366"/>
    </row>
    <row r="43" spans="1:26">
      <c r="A43" s="340"/>
      <c r="B43" s="199"/>
      <c r="C43" s="199"/>
      <c r="D43" s="273"/>
      <c r="E43" s="199"/>
      <c r="F43" s="366"/>
      <c r="G43" s="366"/>
      <c r="H43" s="512" t="s">
        <v>250</v>
      </c>
      <c r="I43" s="1264" t="s">
        <v>68</v>
      </c>
      <c r="J43" s="1265"/>
      <c r="K43" s="717">
        <v>188.54</v>
      </c>
      <c r="L43" s="282">
        <v>44002</v>
      </c>
      <c r="M43" s="1" t="s">
        <v>295</v>
      </c>
      <c r="N43" s="751">
        <f>K43/2</f>
        <v>94.27</v>
      </c>
      <c r="O43" s="127"/>
      <c r="P43" s="643"/>
      <c r="Q43" s="714"/>
      <c r="R43" s="714"/>
      <c r="S43" s="366"/>
      <c r="T43" s="366"/>
      <c r="U43" s="294"/>
      <c r="V43" s="294"/>
      <c r="W43" s="294"/>
      <c r="X43" s="294"/>
      <c r="Y43" s="366"/>
    </row>
    <row r="44" spans="1:26">
      <c r="A44" s="340"/>
      <c r="B44" s="199"/>
      <c r="C44" s="366"/>
      <c r="D44" s="273"/>
      <c r="E44" s="199"/>
      <c r="F44" s="366"/>
      <c r="G44" s="366"/>
      <c r="H44" s="512" t="s">
        <v>250</v>
      </c>
      <c r="I44" s="718" t="s">
        <v>174</v>
      </c>
      <c r="J44" s="719"/>
      <c r="K44" s="5">
        <f>337.71</f>
        <v>337.71</v>
      </c>
      <c r="L44" s="282">
        <v>43997</v>
      </c>
      <c r="M44" s="1" t="s">
        <v>295</v>
      </c>
      <c r="N44" s="752">
        <f>K44</f>
        <v>337.71</v>
      </c>
      <c r="O44" s="127"/>
      <c r="P44" s="643"/>
      <c r="Q44" s="714"/>
      <c r="R44" s="365"/>
      <c r="S44" s="366"/>
      <c r="T44" s="294"/>
      <c r="U44" s="294"/>
      <c r="V44" s="294"/>
      <c r="W44" s="294"/>
      <c r="X44" s="294"/>
      <c r="Y44" s="366"/>
    </row>
    <row r="45" spans="1:26">
      <c r="A45" s="340"/>
      <c r="B45" s="199"/>
      <c r="C45" s="366"/>
      <c r="D45" s="273"/>
      <c r="E45" s="199"/>
      <c r="F45" s="366"/>
      <c r="G45" s="366"/>
      <c r="H45" s="512" t="s">
        <v>250</v>
      </c>
      <c r="I45" s="718" t="s">
        <v>176</v>
      </c>
      <c r="J45" s="719"/>
      <c r="K45" s="717">
        <v>409.71</v>
      </c>
      <c r="L45" s="282">
        <v>44002</v>
      </c>
      <c r="M45" s="1" t="s">
        <v>295</v>
      </c>
      <c r="N45" s="750">
        <f>K45</f>
        <v>409.71</v>
      </c>
      <c r="O45" s="127"/>
      <c r="P45" s="448"/>
      <c r="Q45" s="714"/>
      <c r="R45" s="365"/>
      <c r="S45" s="366"/>
      <c r="T45" s="294"/>
      <c r="U45" s="294"/>
      <c r="V45" s="294"/>
      <c r="W45" s="294"/>
      <c r="X45" s="294"/>
      <c r="Y45" s="366"/>
    </row>
    <row r="46" spans="1:26">
      <c r="A46" s="340"/>
      <c r="B46" s="199"/>
      <c r="C46" s="366"/>
      <c r="D46" s="273"/>
      <c r="E46" s="232"/>
      <c r="F46" s="366"/>
      <c r="G46" s="366"/>
      <c r="H46" s="512" t="s">
        <v>250</v>
      </c>
      <c r="I46" s="1264" t="s">
        <v>81</v>
      </c>
      <c r="J46" s="1265"/>
      <c r="K46" s="717">
        <v>1251.52</v>
      </c>
      <c r="L46" s="282">
        <v>43997</v>
      </c>
      <c r="M46" s="1" t="s">
        <v>295</v>
      </c>
      <c r="N46" s="750">
        <f>K46/2</f>
        <v>625.76</v>
      </c>
      <c r="O46" s="448"/>
      <c r="P46" s="84"/>
      <c r="Q46" s="714"/>
      <c r="R46" s="714"/>
      <c r="S46" s="366"/>
      <c r="T46" s="294"/>
      <c r="U46" s="366"/>
      <c r="V46" s="294"/>
      <c r="W46" s="294"/>
      <c r="X46" s="294"/>
      <c r="Y46" s="366"/>
    </row>
    <row r="47" spans="1:26">
      <c r="A47" s="340"/>
      <c r="B47" s="199"/>
      <c r="C47" s="366"/>
      <c r="D47" s="273"/>
      <c r="E47" s="232"/>
      <c r="F47" s="366"/>
      <c r="G47" s="366"/>
      <c r="H47" s="512" t="s">
        <v>250</v>
      </c>
      <c r="I47" s="1264" t="s">
        <v>181</v>
      </c>
      <c r="J47" s="1265"/>
      <c r="K47" s="717">
        <v>10</v>
      </c>
      <c r="L47" s="282">
        <v>43997</v>
      </c>
      <c r="M47" s="1" t="s">
        <v>295</v>
      </c>
      <c r="N47" s="752">
        <f>K47</f>
        <v>10</v>
      </c>
      <c r="O47" s="127"/>
      <c r="P47" s="145"/>
      <c r="Q47" s="714"/>
      <c r="R47" s="366"/>
      <c r="S47" s="366"/>
      <c r="T47" s="294"/>
      <c r="U47" s="294"/>
      <c r="V47" s="366"/>
      <c r="W47" s="294"/>
      <c r="X47" s="294"/>
      <c r="Y47" s="366"/>
    </row>
    <row r="48" spans="1:26">
      <c r="A48" s="340" t="s">
        <v>314</v>
      </c>
      <c r="B48" s="199"/>
      <c r="C48" s="366"/>
      <c r="D48" s="273"/>
      <c r="E48" s="232"/>
      <c r="F48" s="366"/>
      <c r="G48" s="366"/>
      <c r="H48" s="512" t="s">
        <v>250</v>
      </c>
      <c r="I48" s="1145" t="s">
        <v>61</v>
      </c>
      <c r="J48" s="1145"/>
      <c r="K48" s="93">
        <v>1134.25</v>
      </c>
      <c r="L48" s="282">
        <v>44002</v>
      </c>
      <c r="M48" s="1" t="s">
        <v>295</v>
      </c>
      <c r="N48" s="750"/>
      <c r="P48" s="448"/>
      <c r="Q48" s="365"/>
      <c r="R48" s="365"/>
      <c r="S48" s="366"/>
      <c r="T48" s="294"/>
      <c r="U48" s="294"/>
      <c r="V48" s="366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250</v>
      </c>
      <c r="I49" s="1145" t="s">
        <v>274</v>
      </c>
      <c r="J49" s="1145"/>
      <c r="K49" s="93">
        <v>73</v>
      </c>
      <c r="L49" s="282">
        <v>44002</v>
      </c>
      <c r="M49" s="1" t="s">
        <v>295</v>
      </c>
      <c r="N49" s="749">
        <v>40</v>
      </c>
      <c r="P49" s="448"/>
      <c r="Q49" s="365"/>
      <c r="R49" s="365"/>
      <c r="S49" s="366"/>
      <c r="T49" s="294"/>
      <c r="U49" s="294"/>
      <c r="V49" s="366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250</v>
      </c>
      <c r="I50" s="1145" t="s">
        <v>275</v>
      </c>
      <c r="J50" s="1145"/>
      <c r="K50" s="93">
        <v>50</v>
      </c>
      <c r="L50" s="282">
        <v>43997</v>
      </c>
      <c r="M50" s="1" t="s">
        <v>295</v>
      </c>
      <c r="N50" s="750">
        <v>50</v>
      </c>
      <c r="P50" s="448"/>
      <c r="Q50" s="273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250</v>
      </c>
      <c r="I51" s="1145" t="s">
        <v>276</v>
      </c>
      <c r="J51" s="1145"/>
      <c r="K51" s="93">
        <v>150</v>
      </c>
      <c r="L51" s="282">
        <v>44012</v>
      </c>
      <c r="M51" s="1" t="s">
        <v>295</v>
      </c>
      <c r="N51" s="750">
        <v>150</v>
      </c>
      <c r="O51" s="12"/>
      <c r="P51" s="448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>
      <c r="A52" s="340"/>
      <c r="B52" s="199"/>
      <c r="C52" s="366"/>
      <c r="D52" s="273"/>
      <c r="E52" s="232"/>
      <c r="F52" s="366"/>
      <c r="G52" s="366"/>
      <c r="H52" s="512" t="s">
        <v>250</v>
      </c>
      <c r="I52" s="1145" t="s">
        <v>296</v>
      </c>
      <c r="J52" s="1145"/>
      <c r="K52" s="93">
        <v>18</v>
      </c>
      <c r="L52" s="282">
        <v>43997</v>
      </c>
      <c r="M52" s="1" t="s">
        <v>295</v>
      </c>
      <c r="N52" s="751">
        <v>9</v>
      </c>
      <c r="O52" s="150"/>
      <c r="P52" s="448"/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250</v>
      </c>
      <c r="I53" s="1143" t="s">
        <v>345</v>
      </c>
      <c r="J53" s="1144"/>
      <c r="K53" s="93">
        <f>796.42+262.54</f>
        <v>1058.96</v>
      </c>
      <c r="L53" s="282"/>
      <c r="M53" s="1"/>
      <c r="N53" s="771">
        <f>K53</f>
        <v>1058.96</v>
      </c>
      <c r="O53" s="150"/>
      <c r="P53" s="448"/>
      <c r="Q53" s="365"/>
      <c r="R53" s="365"/>
      <c r="S53" s="366"/>
      <c r="T53" s="294"/>
      <c r="U53" s="294"/>
      <c r="V53" s="366"/>
      <c r="W53" s="294"/>
      <c r="X53" s="294"/>
      <c r="Y53" s="366"/>
    </row>
    <row r="54" spans="1:25" ht="15.75" thickBot="1">
      <c r="A54" s="341"/>
      <c r="B54" s="330"/>
      <c r="C54" s="331"/>
      <c r="D54" s="342"/>
      <c r="E54" s="330"/>
      <c r="F54" s="331"/>
      <c r="G54" s="331"/>
      <c r="H54" s="1300" t="s">
        <v>179</v>
      </c>
      <c r="I54" s="1281"/>
      <c r="J54" s="361">
        <f>SUM(K38:K53)</f>
        <v>5504.01</v>
      </c>
      <c r="K54" s="1146" t="s">
        <v>180</v>
      </c>
      <c r="L54" s="1146"/>
      <c r="M54" s="746">
        <v>0</v>
      </c>
      <c r="N54" s="753">
        <f>SUM(N38:N53)</f>
        <v>3263.1400000000003</v>
      </c>
      <c r="P54" s="448"/>
      <c r="Q54" s="365"/>
      <c r="R54" s="366"/>
      <c r="S54" s="366"/>
      <c r="T54" s="294"/>
      <c r="U54" s="366"/>
      <c r="V54" s="366"/>
      <c r="W54" s="366"/>
      <c r="X54" s="366"/>
      <c r="Y54" s="366"/>
    </row>
    <row r="55" spans="1:25" ht="15.75" thickTop="1">
      <c r="A55" s="366"/>
      <c r="B55" s="366"/>
      <c r="C55" s="366"/>
      <c r="D55" s="366"/>
      <c r="E55" s="366"/>
      <c r="F55" s="366"/>
      <c r="G55" s="366"/>
      <c r="H55" s="1162"/>
      <c r="I55" s="1162"/>
      <c r="J55" s="1162"/>
      <c r="K55" s="1162"/>
      <c r="L55" s="366"/>
      <c r="M55" s="441"/>
      <c r="N55" s="1"/>
      <c r="P55" s="448"/>
      <c r="Q55" s="365"/>
      <c r="R55" s="366"/>
      <c r="S55" s="366"/>
      <c r="T55" s="366"/>
      <c r="U55" s="366"/>
      <c r="V55" s="366"/>
      <c r="W55" s="366"/>
      <c r="X55" s="366"/>
      <c r="Y55" s="366"/>
    </row>
    <row r="56" spans="1:25" ht="15" customHeight="1">
      <c r="A56" s="1163" t="s">
        <v>346</v>
      </c>
      <c r="B56" s="1163"/>
      <c r="C56" s="1163"/>
      <c r="D56" s="1163"/>
      <c r="E56" s="1163"/>
      <c r="F56" s="1163"/>
      <c r="G56" s="1163"/>
      <c r="H56" s="1163"/>
      <c r="I56" s="1163"/>
      <c r="J56" s="1163"/>
      <c r="K56" s="1163"/>
      <c r="L56" s="1163"/>
      <c r="M56" s="1163"/>
      <c r="N56" s="1"/>
      <c r="O56" s="150"/>
      <c r="P56" s="448"/>
      <c r="Q56" s="365"/>
      <c r="R56" s="366"/>
      <c r="S56" s="366"/>
      <c r="T56" s="366"/>
      <c r="U56" s="366"/>
      <c r="V56" s="366"/>
      <c r="W56" s="366"/>
      <c r="X56" s="366"/>
    </row>
    <row r="57" spans="1:25" ht="15.75" customHeight="1" thickBot="1">
      <c r="A57" s="1164"/>
      <c r="B57" s="1164"/>
      <c r="C57" s="1164"/>
      <c r="D57" s="1164"/>
      <c r="E57" s="1164"/>
      <c r="F57" s="1164"/>
      <c r="G57" s="1164"/>
      <c r="H57" s="1164"/>
      <c r="I57" s="1164"/>
      <c r="J57" s="1164"/>
      <c r="K57" s="1164"/>
      <c r="L57" s="1164"/>
      <c r="M57" s="1164"/>
      <c r="N57" s="1"/>
      <c r="P57" s="448"/>
      <c r="Q57" s="365"/>
      <c r="R57" s="365"/>
      <c r="S57" s="714"/>
      <c r="T57" s="366"/>
      <c r="U57" s="366"/>
      <c r="V57" s="366"/>
      <c r="W57" s="366"/>
      <c r="X57" s="366"/>
    </row>
    <row r="58" spans="1:25" ht="15.75" thickTop="1">
      <c r="A58" s="1266" t="s">
        <v>317</v>
      </c>
      <c r="B58" s="1166"/>
      <c r="C58" s="1166"/>
      <c r="D58" s="1166"/>
      <c r="E58" s="1166"/>
      <c r="F58" s="1166"/>
      <c r="G58" s="1167"/>
      <c r="H58" s="1282" t="s">
        <v>316</v>
      </c>
      <c r="I58" s="1283"/>
      <c r="J58" s="1283"/>
      <c r="K58" s="1283"/>
      <c r="L58" s="1283"/>
      <c r="M58" s="1284"/>
      <c r="N58" s="1"/>
      <c r="P58" s="448"/>
      <c r="Q58" s="366"/>
      <c r="S58" s="274"/>
      <c r="T58" s="366"/>
      <c r="U58" s="366"/>
      <c r="V58" s="366"/>
      <c r="W58" s="366"/>
      <c r="X58" s="366"/>
    </row>
    <row r="59" spans="1:25">
      <c r="A59" s="324" t="s">
        <v>2</v>
      </c>
      <c r="B59" s="706" t="s">
        <v>34</v>
      </c>
      <c r="C59" s="36" t="s">
        <v>35</v>
      </c>
      <c r="D59" s="36" t="s">
        <v>38</v>
      </c>
      <c r="E59" s="36" t="s">
        <v>42</v>
      </c>
      <c r="F59" s="706" t="s">
        <v>36</v>
      </c>
      <c r="G59" s="100" t="s">
        <v>173</v>
      </c>
      <c r="H59" s="676" t="s">
        <v>2</v>
      </c>
      <c r="I59" s="1285" t="s">
        <v>34</v>
      </c>
      <c r="J59" s="1285"/>
      <c r="K59" s="716" t="s">
        <v>35</v>
      </c>
      <c r="L59" s="1286" t="s">
        <v>173</v>
      </c>
      <c r="M59" s="1287"/>
      <c r="N59" s="1"/>
      <c r="P59" s="448"/>
      <c r="Q59" s="366"/>
      <c r="S59" s="274"/>
      <c r="T59" s="366"/>
      <c r="U59" s="366"/>
      <c r="V59" s="366"/>
      <c r="W59" s="366"/>
      <c r="X59" s="366"/>
    </row>
    <row r="60" spans="1:25">
      <c r="A60" s="325">
        <v>43973</v>
      </c>
      <c r="B60" s="161" t="s">
        <v>263</v>
      </c>
      <c r="C60" s="275">
        <v>210.82</v>
      </c>
      <c r="D60" s="275">
        <v>210.82</v>
      </c>
      <c r="E60" s="542" t="str">
        <f t="shared" ref="E60" si="5">IF(C60-D60=0,"",C60-D60)</f>
        <v/>
      </c>
      <c r="F60" s="162" t="str">
        <f t="shared" ref="F60" si="6">IF(C60=0,"",IF(C60-D60=0,"оплачено","ОЖИДАЕТСЯ оплата"))</f>
        <v>оплачено</v>
      </c>
      <c r="G60" s="162" t="s">
        <v>131</v>
      </c>
      <c r="H60" s="678" t="str">
        <f>IF(S4="","",S4)</f>
        <v/>
      </c>
      <c r="I60" s="1288" t="str">
        <f>IF(T4="","",T4)</f>
        <v/>
      </c>
      <c r="J60" s="1289"/>
      <c r="K60" s="480" t="str">
        <f>IF(U4="","",U4)</f>
        <v/>
      </c>
      <c r="L60" s="1293"/>
      <c r="M60" s="1294"/>
      <c r="N60" s="1"/>
      <c r="P60" s="448"/>
      <c r="Q60" s="366"/>
      <c r="S60" s="366"/>
      <c r="T60" s="84"/>
      <c r="U60" s="366"/>
      <c r="W60" s="366"/>
      <c r="X60" s="366"/>
    </row>
    <row r="61" spans="1:25">
      <c r="A61" s="325">
        <v>43985</v>
      </c>
      <c r="B61" s="161" t="s">
        <v>291</v>
      </c>
      <c r="C61" s="275">
        <v>308.64999999999998</v>
      </c>
      <c r="D61" s="275">
        <v>308.64999999999998</v>
      </c>
      <c r="E61" s="542" t="str">
        <f t="shared" ref="E61:E75" si="7">IF(C61-D61=0,"",C61-D61)</f>
        <v/>
      </c>
      <c r="F61" s="162" t="str">
        <f t="shared" ref="F61:F75" si="8">IF(C61=0,"",IF(C61-D61=0,"оплачено","ОЖИДАЕТСЯ оплата"))</f>
        <v>оплачено</v>
      </c>
      <c r="G61" s="162"/>
      <c r="H61" s="678" t="str">
        <f t="shared" ref="H61:H75" si="9">IF(S5="","",S5)</f>
        <v/>
      </c>
      <c r="I61" s="1288" t="str">
        <f t="shared" ref="I61:I75" si="10">IF(T5="","",T5)</f>
        <v/>
      </c>
      <c r="J61" s="1289"/>
      <c r="K61" s="480" t="str">
        <f t="shared" ref="K61:K75" si="11">IF(U5="","",U5)</f>
        <v/>
      </c>
      <c r="L61" s="1293"/>
      <c r="M61" s="1294"/>
      <c r="N61" s="1"/>
      <c r="P61" s="448"/>
      <c r="Q61" s="366"/>
      <c r="S61" s="366"/>
      <c r="T61" s="366"/>
      <c r="U61" s="366"/>
      <c r="W61" s="366"/>
      <c r="X61" s="366"/>
    </row>
    <row r="62" spans="1:25">
      <c r="A62" s="325">
        <v>43999</v>
      </c>
      <c r="B62" s="161" t="s">
        <v>263</v>
      </c>
      <c r="C62" s="275">
        <v>52.25</v>
      </c>
      <c r="D62" s="275">
        <v>52.25</v>
      </c>
      <c r="E62" s="542" t="str">
        <f t="shared" si="7"/>
        <v/>
      </c>
      <c r="F62" s="162" t="str">
        <f t="shared" si="8"/>
        <v>оплачено</v>
      </c>
      <c r="G62" s="162"/>
      <c r="H62" s="678" t="str">
        <f t="shared" si="9"/>
        <v/>
      </c>
      <c r="I62" s="1288" t="str">
        <f t="shared" si="10"/>
        <v/>
      </c>
      <c r="J62" s="1289"/>
      <c r="K62" s="480" t="str">
        <f t="shared" si="11"/>
        <v/>
      </c>
      <c r="L62" s="1290"/>
      <c r="M62" s="1291"/>
      <c r="N62" s="1"/>
      <c r="P62" s="448"/>
      <c r="T62" s="366"/>
      <c r="U62" s="366"/>
    </row>
    <row r="63" spans="1:25">
      <c r="A63" s="325">
        <v>43998</v>
      </c>
      <c r="B63" s="161" t="s">
        <v>222</v>
      </c>
      <c r="C63" s="275">
        <v>214.78</v>
      </c>
      <c r="D63" s="275">
        <v>214.78</v>
      </c>
      <c r="E63" s="542" t="str">
        <f t="shared" si="7"/>
        <v/>
      </c>
      <c r="F63" s="162" t="str">
        <f t="shared" si="8"/>
        <v>оплачено</v>
      </c>
      <c r="G63" s="162"/>
      <c r="H63" s="678" t="str">
        <f t="shared" si="9"/>
        <v/>
      </c>
      <c r="I63" s="1288" t="str">
        <f t="shared" si="10"/>
        <v/>
      </c>
      <c r="J63" s="1289"/>
      <c r="K63" s="480" t="str">
        <f t="shared" si="11"/>
        <v/>
      </c>
      <c r="L63" s="1290"/>
      <c r="M63" s="1291"/>
      <c r="N63" s="1"/>
      <c r="P63" s="448"/>
      <c r="U63" s="366"/>
    </row>
    <row r="64" spans="1:25">
      <c r="A64" s="325">
        <v>43990</v>
      </c>
      <c r="B64" s="161" t="s">
        <v>301</v>
      </c>
      <c r="C64" s="275">
        <v>851.63</v>
      </c>
      <c r="D64" s="275">
        <v>851.63</v>
      </c>
      <c r="E64" s="542" t="str">
        <f t="shared" si="7"/>
        <v/>
      </c>
      <c r="F64" s="162" t="str">
        <f t="shared" si="8"/>
        <v>оплачено</v>
      </c>
      <c r="G64" s="162"/>
      <c r="H64" s="678" t="str">
        <f t="shared" si="9"/>
        <v/>
      </c>
      <c r="I64" s="1288" t="str">
        <f t="shared" si="10"/>
        <v/>
      </c>
      <c r="J64" s="1289"/>
      <c r="K64" s="480" t="str">
        <f t="shared" si="11"/>
        <v/>
      </c>
      <c r="L64" s="1290"/>
      <c r="M64" s="1291"/>
      <c r="N64" s="1"/>
      <c r="P64" s="541"/>
      <c r="U64" s="366"/>
    </row>
    <row r="65" spans="1:21">
      <c r="A65" s="325">
        <v>43991</v>
      </c>
      <c r="B65" s="161" t="s">
        <v>307</v>
      </c>
      <c r="C65" s="275">
        <v>595</v>
      </c>
      <c r="D65" s="275">
        <v>595</v>
      </c>
      <c r="E65" s="542" t="str">
        <f t="shared" si="7"/>
        <v/>
      </c>
      <c r="F65" s="162" t="str">
        <f t="shared" si="8"/>
        <v>оплачено</v>
      </c>
      <c r="G65" s="162"/>
      <c r="H65" s="678" t="str">
        <f t="shared" si="9"/>
        <v/>
      </c>
      <c r="I65" s="1288" t="str">
        <f t="shared" si="10"/>
        <v/>
      </c>
      <c r="J65" s="1289"/>
      <c r="K65" s="480" t="str">
        <f t="shared" si="11"/>
        <v/>
      </c>
      <c r="L65" s="1290"/>
      <c r="M65" s="1291"/>
      <c r="N65" s="1"/>
      <c r="P65" s="86"/>
      <c r="U65" s="366"/>
    </row>
    <row r="66" spans="1:21" ht="14.45" customHeight="1">
      <c r="A66" s="325">
        <v>44004</v>
      </c>
      <c r="B66" s="161" t="s">
        <v>301</v>
      </c>
      <c r="C66" s="692">
        <v>913.16</v>
      </c>
      <c r="D66" s="692">
        <v>913.16</v>
      </c>
      <c r="E66" s="542" t="str">
        <f t="shared" si="7"/>
        <v/>
      </c>
      <c r="F66" s="162" t="str">
        <f t="shared" si="8"/>
        <v>оплачено</v>
      </c>
      <c r="G66" s="162"/>
      <c r="H66" s="678" t="str">
        <f t="shared" si="9"/>
        <v/>
      </c>
      <c r="I66" s="1288" t="str">
        <f t="shared" si="10"/>
        <v/>
      </c>
      <c r="J66" s="1289"/>
      <c r="K66" s="480" t="str">
        <f t="shared" si="11"/>
        <v/>
      </c>
      <c r="L66" s="1191"/>
      <c r="M66" s="1292"/>
      <c r="N66" s="1"/>
      <c r="P66" s="86"/>
    </row>
    <row r="67" spans="1:21" ht="14.45" customHeight="1">
      <c r="A67" s="325">
        <v>44005</v>
      </c>
      <c r="B67" s="161" t="s">
        <v>334</v>
      </c>
      <c r="C67" s="275">
        <v>237.18</v>
      </c>
      <c r="D67" s="275">
        <v>237.18</v>
      </c>
      <c r="E67" s="542" t="str">
        <f t="shared" si="7"/>
        <v/>
      </c>
      <c r="F67" s="162" t="str">
        <f t="shared" si="8"/>
        <v>оплачено</v>
      </c>
      <c r="G67" s="162"/>
      <c r="H67" s="678" t="str">
        <f t="shared" si="9"/>
        <v/>
      </c>
      <c r="I67" s="1288" t="str">
        <f t="shared" si="10"/>
        <v/>
      </c>
      <c r="J67" s="1289"/>
      <c r="K67" s="480" t="str">
        <f t="shared" si="11"/>
        <v/>
      </c>
      <c r="L67" s="1191"/>
      <c r="M67" s="1292"/>
      <c r="N67" s="1"/>
    </row>
    <row r="68" spans="1:21" ht="14.45" customHeight="1">
      <c r="A68" s="325">
        <v>44006</v>
      </c>
      <c r="B68" s="161" t="s">
        <v>307</v>
      </c>
      <c r="C68" s="275">
        <v>463</v>
      </c>
      <c r="D68" s="275">
        <f>C68/2+231.5</f>
        <v>463</v>
      </c>
      <c r="E68" s="542" t="str">
        <f t="shared" si="7"/>
        <v/>
      </c>
      <c r="F68" s="162" t="str">
        <f t="shared" si="8"/>
        <v>оплачено</v>
      </c>
      <c r="G68" s="162"/>
      <c r="H68" s="678" t="str">
        <f t="shared" si="9"/>
        <v/>
      </c>
      <c r="I68" s="1288" t="str">
        <f t="shared" si="10"/>
        <v/>
      </c>
      <c r="J68" s="1289"/>
      <c r="K68" s="480" t="str">
        <f t="shared" si="11"/>
        <v/>
      </c>
      <c r="L68" s="1191"/>
      <c r="M68" s="1292"/>
      <c r="N68" s="1"/>
      <c r="O68" s="366"/>
    </row>
    <row r="69" spans="1:21">
      <c r="A69" s="325">
        <v>44012</v>
      </c>
      <c r="B69" s="161" t="s">
        <v>301</v>
      </c>
      <c r="C69" s="275">
        <v>341.04</v>
      </c>
      <c r="D69" s="275">
        <v>341.04</v>
      </c>
      <c r="E69" s="542" t="str">
        <f t="shared" si="7"/>
        <v/>
      </c>
      <c r="F69" s="162" t="str">
        <f t="shared" si="8"/>
        <v>оплачено</v>
      </c>
      <c r="G69" s="162"/>
      <c r="H69" s="678" t="str">
        <f t="shared" si="9"/>
        <v/>
      </c>
      <c r="I69" s="1288" t="str">
        <f t="shared" si="10"/>
        <v/>
      </c>
      <c r="J69" s="1289"/>
      <c r="K69" s="480" t="str">
        <f t="shared" si="11"/>
        <v/>
      </c>
      <c r="L69" s="1191"/>
      <c r="M69" s="1292"/>
      <c r="N69" s="1"/>
      <c r="O69" s="366"/>
    </row>
    <row r="70" spans="1:21" s="86" customFormat="1">
      <c r="A70" s="325">
        <v>44008</v>
      </c>
      <c r="B70" s="161" t="s">
        <v>257</v>
      </c>
      <c r="C70" s="275">
        <v>82.92</v>
      </c>
      <c r="D70" s="275">
        <v>82.92</v>
      </c>
      <c r="E70" s="542" t="str">
        <f t="shared" si="7"/>
        <v/>
      </c>
      <c r="F70" s="162" t="str">
        <f t="shared" si="8"/>
        <v>оплачено</v>
      </c>
      <c r="G70" s="162"/>
      <c r="H70" s="678" t="str">
        <f t="shared" si="9"/>
        <v/>
      </c>
      <c r="I70" s="1288" t="str">
        <f t="shared" si="10"/>
        <v/>
      </c>
      <c r="J70" s="1289"/>
      <c r="K70" s="480" t="str">
        <f t="shared" si="11"/>
        <v/>
      </c>
      <c r="L70" s="1290"/>
      <c r="M70" s="1291"/>
      <c r="N70" s="366"/>
      <c r="O70" s="84"/>
      <c r="P70" s="1"/>
      <c r="Q70" s="35"/>
      <c r="T70" s="35"/>
      <c r="U70" s="35"/>
    </row>
    <row r="71" spans="1:21">
      <c r="A71" s="325">
        <v>44008</v>
      </c>
      <c r="B71" s="161" t="s">
        <v>257</v>
      </c>
      <c r="C71" s="275">
        <v>57.06</v>
      </c>
      <c r="D71" s="275">
        <v>57.06</v>
      </c>
      <c r="E71" s="542" t="str">
        <f t="shared" si="7"/>
        <v/>
      </c>
      <c r="F71" s="162" t="str">
        <f t="shared" si="8"/>
        <v>оплачено</v>
      </c>
      <c r="G71" s="162"/>
      <c r="H71" s="678" t="str">
        <f t="shared" si="9"/>
        <v/>
      </c>
      <c r="I71" s="1288" t="str">
        <f t="shared" si="10"/>
        <v/>
      </c>
      <c r="J71" s="1289"/>
      <c r="K71" s="480" t="str">
        <f t="shared" si="11"/>
        <v/>
      </c>
      <c r="L71" s="1191"/>
      <c r="M71" s="1292"/>
      <c r="N71" s="1"/>
      <c r="O71" s="366"/>
      <c r="P71" s="1"/>
      <c r="T71" s="86"/>
    </row>
    <row r="72" spans="1:21">
      <c r="A72" s="325">
        <v>44008</v>
      </c>
      <c r="B72" s="161" t="s">
        <v>205</v>
      </c>
      <c r="C72" s="275">
        <v>65.180000000000007</v>
      </c>
      <c r="D72" s="275">
        <v>65.180000000000007</v>
      </c>
      <c r="E72" s="542" t="str">
        <f t="shared" si="7"/>
        <v/>
      </c>
      <c r="F72" s="162" t="str">
        <f t="shared" si="8"/>
        <v>оплачено</v>
      </c>
      <c r="G72" s="162"/>
      <c r="H72" s="678" t="str">
        <f t="shared" si="9"/>
        <v/>
      </c>
      <c r="I72" s="1288" t="str">
        <f t="shared" si="10"/>
        <v/>
      </c>
      <c r="J72" s="1289"/>
      <c r="K72" s="480" t="str">
        <f t="shared" si="11"/>
        <v/>
      </c>
      <c r="L72" s="1191"/>
      <c r="M72" s="1292"/>
      <c r="N72" s="1"/>
      <c r="O72" s="366"/>
      <c r="P72" s="366"/>
    </row>
    <row r="73" spans="1:21">
      <c r="A73" s="325"/>
      <c r="B73" s="161"/>
      <c r="C73" s="275"/>
      <c r="D73" s="275"/>
      <c r="E73" s="542" t="str">
        <f t="shared" si="7"/>
        <v/>
      </c>
      <c r="F73" s="162" t="str">
        <f t="shared" si="8"/>
        <v/>
      </c>
      <c r="G73" s="162"/>
      <c r="H73" s="678" t="str">
        <f t="shared" si="9"/>
        <v/>
      </c>
      <c r="I73" s="1288" t="str">
        <f t="shared" si="10"/>
        <v/>
      </c>
      <c r="J73" s="1289"/>
      <c r="K73" s="480" t="str">
        <f t="shared" si="11"/>
        <v/>
      </c>
      <c r="L73" s="1191"/>
      <c r="M73" s="1292"/>
      <c r="N73" s="1"/>
      <c r="O73" s="84"/>
      <c r="P73" s="150"/>
    </row>
    <row r="74" spans="1:21">
      <c r="A74" s="325"/>
      <c r="B74" s="161"/>
      <c r="C74" s="275"/>
      <c r="D74" s="275"/>
      <c r="E74" s="542" t="str">
        <f t="shared" si="7"/>
        <v/>
      </c>
      <c r="F74" s="162" t="str">
        <f t="shared" si="8"/>
        <v/>
      </c>
      <c r="G74" s="162"/>
      <c r="H74" s="678" t="str">
        <f t="shared" si="9"/>
        <v/>
      </c>
      <c r="I74" s="1288" t="str">
        <f t="shared" si="10"/>
        <v/>
      </c>
      <c r="J74" s="1289"/>
      <c r="K74" s="480" t="str">
        <f t="shared" si="11"/>
        <v/>
      </c>
      <c r="L74" s="1191"/>
      <c r="M74" s="1292"/>
      <c r="N74" s="1"/>
      <c r="O74" s="366"/>
      <c r="P74" s="1"/>
      <c r="Q74" s="86"/>
    </row>
    <row r="75" spans="1:21">
      <c r="A75" s="325"/>
      <c r="B75" s="161"/>
      <c r="C75" s="275"/>
      <c r="D75" s="275"/>
      <c r="E75" s="542" t="str">
        <f t="shared" si="7"/>
        <v/>
      </c>
      <c r="F75" s="162" t="str">
        <f t="shared" si="8"/>
        <v/>
      </c>
      <c r="G75" s="162"/>
      <c r="H75" s="678" t="str">
        <f t="shared" si="9"/>
        <v/>
      </c>
      <c r="I75" s="1288" t="str">
        <f t="shared" si="10"/>
        <v/>
      </c>
      <c r="J75" s="1289"/>
      <c r="K75" s="480" t="str">
        <f t="shared" si="11"/>
        <v/>
      </c>
      <c r="L75" s="1191"/>
      <c r="M75" s="1292"/>
      <c r="N75" s="1"/>
      <c r="O75" s="366"/>
      <c r="P75" s="1"/>
    </row>
    <row r="76" spans="1:21" ht="15.75" thickBot="1">
      <c r="A76" s="1272" t="s">
        <v>259</v>
      </c>
      <c r="B76" s="1273"/>
      <c r="C76" s="358">
        <f>SUM(C60:C75)</f>
        <v>4392.670000000001</v>
      </c>
      <c r="D76" s="358"/>
      <c r="E76" s="542">
        <f>SUM(E60:E75)</f>
        <v>0</v>
      </c>
      <c r="F76" s="162"/>
      <c r="G76" s="450"/>
      <c r="H76" s="1295" t="s">
        <v>259</v>
      </c>
      <c r="I76" s="1296"/>
      <c r="J76" s="1297"/>
      <c r="K76" s="677">
        <f>SUM(K60:K75)</f>
        <v>0</v>
      </c>
      <c r="L76" s="1298"/>
      <c r="M76" s="1299"/>
      <c r="N76" s="1"/>
      <c r="O76" s="366"/>
      <c r="P76" s="84"/>
      <c r="U76" s="86"/>
    </row>
    <row r="77" spans="1:21" ht="15.75" thickTop="1">
      <c r="A77" s="351"/>
      <c r="B77" s="352"/>
      <c r="C77" s="353"/>
      <c r="D77" s="353"/>
      <c r="E77" s="354"/>
      <c r="F77" s="352"/>
      <c r="G77" s="376"/>
      <c r="H77" s="1171" t="s">
        <v>16</v>
      </c>
      <c r="I77" s="1173" t="s">
        <v>17</v>
      </c>
      <c r="J77" s="1173" t="s">
        <v>21</v>
      </c>
      <c r="K77" s="1173"/>
      <c r="L77" s="1175" t="s">
        <v>93</v>
      </c>
      <c r="M77" s="1177" t="s">
        <v>95</v>
      </c>
      <c r="N77" s="1"/>
      <c r="O77" s="366"/>
      <c r="P77" s="84"/>
    </row>
    <row r="78" spans="1:21" ht="24">
      <c r="A78" s="355"/>
      <c r="B78" s="201"/>
      <c r="C78" s="201"/>
      <c r="D78" s="201"/>
      <c r="E78" s="216"/>
      <c r="F78" s="201"/>
      <c r="G78" s="201"/>
      <c r="H78" s="1172"/>
      <c r="I78" s="1174"/>
      <c r="J78" s="711" t="s">
        <v>21</v>
      </c>
      <c r="K78" s="711" t="s">
        <v>25</v>
      </c>
      <c r="L78" s="1176"/>
      <c r="M78" s="1178"/>
      <c r="N78" s="1"/>
      <c r="O78" s="366"/>
      <c r="P78" s="84"/>
    </row>
    <row r="79" spans="1:21">
      <c r="A79" s="338"/>
      <c r="B79" s="199"/>
      <c r="C79" s="288"/>
      <c r="D79" s="232"/>
      <c r="E79" s="84"/>
      <c r="F79" s="199"/>
      <c r="G79" s="199"/>
      <c r="H79" s="347" t="s">
        <v>163</v>
      </c>
      <c r="I79" s="94">
        <v>2420.3999999999996</v>
      </c>
      <c r="J79" s="94">
        <v>115.5</v>
      </c>
      <c r="K79" s="712">
        <v>132.61000000000001</v>
      </c>
      <c r="L79" s="96">
        <v>22665.5</v>
      </c>
      <c r="M79" s="104">
        <f>L79-I79-J79-K79</f>
        <v>19996.989999999998</v>
      </c>
      <c r="N79" s="150"/>
      <c r="O79" s="448"/>
      <c r="P79" s="439"/>
      <c r="R79" s="86"/>
    </row>
    <row r="80" spans="1:21">
      <c r="A80" s="339"/>
      <c r="B80" s="199"/>
      <c r="C80" s="199"/>
      <c r="D80" s="273"/>
      <c r="E80" s="366"/>
      <c r="F80" s="84"/>
      <c r="G80" s="366"/>
      <c r="H80" s="347" t="s">
        <v>192</v>
      </c>
      <c r="I80" s="94">
        <v>7629.69</v>
      </c>
      <c r="J80" s="94">
        <v>352.29</v>
      </c>
      <c r="K80" s="94">
        <v>193.85000000000002</v>
      </c>
      <c r="L80" s="96">
        <v>10342</v>
      </c>
      <c r="M80" s="104">
        <f>M79-I80-J80-K80+L80</f>
        <v>22163.159999999996</v>
      </c>
      <c r="N80" s="1"/>
      <c r="O80" s="448"/>
      <c r="P80" s="439"/>
      <c r="R80" s="86"/>
    </row>
    <row r="81" spans="1:26">
      <c r="A81" s="339"/>
      <c r="B81" s="366"/>
      <c r="C81" s="199"/>
      <c r="D81" s="273"/>
      <c r="E81" s="366"/>
      <c r="F81" s="366"/>
      <c r="G81" s="366"/>
      <c r="H81" s="347" t="s">
        <v>199</v>
      </c>
      <c r="I81" s="298">
        <v>8423.6400000000012</v>
      </c>
      <c r="J81" s="94">
        <v>921.3</v>
      </c>
      <c r="K81" s="299">
        <v>312.46000000000004</v>
      </c>
      <c r="L81" s="299">
        <v>16668</v>
      </c>
      <c r="M81" s="104">
        <f>M80-I81-J81-K81+L81</f>
        <v>29173.759999999995</v>
      </c>
      <c r="N81" s="1"/>
      <c r="O81" s="448"/>
      <c r="P81" s="436"/>
      <c r="R81" s="86"/>
    </row>
    <row r="82" spans="1:26">
      <c r="A82" s="339"/>
      <c r="B82" s="1"/>
      <c r="C82" s="284"/>
      <c r="D82" s="273"/>
      <c r="E82" s="366"/>
      <c r="F82" s="366"/>
      <c r="G82" s="84"/>
      <c r="H82" s="347" t="s">
        <v>209</v>
      </c>
      <c r="I82" s="299">
        <v>8639.7199999999993</v>
      </c>
      <c r="J82" s="300">
        <v>749.49</v>
      </c>
      <c r="K82" s="526">
        <v>435.1</v>
      </c>
      <c r="L82" s="299">
        <v>17824.919999999998</v>
      </c>
      <c r="M82" s="104">
        <f>M81-I82-J82-K82+L82</f>
        <v>37174.369999999995</v>
      </c>
      <c r="N82" s="92" t="s">
        <v>284</v>
      </c>
      <c r="O82" s="619"/>
      <c r="P82" s="724"/>
      <c r="R82" s="86"/>
    </row>
    <row r="83" spans="1:26">
      <c r="A83" s="339"/>
      <c r="B83" s="199"/>
      <c r="C83" s="1"/>
      <c r="D83" s="273"/>
      <c r="E83" s="366"/>
      <c r="F83" s="366"/>
      <c r="G83" s="366"/>
      <c r="H83" s="348" t="s">
        <v>210</v>
      </c>
      <c r="I83" s="300">
        <v>12605.26</v>
      </c>
      <c r="J83" s="299">
        <v>600.5</v>
      </c>
      <c r="K83" s="300">
        <v>491.64</v>
      </c>
      <c r="L83" s="299">
        <v>15183.9</v>
      </c>
      <c r="M83" s="104">
        <v>36025.39</v>
      </c>
      <c r="N83" s="618">
        <v>38660.869999999995</v>
      </c>
      <c r="O83" s="145"/>
      <c r="P83" s="437"/>
      <c r="Q83" s="86"/>
      <c r="R83" s="86"/>
    </row>
    <row r="84" spans="1:26">
      <c r="A84" s="339"/>
      <c r="B84" s="199"/>
      <c r="C84" s="1"/>
      <c r="D84" s="273"/>
      <c r="E84" s="366"/>
      <c r="F84" s="366"/>
      <c r="G84" s="366"/>
      <c r="H84" s="379" t="s">
        <v>211</v>
      </c>
      <c r="I84" s="689">
        <v>11425.189999999999</v>
      </c>
      <c r="J84" s="438">
        <v>232.2</v>
      </c>
      <c r="K84" s="694">
        <v>262</v>
      </c>
      <c r="L84" s="606">
        <v>11864.4</v>
      </c>
      <c r="M84" s="104">
        <f>M83-I84-J84-K84+L84</f>
        <v>35970.400000000001</v>
      </c>
      <c r="N84" s="1"/>
      <c r="O84" s="366"/>
      <c r="P84" s="437"/>
      <c r="Q84" s="86"/>
      <c r="R84" s="86"/>
      <c r="V84" s="1"/>
    </row>
    <row r="85" spans="1:26">
      <c r="A85" s="339"/>
      <c r="B85" s="199"/>
      <c r="C85" s="1"/>
      <c r="D85" s="273"/>
      <c r="E85" s="366"/>
      <c r="F85" s="366"/>
      <c r="G85" s="366"/>
      <c r="H85" s="347" t="s">
        <v>9</v>
      </c>
      <c r="I85" s="689">
        <v>13612.520000000002</v>
      </c>
      <c r="J85" s="438">
        <f>19+42+25.5+33+4+25+7.5+18+170+1+9+37.5+2+1.4</f>
        <v>394.9</v>
      </c>
      <c r="K85" s="694">
        <f>112.8+296.38+33.5</f>
        <v>442.68</v>
      </c>
      <c r="L85" s="607">
        <f>14352+1353+311+316+73+278</f>
        <v>16683</v>
      </c>
      <c r="M85" s="738">
        <v>37929.35</v>
      </c>
      <c r="N85" s="722" t="s">
        <v>326</v>
      </c>
      <c r="O85" s="723"/>
      <c r="P85" s="437"/>
      <c r="Q85" s="703"/>
      <c r="R85" s="86"/>
      <c r="V85" s="1"/>
    </row>
    <row r="86" spans="1:26" ht="15.75" thickBot="1">
      <c r="A86" s="339"/>
      <c r="B86" s="199"/>
      <c r="C86" s="1"/>
      <c r="D86" s="273"/>
      <c r="E86" s="366"/>
      <c r="F86" s="366"/>
      <c r="G86" s="366"/>
      <c r="H86" s="608" t="s">
        <v>18</v>
      </c>
      <c r="I86" s="622">
        <v>14474.099999999999</v>
      </c>
      <c r="J86" s="610">
        <v>947.5</v>
      </c>
      <c r="K86" s="695">
        <v>526.15</v>
      </c>
      <c r="L86" s="611">
        <v>19238.8</v>
      </c>
      <c r="M86" s="104">
        <f>M85-I86-J86-K86+L86</f>
        <v>41220.399999999994</v>
      </c>
      <c r="N86" s="84"/>
      <c r="O86" s="366"/>
      <c r="P86" s="437"/>
      <c r="Q86" s="703"/>
      <c r="R86" s="86"/>
      <c r="V86" s="1"/>
    </row>
    <row r="87" spans="1:26" ht="14.25" customHeight="1" thickTop="1">
      <c r="A87" s="339"/>
      <c r="B87" s="199"/>
      <c r="C87" s="1"/>
      <c r="D87" s="273"/>
      <c r="E87" s="84"/>
      <c r="F87" s="366"/>
      <c r="G87" s="366"/>
      <c r="H87" s="1148" t="s">
        <v>36</v>
      </c>
      <c r="I87" s="1150" t="s">
        <v>178</v>
      </c>
      <c r="J87" s="1151"/>
      <c r="K87" s="1152"/>
      <c r="L87" s="1156" t="s">
        <v>159</v>
      </c>
      <c r="M87" s="1157"/>
      <c r="N87" s="1"/>
      <c r="O87" s="366"/>
      <c r="P87" s="437"/>
      <c r="Q87" s="86"/>
      <c r="R87" s="86"/>
      <c r="V87" s="1"/>
    </row>
    <row r="88" spans="1:26">
      <c r="A88" s="339"/>
      <c r="B88" s="199"/>
      <c r="C88" s="284"/>
      <c r="D88" s="273"/>
      <c r="E88" s="284"/>
      <c r="F88" s="366"/>
      <c r="G88" s="378"/>
      <c r="H88" s="1149"/>
      <c r="I88" s="1153"/>
      <c r="J88" s="1154"/>
      <c r="K88" s="1155"/>
      <c r="L88" s="1158"/>
      <c r="M88" s="1159"/>
      <c r="N88" s="1"/>
      <c r="O88" s="84"/>
      <c r="P88" s="646"/>
      <c r="Q88" s="86"/>
      <c r="R88" s="366"/>
      <c r="S88" s="1"/>
      <c r="V88" s="1"/>
      <c r="W88" s="1"/>
      <c r="X88" s="1"/>
      <c r="Y88" s="1"/>
    </row>
    <row r="89" spans="1:26">
      <c r="A89" s="339"/>
      <c r="B89" s="199"/>
      <c r="C89" s="199"/>
      <c r="D89" s="273"/>
      <c r="E89" s="199"/>
      <c r="F89" s="366"/>
      <c r="G89" s="378"/>
      <c r="H89" s="512" t="s">
        <v>250</v>
      </c>
      <c r="I89" s="1160" t="s">
        <v>47</v>
      </c>
      <c r="J89" s="1160"/>
      <c r="K89" s="716">
        <v>131.25</v>
      </c>
      <c r="L89" s="282">
        <v>43966</v>
      </c>
      <c r="M89" s="44" t="s">
        <v>269</v>
      </c>
      <c r="O89" s="366"/>
      <c r="P89" s="646"/>
      <c r="Q89" s="86"/>
      <c r="R89" s="366"/>
      <c r="S89" s="1"/>
      <c r="T89" s="1"/>
      <c r="V89" s="282"/>
      <c r="W89" s="1"/>
      <c r="X89" s="1"/>
      <c r="Y89" s="1"/>
    </row>
    <row r="90" spans="1:26">
      <c r="A90" s="339"/>
      <c r="B90" s="366"/>
      <c r="C90" s="274"/>
      <c r="D90" s="273"/>
      <c r="E90" s="274"/>
      <c r="F90" s="366"/>
      <c r="G90" s="366"/>
      <c r="H90" s="512" t="s">
        <v>250</v>
      </c>
      <c r="I90" s="1161" t="s">
        <v>51</v>
      </c>
      <c r="J90" s="1161"/>
      <c r="K90" s="717">
        <v>21.35</v>
      </c>
      <c r="L90" s="282">
        <v>43966</v>
      </c>
      <c r="M90" s="44" t="s">
        <v>269</v>
      </c>
      <c r="O90" s="366"/>
      <c r="P90" s="646"/>
      <c r="Q90" s="541"/>
      <c r="R90" s="86"/>
      <c r="S90" s="1"/>
      <c r="T90" s="1"/>
      <c r="V90" s="282"/>
      <c r="W90" s="1"/>
      <c r="X90" s="1"/>
      <c r="Y90" s="1"/>
    </row>
    <row r="91" spans="1:26">
      <c r="A91" s="340"/>
      <c r="B91" s="366"/>
      <c r="C91" s="366"/>
      <c r="D91" s="273"/>
      <c r="E91" s="199"/>
      <c r="F91" s="366"/>
      <c r="G91" s="366"/>
      <c r="H91" s="512" t="s">
        <v>250</v>
      </c>
      <c r="I91" s="1161" t="s">
        <v>52</v>
      </c>
      <c r="J91" s="1161"/>
      <c r="K91" s="717">
        <v>2.25</v>
      </c>
      <c r="L91" s="282">
        <v>43966</v>
      </c>
      <c r="M91" s="44" t="s">
        <v>269</v>
      </c>
      <c r="O91" s="366"/>
      <c r="P91" s="646"/>
      <c r="Q91" s="86"/>
      <c r="R91" s="714"/>
      <c r="S91" s="1"/>
      <c r="T91" s="1"/>
      <c r="V91" s="282"/>
      <c r="W91" s="282"/>
      <c r="X91" s="282"/>
      <c r="Y91" s="1"/>
      <c r="Z91" s="1"/>
    </row>
    <row r="92" spans="1:26">
      <c r="A92" s="340"/>
      <c r="B92" s="366"/>
      <c r="C92" s="366"/>
      <c r="D92" s="273"/>
      <c r="E92" s="366"/>
      <c r="F92" s="366"/>
      <c r="G92" s="366"/>
      <c r="H92" s="743" t="s">
        <v>335</v>
      </c>
      <c r="I92" s="1161" t="s">
        <v>49</v>
      </c>
      <c r="J92" s="1161"/>
      <c r="K92" s="717">
        <v>44.5</v>
      </c>
      <c r="L92" s="744" t="s">
        <v>338</v>
      </c>
      <c r="M92" s="44" t="s">
        <v>357</v>
      </c>
      <c r="N92" s="35" t="s">
        <v>336</v>
      </c>
      <c r="O92" s="84"/>
      <c r="P92" s="646"/>
      <c r="Q92" s="366"/>
      <c r="R92" s="86"/>
      <c r="S92" s="1"/>
      <c r="T92" s="282"/>
      <c r="U92" s="1"/>
      <c r="V92" s="282"/>
      <c r="W92" s="282"/>
      <c r="X92" s="282"/>
      <c r="Y92" s="1"/>
      <c r="Z92" s="1"/>
    </row>
    <row r="93" spans="1:26">
      <c r="A93" s="340"/>
      <c r="B93" s="366"/>
      <c r="C93" s="366"/>
      <c r="D93" s="273"/>
      <c r="E93" s="366"/>
      <c r="F93" s="366"/>
      <c r="G93" s="366"/>
      <c r="H93" s="512" t="s">
        <v>250</v>
      </c>
      <c r="I93" s="1276" t="s">
        <v>59</v>
      </c>
      <c r="J93" s="1276"/>
      <c r="K93" s="720">
        <v>392.11</v>
      </c>
      <c r="L93" s="302" t="s">
        <v>177</v>
      </c>
      <c r="M93" s="44" t="s">
        <v>269</v>
      </c>
      <c r="N93" s="490"/>
      <c r="O93" s="84"/>
      <c r="P93" s="646"/>
      <c r="Q93" s="479"/>
      <c r="R93" s="714"/>
      <c r="S93" s="1"/>
      <c r="T93" s="282"/>
      <c r="U93" s="1"/>
      <c r="V93" s="1"/>
      <c r="W93" s="282"/>
      <c r="X93" s="282"/>
      <c r="Y93" s="1"/>
      <c r="Z93" s="1"/>
    </row>
    <row r="94" spans="1:26">
      <c r="A94" s="340"/>
      <c r="B94" s="199"/>
      <c r="C94" s="199"/>
      <c r="D94" s="273"/>
      <c r="E94" s="199"/>
      <c r="F94" s="366"/>
      <c r="G94" s="366"/>
      <c r="H94" s="512" t="s">
        <v>250</v>
      </c>
      <c r="I94" s="1264" t="s">
        <v>68</v>
      </c>
      <c r="J94" s="1265"/>
      <c r="K94" s="717">
        <v>52.62</v>
      </c>
      <c r="L94" s="282">
        <v>43971</v>
      </c>
      <c r="M94" s="44" t="s">
        <v>269</v>
      </c>
      <c r="O94" s="366"/>
      <c r="P94" s="437"/>
      <c r="Q94" s="366"/>
      <c r="R94" s="714"/>
      <c r="S94" s="1"/>
      <c r="T94" s="282"/>
      <c r="U94" s="1"/>
      <c r="V94" s="282"/>
      <c r="W94" s="282"/>
      <c r="X94" s="282"/>
      <c r="Y94" s="1"/>
      <c r="Z94" s="1"/>
    </row>
    <row r="95" spans="1:26">
      <c r="A95" s="340"/>
      <c r="B95" s="199"/>
      <c r="C95" s="366"/>
      <c r="D95" s="273"/>
      <c r="E95" s="199"/>
      <c r="F95" s="366"/>
      <c r="G95" s="366"/>
      <c r="H95" s="512" t="s">
        <v>250</v>
      </c>
      <c r="I95" s="1143" t="s">
        <v>174</v>
      </c>
      <c r="J95" s="1144"/>
      <c r="K95" s="717">
        <v>257.08999999999997</v>
      </c>
      <c r="L95" s="282">
        <v>43966</v>
      </c>
      <c r="M95" s="44" t="s">
        <v>269</v>
      </c>
      <c r="O95" s="84"/>
      <c r="P95" s="86"/>
      <c r="Q95" s="366"/>
      <c r="R95" s="714"/>
      <c r="S95" s="1"/>
      <c r="T95" s="282"/>
      <c r="U95" s="282"/>
      <c r="V95" s="282"/>
      <c r="W95" s="1"/>
      <c r="X95" s="1"/>
      <c r="Y95" s="1"/>
      <c r="Z95" s="1"/>
    </row>
    <row r="96" spans="1:26">
      <c r="A96" s="340"/>
      <c r="B96" s="199"/>
      <c r="C96" s="366"/>
      <c r="D96" s="273"/>
      <c r="E96" s="199"/>
      <c r="F96" s="366"/>
      <c r="G96" s="366"/>
      <c r="H96" s="687" t="s">
        <v>337</v>
      </c>
      <c r="I96" s="708" t="s">
        <v>176</v>
      </c>
      <c r="J96" s="709"/>
      <c r="K96" s="717" t="s">
        <v>258</v>
      </c>
      <c r="L96" s="282">
        <v>43971</v>
      </c>
      <c r="M96" s="44" t="s">
        <v>269</v>
      </c>
      <c r="O96" s="84"/>
      <c r="P96" s="86"/>
      <c r="Q96" s="366"/>
      <c r="R96" s="483"/>
      <c r="S96" s="1"/>
      <c r="T96" s="1"/>
      <c r="U96" s="282"/>
      <c r="V96" s="282"/>
      <c r="W96" s="282"/>
      <c r="X96" s="282"/>
      <c r="Y96" s="1"/>
      <c r="Z96" s="1"/>
    </row>
    <row r="97" spans="1:26">
      <c r="A97" s="340"/>
      <c r="B97" s="199"/>
      <c r="C97" s="366"/>
      <c r="D97" s="273"/>
      <c r="E97" s="232"/>
      <c r="F97" s="366"/>
      <c r="G97" s="366"/>
      <c r="H97" s="512" t="s">
        <v>250</v>
      </c>
      <c r="I97" s="1264" t="s">
        <v>81</v>
      </c>
      <c r="J97" s="1265"/>
      <c r="K97" s="717">
        <v>658.67</v>
      </c>
      <c r="L97" s="282">
        <v>43992</v>
      </c>
      <c r="M97" s="44" t="s">
        <v>295</v>
      </c>
      <c r="O97" s="84"/>
      <c r="P97" s="86"/>
      <c r="Q97" s="483"/>
      <c r="R97" s="365"/>
      <c r="S97" s="1"/>
      <c r="T97" s="282"/>
      <c r="U97" s="282"/>
      <c r="V97" s="282"/>
      <c r="W97" s="282"/>
      <c r="X97" s="282"/>
      <c r="Y97" s="366"/>
      <c r="Z97" s="1"/>
    </row>
    <row r="98" spans="1:26">
      <c r="A98" s="340"/>
      <c r="B98" s="199"/>
      <c r="C98" s="366"/>
      <c r="D98" s="273"/>
      <c r="E98" s="232"/>
      <c r="F98" s="366"/>
      <c r="G98" s="366"/>
      <c r="H98" s="512" t="s">
        <v>250</v>
      </c>
      <c r="I98" s="1264" t="s">
        <v>53</v>
      </c>
      <c r="J98" s="1265"/>
      <c r="K98" s="454">
        <v>10</v>
      </c>
      <c r="L98" s="282">
        <v>43966</v>
      </c>
      <c r="M98" s="44" t="s">
        <v>269</v>
      </c>
      <c r="O98" s="84"/>
      <c r="P98" s="86"/>
      <c r="Q98" s="765"/>
      <c r="R98" s="86"/>
      <c r="S98" s="1"/>
      <c r="T98" s="282"/>
      <c r="U98" s="282"/>
      <c r="V98" s="282"/>
      <c r="W98" s="282"/>
      <c r="X98" s="282"/>
      <c r="Y98" s="366"/>
      <c r="Z98" s="1"/>
    </row>
    <row r="99" spans="1:26">
      <c r="A99" s="340"/>
      <c r="B99" s="199"/>
      <c r="C99" s="366"/>
      <c r="D99" s="273"/>
      <c r="E99" s="232"/>
      <c r="F99" s="366"/>
      <c r="G99" s="366"/>
      <c r="H99" s="512" t="s">
        <v>250</v>
      </c>
      <c r="I99" s="1263" t="s">
        <v>276</v>
      </c>
      <c r="J99" s="1263"/>
      <c r="K99" s="637">
        <v>100</v>
      </c>
      <c r="L99" s="282">
        <v>43981</v>
      </c>
      <c r="M99" s="44" t="s">
        <v>269</v>
      </c>
      <c r="O99" s="84"/>
      <c r="P99" s="86"/>
      <c r="Q99" s="765"/>
      <c r="R99" s="86"/>
      <c r="S99" s="366"/>
      <c r="T99" s="282"/>
      <c r="U99" s="282"/>
      <c r="V99" s="282"/>
      <c r="W99" s="282"/>
      <c r="X99" s="282"/>
      <c r="Y99" s="1"/>
      <c r="Z99" s="1"/>
    </row>
    <row r="100" spans="1:26">
      <c r="A100" s="340"/>
      <c r="B100" s="199"/>
      <c r="C100" s="366"/>
      <c r="D100" s="273"/>
      <c r="E100" s="232"/>
      <c r="F100" s="366"/>
      <c r="G100" s="366"/>
      <c r="H100" s="512" t="s">
        <v>250</v>
      </c>
      <c r="I100" s="1263" t="s">
        <v>296</v>
      </c>
      <c r="J100" s="1263"/>
      <c r="K100" s="637">
        <v>9</v>
      </c>
      <c r="L100" s="282">
        <v>43966</v>
      </c>
      <c r="M100" s="44" t="s">
        <v>269</v>
      </c>
      <c r="O100" s="84"/>
      <c r="P100" s="86"/>
      <c r="Q100" s="765"/>
      <c r="R100" s="86"/>
      <c r="S100" s="366"/>
      <c r="T100" s="282"/>
      <c r="U100" s="282"/>
      <c r="V100" s="282"/>
      <c r="W100" s="282"/>
      <c r="X100" s="282"/>
      <c r="Y100" s="1"/>
      <c r="Z100" s="1"/>
    </row>
    <row r="101" spans="1:26">
      <c r="A101" s="340"/>
      <c r="B101" s="199"/>
      <c r="C101" s="366"/>
      <c r="D101" s="273"/>
      <c r="E101" s="232"/>
      <c r="F101" s="366"/>
      <c r="G101" s="366"/>
      <c r="H101" s="512" t="s">
        <v>250</v>
      </c>
      <c r="I101" s="1143" t="s">
        <v>345</v>
      </c>
      <c r="J101" s="1144"/>
      <c r="K101" s="637">
        <v>817.24</v>
      </c>
      <c r="L101" s="282">
        <v>43966</v>
      </c>
      <c r="M101" s="44" t="s">
        <v>269</v>
      </c>
      <c r="O101" s="84"/>
      <c r="P101" s="86"/>
      <c r="Q101" s="765"/>
      <c r="R101" s="86"/>
      <c r="S101" s="366"/>
      <c r="T101" s="282"/>
      <c r="U101" s="282"/>
      <c r="V101" s="282"/>
      <c r="W101" s="282"/>
      <c r="X101" s="282"/>
      <c r="Y101" s="1"/>
      <c r="Z101" s="1"/>
    </row>
    <row r="102" spans="1:26" ht="15.75" thickBot="1">
      <c r="A102" s="341"/>
      <c r="B102" s="330"/>
      <c r="C102" s="331"/>
      <c r="D102" s="342"/>
      <c r="E102" s="330"/>
      <c r="F102" s="331"/>
      <c r="G102" s="331"/>
      <c r="H102" s="1280" t="s">
        <v>179</v>
      </c>
      <c r="I102" s="1281"/>
      <c r="J102" s="361">
        <f>SUM(K89:K101)</f>
        <v>2496.08</v>
      </c>
      <c r="K102" s="1146" t="s">
        <v>180</v>
      </c>
      <c r="L102" s="1146"/>
      <c r="M102" s="514">
        <v>0</v>
      </c>
      <c r="O102" s="84"/>
      <c r="P102" s="86"/>
      <c r="Q102" s="765"/>
      <c r="R102" s="365"/>
      <c r="S102" s="366"/>
      <c r="T102" s="282"/>
      <c r="U102" s="282"/>
      <c r="V102" s="1"/>
      <c r="W102" s="282"/>
      <c r="X102" s="282"/>
      <c r="Y102" s="1"/>
      <c r="Z102" s="1"/>
    </row>
    <row r="103" spans="1:26" ht="15.75" thickTop="1">
      <c r="C103" s="491"/>
      <c r="D103" s="491"/>
      <c r="O103" s="84"/>
      <c r="P103" s="86"/>
      <c r="Q103" s="765"/>
      <c r="R103" s="365"/>
      <c r="S103" s="366"/>
      <c r="T103" s="282"/>
      <c r="U103" s="282"/>
      <c r="V103" s="1"/>
      <c r="W103" s="282"/>
      <c r="X103" s="282"/>
      <c r="Y103" s="1"/>
      <c r="Z103" s="1"/>
    </row>
    <row r="104" spans="1:26" ht="15" customHeight="1">
      <c r="A104" s="1163" t="s">
        <v>340</v>
      </c>
      <c r="B104" s="1163"/>
      <c r="C104" s="1163"/>
      <c r="D104" s="1163"/>
      <c r="E104" s="1163"/>
      <c r="F104" s="1163"/>
      <c r="G104" s="1163"/>
      <c r="H104" s="1163"/>
      <c r="I104" s="1163"/>
      <c r="J104" s="1163"/>
      <c r="K104" s="1163"/>
      <c r="L104" s="1163"/>
      <c r="M104" s="1163"/>
      <c r="O104" s="84"/>
      <c r="P104" s="86"/>
      <c r="Q104" s="765"/>
      <c r="R104" s="366"/>
      <c r="S104" s="1"/>
      <c r="T104" s="282"/>
      <c r="U104" s="282"/>
      <c r="V104" s="1"/>
      <c r="W104" s="1"/>
      <c r="X104" s="1"/>
      <c r="Y104" s="1"/>
      <c r="Z104" s="1"/>
    </row>
    <row r="105" spans="1:26" ht="15.75" customHeight="1" thickBot="1">
      <c r="A105" s="1164"/>
      <c r="B105" s="1164"/>
      <c r="C105" s="1164"/>
      <c r="D105" s="1164"/>
      <c r="E105" s="1164"/>
      <c r="F105" s="1164"/>
      <c r="G105" s="1164"/>
      <c r="H105" s="1164"/>
      <c r="I105" s="1164"/>
      <c r="J105" s="1164"/>
      <c r="K105" s="1164"/>
      <c r="L105" s="1164"/>
      <c r="M105" s="1164"/>
      <c r="O105" s="84"/>
      <c r="P105" s="86"/>
      <c r="Q105" s="765"/>
      <c r="R105" s="366"/>
      <c r="S105" s="1"/>
      <c r="T105" s="1"/>
      <c r="U105" s="282"/>
      <c r="V105" s="1"/>
      <c r="W105" s="1"/>
      <c r="X105" s="1"/>
      <c r="Y105" s="1"/>
      <c r="Z105" s="1"/>
    </row>
    <row r="106" spans="1:26" ht="15.75" thickTop="1">
      <c r="A106" s="1301" t="s">
        <v>331</v>
      </c>
      <c r="B106" s="1268"/>
      <c r="C106" s="1268"/>
      <c r="D106" s="1268"/>
      <c r="E106" s="1268"/>
      <c r="F106" s="1302"/>
      <c r="G106" s="323"/>
      <c r="O106" s="84"/>
      <c r="P106" s="86"/>
      <c r="Q106" s="647"/>
      <c r="R106" s="366"/>
      <c r="S106" s="1"/>
      <c r="T106" s="1"/>
      <c r="U106" s="282"/>
      <c r="V106" s="1"/>
      <c r="W106" s="1"/>
      <c r="X106" s="1"/>
      <c r="Y106" s="1"/>
      <c r="Z106" s="1"/>
    </row>
    <row r="107" spans="1:26">
      <c r="A107" s="1213" t="s">
        <v>342</v>
      </c>
      <c r="B107" s="1214"/>
      <c r="C107" s="740" t="s">
        <v>35</v>
      </c>
      <c r="D107" s="740" t="s">
        <v>38</v>
      </c>
      <c r="E107" s="740" t="s">
        <v>42</v>
      </c>
      <c r="F107" s="740" t="s">
        <v>44</v>
      </c>
      <c r="G107" s="1"/>
      <c r="O107" s="84"/>
      <c r="P107" s="86"/>
      <c r="Q107" s="765"/>
      <c r="R107" s="366"/>
      <c r="S107" s="1"/>
      <c r="T107" s="1"/>
      <c r="U107" s="1"/>
      <c r="W107" s="1"/>
      <c r="X107" s="1"/>
      <c r="Y107" s="1"/>
      <c r="Z107" s="1"/>
    </row>
    <row r="108" spans="1:26">
      <c r="A108" s="1290" t="s">
        <v>40</v>
      </c>
      <c r="B108" s="1271"/>
      <c r="C108" s="481">
        <v>1134.25</v>
      </c>
      <c r="D108" s="481">
        <v>1134.25</v>
      </c>
      <c r="E108" s="480">
        <v>0</v>
      </c>
      <c r="F108" s="3">
        <v>44011</v>
      </c>
      <c r="G108" s="1"/>
      <c r="O108" s="84"/>
      <c r="P108" s="86"/>
      <c r="Q108" s="765"/>
      <c r="R108" s="366"/>
      <c r="S108" s="1"/>
      <c r="T108" s="1"/>
      <c r="U108" s="1"/>
      <c r="W108" s="1"/>
      <c r="X108" s="1"/>
      <c r="Y108" s="1"/>
      <c r="Z108" s="1"/>
    </row>
    <row r="109" spans="1:26">
      <c r="A109" s="340"/>
      <c r="B109" s="366"/>
      <c r="C109" s="498">
        <f>SUM(C108:C108)</f>
        <v>1134.25</v>
      </c>
      <c r="D109" s="366"/>
      <c r="E109" s="84"/>
      <c r="F109" s="366"/>
      <c r="G109" s="1"/>
      <c r="K109" s="490"/>
      <c r="O109" s="84"/>
      <c r="P109" s="86"/>
      <c r="Q109" s="765"/>
      <c r="R109" s="86"/>
      <c r="T109" s="1"/>
      <c r="U109" s="1"/>
      <c r="Z109" s="1"/>
    </row>
    <row r="110" spans="1:26">
      <c r="A110" s="340"/>
      <c r="B110" s="366"/>
      <c r="C110" s="366"/>
      <c r="D110" s="366"/>
      <c r="E110" s="366"/>
      <c r="F110" s="366"/>
      <c r="G110" s="1"/>
      <c r="O110" s="84"/>
      <c r="P110" s="86"/>
      <c r="Q110" s="765"/>
      <c r="R110" s="86"/>
      <c r="U110" s="1"/>
      <c r="Z110" s="1"/>
    </row>
    <row r="111" spans="1:26">
      <c r="A111" s="340"/>
      <c r="B111" s="366"/>
      <c r="C111" s="366"/>
      <c r="D111" s="366"/>
      <c r="E111" s="366"/>
      <c r="F111" s="366"/>
      <c r="G111" s="1"/>
      <c r="M111" s="490"/>
      <c r="O111" s="84"/>
      <c r="P111" s="86"/>
      <c r="Q111" s="765"/>
      <c r="R111" s="86"/>
      <c r="U111" s="1"/>
      <c r="Z111" s="1"/>
    </row>
    <row r="112" spans="1:26">
      <c r="A112" s="340"/>
      <c r="B112" s="366"/>
      <c r="C112" s="366"/>
      <c r="D112" s="366"/>
      <c r="E112" s="366"/>
      <c r="F112" s="366"/>
      <c r="G112" s="1"/>
      <c r="O112" s="84"/>
      <c r="P112" s="86"/>
      <c r="Q112" s="765"/>
      <c r="R112" s="86"/>
      <c r="U112" s="1"/>
    </row>
    <row r="113" spans="1:18">
      <c r="A113" s="43"/>
      <c r="B113" s="1"/>
      <c r="C113" s="366"/>
      <c r="D113" s="1"/>
      <c r="E113" s="1"/>
      <c r="F113" s="1"/>
      <c r="G113" s="1"/>
      <c r="M113" s="1"/>
      <c r="O113" s="84"/>
      <c r="P113" s="86"/>
      <c r="Q113" s="765"/>
      <c r="R113" s="86"/>
    </row>
    <row r="114" spans="1:18">
      <c r="A114" s="43"/>
      <c r="B114" s="1"/>
      <c r="C114" s="366"/>
      <c r="D114" s="1"/>
      <c r="E114" s="1"/>
      <c r="F114" s="1"/>
      <c r="G114" s="1"/>
      <c r="M114" s="1"/>
      <c r="O114" s="84"/>
      <c r="P114" s="86"/>
      <c r="Q114" s="765"/>
      <c r="R114" s="86"/>
    </row>
    <row r="115" spans="1:18">
      <c r="A115" s="43"/>
      <c r="B115" s="1"/>
      <c r="C115" s="366"/>
      <c r="D115" s="1"/>
      <c r="E115" s="1"/>
      <c r="F115" s="1"/>
      <c r="G115" s="1"/>
      <c r="M115" s="1"/>
      <c r="O115" s="84"/>
      <c r="P115" s="86"/>
      <c r="Q115" s="765"/>
      <c r="R115" s="86"/>
    </row>
    <row r="116" spans="1:18">
      <c r="A116" s="43"/>
      <c r="B116" s="1"/>
      <c r="C116" s="366"/>
      <c r="D116" s="1"/>
      <c r="E116" s="1"/>
      <c r="F116" s="1"/>
      <c r="G116" s="1"/>
      <c r="M116" s="366"/>
      <c r="O116" s="84"/>
      <c r="P116" s="86"/>
      <c r="Q116" s="765"/>
      <c r="R116" s="86"/>
    </row>
    <row r="117" spans="1:18">
      <c r="A117" s="43"/>
      <c r="B117" s="1"/>
      <c r="C117" s="366"/>
      <c r="D117" s="1"/>
      <c r="E117" s="1"/>
      <c r="F117" s="1"/>
      <c r="G117" s="1"/>
      <c r="M117" s="366"/>
      <c r="O117" s="84"/>
      <c r="P117" s="86"/>
      <c r="Q117" s="765"/>
      <c r="R117" s="86"/>
    </row>
    <row r="118" spans="1:18">
      <c r="A118" s="43"/>
      <c r="B118" s="1"/>
      <c r="C118" s="366"/>
      <c r="D118" s="1"/>
      <c r="E118" s="1"/>
      <c r="F118" s="1"/>
      <c r="G118" s="1"/>
      <c r="M118" s="1"/>
      <c r="O118" s="84"/>
      <c r="P118" s="86"/>
      <c r="Q118" s="755"/>
      <c r="R118" s="86"/>
    </row>
    <row r="119" spans="1:18">
      <c r="A119" s="43"/>
      <c r="B119" s="1"/>
      <c r="C119" s="366"/>
      <c r="D119" s="1"/>
      <c r="E119" s="1"/>
      <c r="F119" s="1"/>
      <c r="G119" s="1"/>
      <c r="M119" s="1"/>
      <c r="O119" s="84"/>
      <c r="P119" s="86"/>
      <c r="Q119" s="755"/>
      <c r="R119" s="86"/>
    </row>
    <row r="120" spans="1:18">
      <c r="A120" s="43"/>
      <c r="B120" s="1"/>
      <c r="C120" s="366"/>
      <c r="D120" s="1"/>
      <c r="E120" s="1"/>
      <c r="F120" s="1"/>
      <c r="G120" s="1"/>
      <c r="M120" s="1"/>
      <c r="O120" s="84"/>
      <c r="P120" s="86"/>
      <c r="Q120" s="86"/>
      <c r="R120" s="86"/>
    </row>
    <row r="121" spans="1:18">
      <c r="A121" s="43"/>
      <c r="B121" s="1"/>
      <c r="C121" s="366"/>
      <c r="D121" s="1"/>
      <c r="E121" s="1"/>
      <c r="F121" s="1"/>
      <c r="G121" s="1"/>
      <c r="M121" s="1"/>
      <c r="O121" s="84"/>
      <c r="P121" s="86"/>
      <c r="Q121" s="86"/>
      <c r="R121" s="86"/>
    </row>
    <row r="122" spans="1:18">
      <c r="A122" s="43"/>
      <c r="B122" s="1"/>
      <c r="C122" s="366"/>
      <c r="D122" s="1"/>
      <c r="E122" s="1"/>
      <c r="F122" s="1"/>
      <c r="G122" s="1"/>
      <c r="O122" s="84"/>
      <c r="P122" s="86"/>
      <c r="Q122" s="86"/>
      <c r="R122" s="86"/>
    </row>
    <row r="123" spans="1:18">
      <c r="A123" s="43"/>
      <c r="B123" s="1"/>
      <c r="C123" s="366"/>
      <c r="D123" s="1"/>
      <c r="E123" s="1"/>
      <c r="F123" s="1"/>
      <c r="G123" s="1"/>
      <c r="O123" s="84"/>
      <c r="P123" s="86"/>
      <c r="Q123" s="86"/>
      <c r="R123" s="86"/>
    </row>
    <row r="124" spans="1:18">
      <c r="C124" s="446"/>
      <c r="O124" s="84"/>
      <c r="P124" s="86"/>
      <c r="Q124" s="86"/>
      <c r="R124" s="86"/>
    </row>
    <row r="125" spans="1:18">
      <c r="C125" s="446"/>
      <c r="O125" s="84"/>
      <c r="P125" s="86"/>
      <c r="Q125" s="86"/>
      <c r="R125" s="86"/>
    </row>
    <row r="126" spans="1:18">
      <c r="C126" s="446"/>
    </row>
    <row r="127" spans="1:18">
      <c r="C127" s="446"/>
    </row>
    <row r="128" spans="1:18">
      <c r="C128" s="446"/>
    </row>
    <row r="129" spans="3:3">
      <c r="C129" s="446"/>
    </row>
    <row r="130" spans="3:3">
      <c r="C130" s="446"/>
    </row>
    <row r="131" spans="3:3">
      <c r="C131" s="446"/>
    </row>
    <row r="132" spans="3:3">
      <c r="C132" s="446"/>
    </row>
    <row r="133" spans="3:3">
      <c r="C133" s="446"/>
    </row>
  </sheetData>
  <mergeCells count="131">
    <mergeCell ref="L20:M20"/>
    <mergeCell ref="I12:J12"/>
    <mergeCell ref="L12:M12"/>
    <mergeCell ref="I13:J13"/>
    <mergeCell ref="L13:M13"/>
    <mergeCell ref="I14:J14"/>
    <mergeCell ref="L14:M14"/>
    <mergeCell ref="I15:J15"/>
    <mergeCell ref="L15:M15"/>
    <mergeCell ref="I16:J16"/>
    <mergeCell ref="L16:M16"/>
    <mergeCell ref="I17:J17"/>
    <mergeCell ref="L17:M17"/>
    <mergeCell ref="A107:B107"/>
    <mergeCell ref="A108:B108"/>
    <mergeCell ref="I4:J4"/>
    <mergeCell ref="L4:M4"/>
    <mergeCell ref="I5:J5"/>
    <mergeCell ref="L5:M5"/>
    <mergeCell ref="I6:J6"/>
    <mergeCell ref="L6:M6"/>
    <mergeCell ref="I7:J7"/>
    <mergeCell ref="L7:M7"/>
    <mergeCell ref="I8:J8"/>
    <mergeCell ref="L8:M8"/>
    <mergeCell ref="I9:J9"/>
    <mergeCell ref="L9:M9"/>
    <mergeCell ref="I10:J10"/>
    <mergeCell ref="I99:J99"/>
    <mergeCell ref="I101:J101"/>
    <mergeCell ref="H102:I102"/>
    <mergeCell ref="K102:L102"/>
    <mergeCell ref="I98:J98"/>
    <mergeCell ref="H87:H88"/>
    <mergeCell ref="I87:K88"/>
    <mergeCell ref="L87:M88"/>
    <mergeCell ref="I18:J18"/>
    <mergeCell ref="A76:B76"/>
    <mergeCell ref="H76:J76"/>
    <mergeCell ref="L76:M76"/>
    <mergeCell ref="H77:H78"/>
    <mergeCell ref="I77:I78"/>
    <mergeCell ref="J77:K77"/>
    <mergeCell ref="L77:L78"/>
    <mergeCell ref="M77:M78"/>
    <mergeCell ref="A106:F106"/>
    <mergeCell ref="A104:M105"/>
    <mergeCell ref="I89:J89"/>
    <mergeCell ref="I90:J90"/>
    <mergeCell ref="I97:J97"/>
    <mergeCell ref="I91:J91"/>
    <mergeCell ref="I92:J92"/>
    <mergeCell ref="I93:J93"/>
    <mergeCell ref="I94:J94"/>
    <mergeCell ref="I95:J95"/>
    <mergeCell ref="I100:J100"/>
    <mergeCell ref="I72:J72"/>
    <mergeCell ref="L72:M72"/>
    <mergeCell ref="I73:J73"/>
    <mergeCell ref="L73:M73"/>
    <mergeCell ref="I74:J74"/>
    <mergeCell ref="L74:M74"/>
    <mergeCell ref="I75:J75"/>
    <mergeCell ref="L75:M75"/>
    <mergeCell ref="I69:J69"/>
    <mergeCell ref="L69:M69"/>
    <mergeCell ref="I70:J70"/>
    <mergeCell ref="L70:M70"/>
    <mergeCell ref="I71:J71"/>
    <mergeCell ref="L71:M71"/>
    <mergeCell ref="I66:J66"/>
    <mergeCell ref="L66:M66"/>
    <mergeCell ref="I67:J67"/>
    <mergeCell ref="L67:M67"/>
    <mergeCell ref="I68:J68"/>
    <mergeCell ref="L68:M68"/>
    <mergeCell ref="I63:J63"/>
    <mergeCell ref="L63:M63"/>
    <mergeCell ref="I64:J64"/>
    <mergeCell ref="L64:M64"/>
    <mergeCell ref="I65:J65"/>
    <mergeCell ref="L65:M65"/>
    <mergeCell ref="I60:J60"/>
    <mergeCell ref="L60:M60"/>
    <mergeCell ref="I61:J61"/>
    <mergeCell ref="L61:M61"/>
    <mergeCell ref="I62:J62"/>
    <mergeCell ref="L62:M62"/>
    <mergeCell ref="H55:K55"/>
    <mergeCell ref="A56:M57"/>
    <mergeCell ref="A58:G58"/>
    <mergeCell ref="H58:M58"/>
    <mergeCell ref="I59:J59"/>
    <mergeCell ref="L59:M59"/>
    <mergeCell ref="K54:L54"/>
    <mergeCell ref="I41:J41"/>
    <mergeCell ref="I42:J42"/>
    <mergeCell ref="I43:J43"/>
    <mergeCell ref="I46:J46"/>
    <mergeCell ref="I47:J47"/>
    <mergeCell ref="I48:J48"/>
    <mergeCell ref="I49:J49"/>
    <mergeCell ref="I50:J50"/>
    <mergeCell ref="I51:J51"/>
    <mergeCell ref="I52:J52"/>
    <mergeCell ref="H54:I54"/>
    <mergeCell ref="I53:J53"/>
    <mergeCell ref="A1:M2"/>
    <mergeCell ref="A3:G3"/>
    <mergeCell ref="H3:M3"/>
    <mergeCell ref="I40:J40"/>
    <mergeCell ref="AF6:AF7"/>
    <mergeCell ref="AG6:AG7"/>
    <mergeCell ref="A20:B20"/>
    <mergeCell ref="H21:H22"/>
    <mergeCell ref="I21:I22"/>
    <mergeCell ref="J21:K21"/>
    <mergeCell ref="L21:L22"/>
    <mergeCell ref="M21:M22"/>
    <mergeCell ref="H36:H37"/>
    <mergeCell ref="I36:K37"/>
    <mergeCell ref="L36:M37"/>
    <mergeCell ref="I38:J38"/>
    <mergeCell ref="I39:J39"/>
    <mergeCell ref="L10:M10"/>
    <mergeCell ref="L18:M18"/>
    <mergeCell ref="I19:J19"/>
    <mergeCell ref="L19:M19"/>
    <mergeCell ref="I11:J11"/>
    <mergeCell ref="L11:M11"/>
    <mergeCell ref="H20:J20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7"/>
  <sheetViews>
    <sheetView zoomScaleNormal="100" zoomScaleSheetLayoutView="70" zoomScalePageLayoutView="70" workbookViewId="0">
      <pane xSplit="1" ySplit="1" topLeftCell="B32" activePane="bottomRight" state="frozen"/>
      <selection pane="topRight" activeCell="B1" sqref="B1"/>
      <selection pane="bottomLeft" activeCell="A4" sqref="A4"/>
      <selection pane="bottomRight" activeCell="F39" sqref="F39"/>
    </sheetView>
  </sheetViews>
  <sheetFormatPr defaultColWidth="9.140625" defaultRowHeight="15"/>
  <cols>
    <col min="1" max="1" width="12.7109375" style="35" customWidth="1"/>
    <col min="2" max="2" width="6" style="35" customWidth="1"/>
    <col min="3" max="3" width="19" style="35" customWidth="1"/>
    <col min="4" max="4" width="12.140625" style="35" customWidth="1"/>
    <col min="5" max="5" width="12.28515625" style="35" customWidth="1"/>
    <col min="6" max="6" width="15.85546875" style="35" customWidth="1"/>
    <col min="7" max="8" width="13.7109375" style="35" customWidth="1"/>
    <col min="9" max="9" width="10.42578125" style="35" customWidth="1"/>
    <col min="10" max="10" width="9.140625" style="35" customWidth="1"/>
    <col min="11" max="12" width="9.140625" style="35"/>
    <col min="13" max="13" width="10" style="35" customWidth="1"/>
    <col min="14" max="16384" width="9.140625" style="35"/>
  </cols>
  <sheetData>
    <row r="1" spans="1:17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184</v>
      </c>
      <c r="H1" s="116" t="s">
        <v>324</v>
      </c>
      <c r="I1" s="15" t="s">
        <v>191</v>
      </c>
      <c r="J1" s="463" t="s">
        <v>240</v>
      </c>
      <c r="K1" s="463"/>
      <c r="L1" s="463"/>
      <c r="M1" s="463"/>
    </row>
    <row r="2" spans="1:17" ht="11.1" customHeight="1">
      <c r="B2" s="16">
        <f>IF(C2="","",WEEKDAY(C2,2))</f>
        <v>1</v>
      </c>
      <c r="C2" s="17">
        <v>43983</v>
      </c>
      <c r="D2" s="757"/>
      <c r="E2" s="739"/>
      <c r="F2" s="702">
        <v>564.95000000000005</v>
      </c>
      <c r="G2" s="227">
        <v>637.5</v>
      </c>
      <c r="H2" s="227"/>
      <c r="I2" s="707"/>
      <c r="J2" s="669"/>
      <c r="K2" s="463"/>
      <c r="L2" s="463"/>
      <c r="M2" s="463"/>
    </row>
    <row r="3" spans="1:17" ht="11.1" customHeight="1">
      <c r="B3" s="16">
        <f t="shared" ref="B3:B32" si="0">IF(C3="","",WEEKDAY(C3,2))</f>
        <v>2</v>
      </c>
      <c r="C3" s="17">
        <v>43984</v>
      </c>
      <c r="D3" s="757">
        <v>570.5</v>
      </c>
      <c r="E3" s="739"/>
      <c r="F3" s="731"/>
      <c r="G3" s="668">
        <v>465.85</v>
      </c>
      <c r="H3" s="668"/>
      <c r="I3" s="707"/>
      <c r="J3" s="670">
        <v>79</v>
      </c>
      <c r="K3" s="463"/>
      <c r="L3" s="463"/>
      <c r="M3" s="463"/>
    </row>
    <row r="4" spans="1:17" ht="11.1" customHeight="1">
      <c r="B4" s="16">
        <f t="shared" si="0"/>
        <v>3</v>
      </c>
      <c r="C4" s="17">
        <v>43985</v>
      </c>
      <c r="D4" s="757">
        <v>631.4</v>
      </c>
      <c r="E4" s="21"/>
      <c r="F4" s="702"/>
      <c r="G4" s="227"/>
      <c r="H4" s="227">
        <v>339.5</v>
      </c>
      <c r="I4" s="707"/>
      <c r="J4" s="670">
        <v>54.5</v>
      </c>
      <c r="K4" s="463"/>
      <c r="L4" s="463"/>
      <c r="M4" s="463"/>
    </row>
    <row r="5" spans="1:17" ht="11.1" customHeight="1">
      <c r="B5" s="16">
        <f t="shared" si="0"/>
        <v>4</v>
      </c>
      <c r="C5" s="17">
        <v>43986</v>
      </c>
      <c r="D5" s="757"/>
      <c r="E5" s="22"/>
      <c r="F5" s="702">
        <v>893.2</v>
      </c>
      <c r="G5" s="227"/>
      <c r="H5" s="227">
        <v>252.5</v>
      </c>
      <c r="I5" s="707"/>
      <c r="J5" s="669">
        <v>265.45</v>
      </c>
      <c r="K5" s="463"/>
      <c r="L5" s="463"/>
      <c r="M5" s="463"/>
    </row>
    <row r="6" spans="1:17" ht="11.1" customHeight="1">
      <c r="B6" s="16">
        <f t="shared" si="0"/>
        <v>5</v>
      </c>
      <c r="C6" s="17">
        <v>43987</v>
      </c>
      <c r="D6" s="757"/>
      <c r="E6" s="22"/>
      <c r="F6" s="702">
        <v>578.79999999999995</v>
      </c>
      <c r="G6" s="227">
        <v>551</v>
      </c>
      <c r="H6" s="227"/>
      <c r="I6" s="707"/>
      <c r="J6" s="85">
        <v>92.7</v>
      </c>
      <c r="K6" s="463"/>
      <c r="L6" s="463"/>
      <c r="M6" s="463"/>
    </row>
    <row r="7" spans="1:17" ht="11.1" customHeight="1">
      <c r="B7" s="16">
        <f t="shared" si="0"/>
        <v>6</v>
      </c>
      <c r="C7" s="17">
        <v>43988</v>
      </c>
      <c r="D7" s="757">
        <v>457.9</v>
      </c>
      <c r="E7" s="22"/>
      <c r="F7" s="226"/>
      <c r="G7" s="227">
        <v>323</v>
      </c>
      <c r="H7" s="227"/>
      <c r="I7" s="707"/>
      <c r="J7" s="85">
        <v>121.5</v>
      </c>
      <c r="K7" s="463"/>
      <c r="L7" s="463"/>
      <c r="M7" s="463"/>
    </row>
    <row r="8" spans="1:17" ht="11.1" customHeight="1">
      <c r="B8" s="16">
        <f t="shared" si="0"/>
        <v>7</v>
      </c>
      <c r="C8" s="17">
        <v>43989</v>
      </c>
      <c r="D8" s="757">
        <v>901.5</v>
      </c>
      <c r="E8" s="22"/>
      <c r="F8" s="226"/>
      <c r="G8" s="227">
        <v>401.5</v>
      </c>
      <c r="H8" s="227"/>
      <c r="I8" s="707"/>
      <c r="J8" s="85">
        <v>326.18</v>
      </c>
      <c r="K8" s="463"/>
      <c r="L8" s="463"/>
      <c r="M8" s="463"/>
    </row>
    <row r="9" spans="1:17" ht="11.1" customHeight="1">
      <c r="B9" s="16">
        <f>IF(C9="","",WEEKDAY(C9,2))</f>
        <v>1</v>
      </c>
      <c r="C9" s="17">
        <v>43990</v>
      </c>
      <c r="D9" s="757"/>
      <c r="E9" s="22">
        <v>904.15</v>
      </c>
      <c r="F9" s="226"/>
      <c r="G9" s="227"/>
      <c r="H9" s="227">
        <v>241</v>
      </c>
      <c r="I9" s="18"/>
      <c r="J9" s="726"/>
      <c r="K9" s="463"/>
      <c r="L9" s="463"/>
      <c r="M9" s="463"/>
    </row>
    <row r="10" spans="1:17" ht="11.1" customHeight="1">
      <c r="B10" s="16">
        <f t="shared" si="0"/>
        <v>2</v>
      </c>
      <c r="C10" s="17">
        <v>43991</v>
      </c>
      <c r="D10" s="757"/>
      <c r="E10" s="22">
        <v>877.86</v>
      </c>
      <c r="F10" s="226"/>
      <c r="G10" s="227"/>
      <c r="H10" s="227">
        <v>359</v>
      </c>
      <c r="I10" s="431"/>
      <c r="J10" s="726">
        <v>241.85</v>
      </c>
      <c r="K10" s="463"/>
      <c r="L10" s="463"/>
      <c r="M10" s="463"/>
    </row>
    <row r="11" spans="1:17" ht="11.1" customHeight="1">
      <c r="B11" s="16">
        <f t="shared" si="0"/>
        <v>3</v>
      </c>
      <c r="C11" s="17">
        <v>43992</v>
      </c>
      <c r="D11" s="757">
        <v>696.3</v>
      </c>
      <c r="E11" s="22"/>
      <c r="F11" s="226"/>
      <c r="G11" s="226">
        <v>359.5</v>
      </c>
      <c r="H11" s="671"/>
      <c r="I11" s="671"/>
      <c r="J11" s="726">
        <v>108</v>
      </c>
      <c r="K11" s="463"/>
      <c r="L11" s="465"/>
      <c r="M11" s="463"/>
      <c r="O11" s="86"/>
      <c r="P11" s="86"/>
      <c r="Q11" s="86"/>
    </row>
    <row r="12" spans="1:17" ht="11.1" customHeight="1">
      <c r="B12" s="16">
        <f t="shared" si="0"/>
        <v>4</v>
      </c>
      <c r="C12" s="17">
        <v>43993</v>
      </c>
      <c r="D12" s="757">
        <v>876.3</v>
      </c>
      <c r="E12" s="22"/>
      <c r="F12" s="226"/>
      <c r="G12" s="226">
        <v>342</v>
      </c>
      <c r="H12" s="226"/>
      <c r="I12" s="226"/>
      <c r="J12" s="726">
        <v>201.6</v>
      </c>
      <c r="K12" s="463"/>
      <c r="L12" s="465"/>
      <c r="M12" s="463"/>
      <c r="O12" s="86"/>
      <c r="P12" s="86"/>
      <c r="Q12" s="86"/>
    </row>
    <row r="13" spans="1:17" ht="11.1" customHeight="1">
      <c r="B13" s="16">
        <f t="shared" si="0"/>
        <v>5</v>
      </c>
      <c r="C13" s="17">
        <v>43994</v>
      </c>
      <c r="D13" s="757"/>
      <c r="E13" s="22">
        <v>790.6</v>
      </c>
      <c r="F13" s="226"/>
      <c r="G13" s="226"/>
      <c r="H13" s="226">
        <v>332.5</v>
      </c>
      <c r="I13" s="226"/>
      <c r="J13" s="726">
        <v>196.7</v>
      </c>
      <c r="K13" s="463"/>
      <c r="L13" s="465"/>
      <c r="M13" s="463"/>
      <c r="O13" s="86"/>
      <c r="P13" s="86"/>
      <c r="Q13" s="86"/>
    </row>
    <row r="14" spans="1:17" ht="11.1" customHeight="1">
      <c r="B14" s="16">
        <f t="shared" si="0"/>
        <v>6</v>
      </c>
      <c r="C14" s="17">
        <v>43995</v>
      </c>
      <c r="D14" s="757"/>
      <c r="E14" s="22">
        <v>500</v>
      </c>
      <c r="F14" s="226"/>
      <c r="G14" s="226"/>
      <c r="H14" s="226">
        <v>209.7</v>
      </c>
      <c r="I14" s="226"/>
      <c r="J14" s="726">
        <v>71.05</v>
      </c>
      <c r="K14" s="463"/>
      <c r="L14" s="465"/>
      <c r="M14" s="463"/>
      <c r="O14" s="86"/>
      <c r="P14" s="86"/>
      <c r="Q14" s="86"/>
    </row>
    <row r="15" spans="1:17" ht="11.25" customHeight="1">
      <c r="A15" s="86"/>
      <c r="B15" s="16">
        <f t="shared" si="0"/>
        <v>7</v>
      </c>
      <c r="C15" s="17">
        <v>43996</v>
      </c>
      <c r="D15" s="757">
        <v>844.35</v>
      </c>
      <c r="E15" s="22"/>
      <c r="F15" s="226"/>
      <c r="G15" s="226">
        <v>323.60000000000002</v>
      </c>
      <c r="H15" s="226"/>
      <c r="I15" s="707"/>
      <c r="J15" s="14">
        <v>112.8</v>
      </c>
      <c r="K15" s="463"/>
      <c r="L15" s="465"/>
      <c r="M15" s="463"/>
      <c r="O15" s="86"/>
      <c r="P15" s="86"/>
      <c r="Q15" s="86"/>
    </row>
    <row r="16" spans="1:17" ht="12.75" customHeight="1">
      <c r="B16" s="16">
        <f t="shared" si="0"/>
        <v>1</v>
      </c>
      <c r="C16" s="17">
        <v>43997</v>
      </c>
      <c r="D16" s="757"/>
      <c r="E16" s="754"/>
      <c r="F16" s="702">
        <v>1178.7</v>
      </c>
      <c r="G16" s="226">
        <v>790.1</v>
      </c>
      <c r="H16" s="226"/>
      <c r="I16" s="14"/>
      <c r="J16" s="726"/>
      <c r="K16" s="463"/>
      <c r="L16" s="465"/>
      <c r="M16" s="465"/>
      <c r="N16" s="86"/>
      <c r="O16" s="86"/>
      <c r="P16" s="86"/>
      <c r="Q16" s="86"/>
    </row>
    <row r="17" spans="1:17" ht="11.1" customHeight="1">
      <c r="A17" s="35" t="s">
        <v>344</v>
      </c>
      <c r="B17" s="16">
        <f t="shared" si="0"/>
        <v>2</v>
      </c>
      <c r="C17" s="17">
        <v>43998</v>
      </c>
      <c r="D17" s="757"/>
      <c r="E17" s="22">
        <v>854.25</v>
      </c>
      <c r="F17" s="226"/>
      <c r="G17" s="226">
        <v>996.6</v>
      </c>
      <c r="H17" s="226"/>
      <c r="I17" s="14"/>
      <c r="J17" s="726"/>
      <c r="K17" s="463"/>
      <c r="L17" s="465"/>
      <c r="M17" s="467"/>
      <c r="N17" s="86"/>
      <c r="O17" s="86"/>
      <c r="P17" s="86"/>
      <c r="Q17" s="86"/>
    </row>
    <row r="18" spans="1:17" ht="11.1" customHeight="1">
      <c r="B18" s="16">
        <f t="shared" si="0"/>
        <v>3</v>
      </c>
      <c r="C18" s="17">
        <v>43999</v>
      </c>
      <c r="D18" s="22"/>
      <c r="E18" s="22">
        <v>1103</v>
      </c>
      <c r="F18" s="702"/>
      <c r="G18" s="226"/>
      <c r="H18" s="226">
        <v>717</v>
      </c>
      <c r="I18" s="226"/>
      <c r="J18" s="726">
        <v>296.10000000000002</v>
      </c>
      <c r="K18" s="463"/>
      <c r="L18" s="465"/>
      <c r="M18" s="465"/>
      <c r="N18" s="86"/>
      <c r="O18" s="86"/>
      <c r="P18" s="86"/>
      <c r="Q18" s="86"/>
    </row>
    <row r="19" spans="1:17" ht="11.1" customHeight="1">
      <c r="B19" s="16">
        <f t="shared" si="0"/>
        <v>4</v>
      </c>
      <c r="C19" s="17">
        <v>44000</v>
      </c>
      <c r="D19" s="22"/>
      <c r="E19" s="739"/>
      <c r="F19" s="702">
        <v>1149.4000000000001</v>
      </c>
      <c r="G19" s="226"/>
      <c r="H19" s="226">
        <v>353.5</v>
      </c>
      <c r="I19" s="14"/>
      <c r="J19" s="726">
        <v>126.4</v>
      </c>
      <c r="K19" s="463"/>
      <c r="L19" s="465"/>
      <c r="M19" s="465"/>
      <c r="N19" s="86"/>
      <c r="O19" s="86"/>
      <c r="P19" s="86"/>
      <c r="Q19" s="86"/>
    </row>
    <row r="20" spans="1:17" s="86" customFormat="1" ht="11.1" customHeight="1">
      <c r="A20" s="474"/>
      <c r="B20" s="459">
        <f t="shared" si="0"/>
        <v>5</v>
      </c>
      <c r="C20" s="17">
        <v>44001</v>
      </c>
      <c r="D20" s="22"/>
      <c r="E20" s="22"/>
      <c r="F20" s="702">
        <v>668.2</v>
      </c>
      <c r="G20" s="226">
        <v>748.6</v>
      </c>
      <c r="H20" s="226"/>
      <c r="I20" s="22"/>
      <c r="J20" s="727">
        <v>208</v>
      </c>
      <c r="K20" s="465"/>
      <c r="L20" s="465"/>
      <c r="M20" s="465"/>
    </row>
    <row r="21" spans="1:17" s="86" customFormat="1" ht="11.1" customHeight="1">
      <c r="B21" s="459">
        <f t="shared" si="0"/>
        <v>6</v>
      </c>
      <c r="C21" s="17">
        <v>44002</v>
      </c>
      <c r="D21" s="22"/>
      <c r="E21" s="22">
        <v>456.1</v>
      </c>
      <c r="F21" s="226"/>
      <c r="G21" s="226">
        <v>453.4</v>
      </c>
      <c r="H21" s="226"/>
      <c r="I21" s="226"/>
      <c r="J21" s="727">
        <v>239.5</v>
      </c>
      <c r="K21" s="465"/>
      <c r="L21" s="465"/>
      <c r="M21" s="465"/>
    </row>
    <row r="22" spans="1:17" s="86" customFormat="1" ht="11.1" customHeight="1">
      <c r="B22" s="459">
        <f>IF(C22="","",WEEKDAY(C22,2))</f>
        <v>7</v>
      </c>
      <c r="C22" s="17">
        <v>44003</v>
      </c>
      <c r="D22" s="22"/>
      <c r="E22" s="22">
        <v>663.4</v>
      </c>
      <c r="F22" s="226"/>
      <c r="G22" s="226">
        <v>752.4</v>
      </c>
      <c r="H22" s="226"/>
      <c r="I22" s="226"/>
      <c r="J22" s="727">
        <v>145.9</v>
      </c>
      <c r="K22" s="465"/>
      <c r="L22" s="465"/>
      <c r="M22" s="465"/>
    </row>
    <row r="23" spans="1:17" s="86" customFormat="1" ht="11.1" customHeight="1">
      <c r="A23" s="1303" t="s">
        <v>339</v>
      </c>
      <c r="B23" s="459">
        <f t="shared" si="0"/>
        <v>1</v>
      </c>
      <c r="C23" s="17">
        <v>44004</v>
      </c>
      <c r="D23" s="22">
        <v>165.6</v>
      </c>
      <c r="E23" s="22"/>
      <c r="F23" s="226"/>
      <c r="G23" s="226"/>
      <c r="H23" s="226"/>
      <c r="I23" s="475"/>
      <c r="J23" s="727"/>
      <c r="K23" s="465"/>
      <c r="L23" s="465"/>
      <c r="M23" s="465"/>
    </row>
    <row r="24" spans="1:17" s="86" customFormat="1" ht="10.5" customHeight="1">
      <c r="A24" s="1303"/>
      <c r="B24" s="459">
        <f t="shared" si="0"/>
        <v>2</v>
      </c>
      <c r="C24" s="17">
        <v>44005</v>
      </c>
      <c r="D24" s="22">
        <v>2044.2</v>
      </c>
      <c r="E24" s="22"/>
      <c r="F24" s="226"/>
      <c r="G24" s="226">
        <v>571</v>
      </c>
      <c r="H24" s="226"/>
      <c r="I24" s="226"/>
      <c r="J24" s="727">
        <v>324.3</v>
      </c>
      <c r="K24" s="465"/>
      <c r="L24" s="704"/>
      <c r="M24" s="465"/>
    </row>
    <row r="25" spans="1:17" s="86" customFormat="1" ht="11.1" customHeight="1">
      <c r="B25" s="459">
        <f t="shared" si="0"/>
        <v>3</v>
      </c>
      <c r="C25" s="17">
        <v>44006</v>
      </c>
      <c r="D25" s="22"/>
      <c r="E25" s="22">
        <v>830.6</v>
      </c>
      <c r="F25" s="226"/>
      <c r="G25" s="226">
        <v>619.79999999999995</v>
      </c>
      <c r="H25" s="226"/>
      <c r="I25" s="226"/>
      <c r="J25" s="727">
        <v>131.65</v>
      </c>
      <c r="K25" s="465"/>
      <c r="L25" s="465"/>
      <c r="M25" s="476"/>
    </row>
    <row r="26" spans="1:17" s="86" customFormat="1" ht="11.1" customHeight="1">
      <c r="B26" s="459">
        <f t="shared" si="0"/>
        <v>4</v>
      </c>
      <c r="C26" s="17">
        <v>44007</v>
      </c>
      <c r="D26" s="22"/>
      <c r="E26" s="22">
        <v>767.5</v>
      </c>
      <c r="F26" s="22"/>
      <c r="G26" s="499">
        <v>794</v>
      </c>
      <c r="H26" s="499"/>
      <c r="I26" s="226"/>
      <c r="J26" s="727">
        <v>58</v>
      </c>
      <c r="K26" s="465"/>
      <c r="L26" s="465"/>
      <c r="M26" s="476"/>
    </row>
    <row r="27" spans="1:17" s="86" customFormat="1" ht="11.1" customHeight="1">
      <c r="B27" s="459">
        <f t="shared" si="0"/>
        <v>5</v>
      </c>
      <c r="C27" s="17">
        <v>44008</v>
      </c>
      <c r="D27" s="226">
        <v>532.20000000000005</v>
      </c>
      <c r="E27" s="22"/>
      <c r="F27" s="226"/>
      <c r="G27" s="226">
        <v>372.55</v>
      </c>
      <c r="H27" s="226"/>
      <c r="I27" s="226"/>
      <c r="J27" s="727">
        <v>78</v>
      </c>
      <c r="K27" s="468"/>
      <c r="L27" s="468"/>
      <c r="M27" s="468"/>
      <c r="N27" s="366"/>
      <c r="O27" s="366"/>
      <c r="P27" s="366"/>
      <c r="Q27" s="366"/>
    </row>
    <row r="28" spans="1:17" s="86" customFormat="1" ht="10.5" customHeight="1">
      <c r="A28" s="474"/>
      <c r="B28" s="459">
        <f t="shared" si="0"/>
        <v>6</v>
      </c>
      <c r="C28" s="17">
        <v>44009</v>
      </c>
      <c r="D28" s="22">
        <v>655.20000000000005</v>
      </c>
      <c r="E28" s="22"/>
      <c r="F28" s="702"/>
      <c r="G28" s="226"/>
      <c r="H28" s="226"/>
      <c r="I28" s="226">
        <v>400.5</v>
      </c>
      <c r="J28" s="727">
        <v>42.5</v>
      </c>
      <c r="K28" s="468"/>
      <c r="L28" s="468"/>
      <c r="M28" s="468"/>
      <c r="N28" s="366"/>
      <c r="O28" s="366"/>
      <c r="P28" s="366"/>
      <c r="Q28" s="366"/>
    </row>
    <row r="29" spans="1:17" s="86" customFormat="1" ht="10.5" customHeight="1">
      <c r="B29" s="459">
        <f t="shared" si="0"/>
        <v>7</v>
      </c>
      <c r="C29" s="17">
        <v>44010</v>
      </c>
      <c r="D29" s="22"/>
      <c r="E29" s="22">
        <v>651.6</v>
      </c>
      <c r="F29" s="702"/>
      <c r="G29" s="226">
        <v>419</v>
      </c>
      <c r="H29" s="226"/>
      <c r="I29" s="226"/>
      <c r="J29" s="727">
        <v>27</v>
      </c>
      <c r="K29" s="468"/>
      <c r="L29" s="466"/>
      <c r="M29" s="466"/>
      <c r="N29" s="366"/>
      <c r="O29" s="366"/>
      <c r="P29" s="366"/>
      <c r="Q29" s="366"/>
    </row>
    <row r="30" spans="1:17" s="86" customFormat="1" ht="11.1" customHeight="1">
      <c r="B30" s="459">
        <f t="shared" si="0"/>
        <v>1</v>
      </c>
      <c r="C30" s="17">
        <v>44011</v>
      </c>
      <c r="D30" s="22"/>
      <c r="E30" s="226">
        <v>573.65</v>
      </c>
      <c r="G30" s="226">
        <v>470.3</v>
      </c>
      <c r="H30" s="226"/>
      <c r="I30" s="226"/>
      <c r="J30" s="727"/>
      <c r="K30" s="466"/>
      <c r="L30" s="468"/>
      <c r="M30" s="466"/>
      <c r="N30" s="366"/>
      <c r="O30" s="366"/>
      <c r="P30" s="366"/>
      <c r="Q30" s="366"/>
    </row>
    <row r="31" spans="1:17" s="86" customFormat="1" ht="11.1" customHeight="1">
      <c r="A31" s="474"/>
      <c r="B31" s="459">
        <f t="shared" si="0"/>
        <v>2</v>
      </c>
      <c r="C31" s="17">
        <v>44012</v>
      </c>
      <c r="D31" s="22">
        <v>870.2</v>
      </c>
      <c r="E31" s="22"/>
      <c r="F31" s="226"/>
      <c r="G31" s="226">
        <v>506.7</v>
      </c>
      <c r="H31" s="226"/>
      <c r="I31" s="22"/>
      <c r="J31" s="728">
        <v>221.95</v>
      </c>
      <c r="K31" s="469"/>
      <c r="L31" s="469"/>
      <c r="M31" s="469"/>
      <c r="N31" s="366"/>
      <c r="O31" s="366"/>
      <c r="P31" s="366"/>
      <c r="Q31" s="366"/>
    </row>
    <row r="32" spans="1:17" s="86" customFormat="1" ht="14.1" customHeight="1">
      <c r="A32" s="474"/>
      <c r="B32" s="303" t="str">
        <f t="shared" si="0"/>
        <v/>
      </c>
      <c r="C32" s="17"/>
      <c r="D32" s="236"/>
      <c r="E32" s="236"/>
      <c r="F32" s="725"/>
      <c r="G32" s="305"/>
      <c r="H32" s="305"/>
      <c r="I32" s="366"/>
      <c r="J32" s="469"/>
      <c r="K32" s="469"/>
      <c r="L32" s="469"/>
      <c r="M32" s="469"/>
      <c r="N32" s="145"/>
      <c r="O32" s="366"/>
      <c r="P32" s="366"/>
      <c r="Q32" s="366"/>
    </row>
    <row r="33" spans="1:23" ht="14.1" customHeight="1" thickBot="1">
      <c r="B33" s="21"/>
      <c r="C33" s="574" t="s">
        <v>225</v>
      </c>
      <c r="D33" s="85">
        <f>COUNT(D2:D32)</f>
        <v>12</v>
      </c>
      <c r="E33" s="85">
        <f>COUNT(E2:E32)</f>
        <v>12</v>
      </c>
      <c r="F33" s="85">
        <f>COUNT(F2:F32)</f>
        <v>6</v>
      </c>
      <c r="G33" s="85">
        <f>COUNT(G2:G32)</f>
        <v>20</v>
      </c>
      <c r="H33" s="85">
        <f>COUNT(H2:H32)</f>
        <v>8</v>
      </c>
      <c r="J33" s="469"/>
      <c r="K33" s="469"/>
      <c r="L33" s="469"/>
      <c r="M33" s="469"/>
      <c r="N33" s="366"/>
      <c r="O33" s="366"/>
      <c r="P33" s="366"/>
      <c r="Q33" s="366"/>
    </row>
    <row r="34" spans="1:23" ht="14.1" customHeight="1" thickBot="1">
      <c r="B34" s="21"/>
      <c r="C34" s="85" t="s">
        <v>73</v>
      </c>
      <c r="D34" s="238">
        <f>SUM(D2:D32)+D42</f>
        <v>9616.1500000000015</v>
      </c>
      <c r="E34" s="238">
        <f>SUM(E2:E32)</f>
        <v>8972.7100000000009</v>
      </c>
      <c r="F34" s="238">
        <f>SUM(F2:F32)</f>
        <v>5033.25</v>
      </c>
      <c r="G34" s="238">
        <f>SUM(G2:G32)</f>
        <v>10898.4</v>
      </c>
      <c r="H34" s="66"/>
      <c r="I34" s="1"/>
      <c r="J34" s="253" t="s">
        <v>189</v>
      </c>
      <c r="K34" s="292" t="s">
        <v>190</v>
      </c>
      <c r="L34" s="452" t="s">
        <v>219</v>
      </c>
      <c r="M34" s="363"/>
      <c r="N34" s="366"/>
      <c r="O34" s="366"/>
      <c r="P34" s="366"/>
      <c r="Q34" s="366"/>
    </row>
    <row r="35" spans="1:23" ht="14.1" customHeight="1" thickBot="1">
      <c r="B35" s="21"/>
      <c r="C35" s="85" t="s">
        <v>22</v>
      </c>
      <c r="D35" s="238">
        <v>9022.15</v>
      </c>
      <c r="E35" s="238">
        <v>8240.4599999999991</v>
      </c>
      <c r="F35" s="238">
        <v>4610.3999999999996</v>
      </c>
      <c r="G35" s="238">
        <v>10266.9</v>
      </c>
      <c r="H35" s="66"/>
      <c r="I35" s="12"/>
      <c r="J35" s="292">
        <f>SUM(D2:F32)</f>
        <v>23251.61</v>
      </c>
      <c r="K35" s="292">
        <f>SUM(G2:H32)+370.5+I28</f>
        <v>14474.099999999999</v>
      </c>
      <c r="L35" s="453">
        <f>SUM(J2:J32)</f>
        <v>3770.63</v>
      </c>
      <c r="M35" s="363"/>
      <c r="N35" s="366"/>
      <c r="O35" s="366"/>
      <c r="P35" s="366"/>
      <c r="Q35" s="366"/>
    </row>
    <row r="36" spans="1:23" ht="14.1" customHeight="1">
      <c r="B36" s="21"/>
      <c r="C36" s="85" t="s">
        <v>5</v>
      </c>
      <c r="D36" s="88">
        <f>ABS(D34-D35)</f>
        <v>594.00000000000182</v>
      </c>
      <c r="E36" s="88">
        <f>ABS(E34-E35)</f>
        <v>732.25000000000182</v>
      </c>
      <c r="F36" s="88">
        <f>ABS(F34-F35)</f>
        <v>422.85000000000036</v>
      </c>
      <c r="G36" s="88">
        <f>ABS(G34-G35)</f>
        <v>631.5</v>
      </c>
      <c r="H36" s="68"/>
      <c r="I36" s="1"/>
      <c r="J36" s="363"/>
      <c r="K36" s="363"/>
      <c r="L36" s="363"/>
      <c r="M36" s="363"/>
      <c r="N36" s="366"/>
      <c r="O36" s="366"/>
      <c r="P36" s="366"/>
      <c r="Q36" s="366"/>
    </row>
    <row r="37" spans="1:23" ht="14.1" customHeight="1">
      <c r="B37" s="21"/>
      <c r="C37" s="700" t="s">
        <v>233</v>
      </c>
      <c r="D37" s="89">
        <f>ROUND(D36*1%,2)</f>
        <v>5.94</v>
      </c>
      <c r="E37" s="89">
        <f>ROUND(E36*1%,2)</f>
        <v>7.32</v>
      </c>
      <c r="F37" s="89">
        <f>ROUND(F36*1%,2)</f>
        <v>4.2300000000000004</v>
      </c>
      <c r="G37" s="89">
        <f>ROUND(G36*1%,2)</f>
        <v>6.32</v>
      </c>
      <c r="H37" s="70"/>
      <c r="I37" s="1"/>
      <c r="J37" s="363">
        <f>D45+E45+F45</f>
        <v>1396.67</v>
      </c>
      <c r="K37" s="363">
        <f>G45+300</f>
        <v>1074.33</v>
      </c>
      <c r="L37" s="363"/>
      <c r="M37" s="363"/>
      <c r="N37" s="366"/>
      <c r="O37" s="366"/>
      <c r="P37" s="366"/>
      <c r="Q37" s="366"/>
    </row>
    <row r="38" spans="1:23" ht="14.1" customHeight="1">
      <c r="B38" s="21"/>
      <c r="C38" s="699" t="s">
        <v>234</v>
      </c>
      <c r="D38" s="89">
        <f>ROUND(3%*D35,2)</f>
        <v>270.66000000000003</v>
      </c>
      <c r="E38" s="89">
        <f>ROUND(3%*E35,2)</f>
        <v>247.21</v>
      </c>
      <c r="F38" s="89">
        <f>ROUND(3%*F35,2)</f>
        <v>138.31</v>
      </c>
      <c r="G38" s="89">
        <f>ROUND(3%*G35,2)</f>
        <v>308.01</v>
      </c>
      <c r="H38" s="70"/>
      <c r="I38" s="1"/>
      <c r="J38" s="145"/>
      <c r="K38" s="145"/>
      <c r="L38" s="366"/>
      <c r="M38" s="363"/>
      <c r="N38" s="366"/>
      <c r="O38" s="366"/>
      <c r="P38" s="366"/>
      <c r="Q38" s="366"/>
    </row>
    <row r="39" spans="1:23" ht="14.1" customHeight="1">
      <c r="B39" s="21"/>
      <c r="C39" s="85" t="s">
        <v>7</v>
      </c>
      <c r="D39" s="87">
        <v>50</v>
      </c>
      <c r="E39" s="87">
        <v>50</v>
      </c>
      <c r="F39" s="87"/>
      <c r="G39" s="472"/>
      <c r="H39" s="690"/>
      <c r="I39" s="12"/>
      <c r="J39" s="145"/>
      <c r="K39" s="366"/>
      <c r="L39" s="366"/>
      <c r="M39" s="363"/>
      <c r="N39" s="366"/>
      <c r="O39" s="366"/>
      <c r="P39" s="366"/>
      <c r="Q39" s="366"/>
    </row>
    <row r="40" spans="1:23" ht="14.1" customHeight="1">
      <c r="B40" s="21"/>
      <c r="C40" s="85" t="s">
        <v>244</v>
      </c>
      <c r="D40" s="87">
        <f>ROUND(20*D33,2)</f>
        <v>240</v>
      </c>
      <c r="E40" s="87">
        <f>ROUND(20*E33,2)</f>
        <v>240</v>
      </c>
      <c r="F40" s="87">
        <f>ROUND(20*F33,2)</f>
        <v>120</v>
      </c>
      <c r="G40" s="88">
        <f>ROUND(23*G33,2)</f>
        <v>460</v>
      </c>
      <c r="H40" s="68"/>
      <c r="I40" s="8"/>
      <c r="J40" s="283"/>
      <c r="K40" s="145"/>
      <c r="L40" s="145"/>
      <c r="M40" s="363"/>
      <c r="N40" s="366"/>
      <c r="O40" s="366"/>
      <c r="P40" s="366"/>
      <c r="Q40" s="366"/>
    </row>
    <row r="41" spans="1:23" ht="14.1" customHeight="1">
      <c r="B41" s="31"/>
      <c r="C41" s="239"/>
      <c r="D41" s="18">
        <v>337.71</v>
      </c>
      <c r="E41" s="241"/>
      <c r="F41" s="87"/>
      <c r="G41" s="87">
        <v>257.08999999999997</v>
      </c>
      <c r="H41" s="72"/>
      <c r="J41" s="145"/>
      <c r="K41" s="366"/>
      <c r="L41" s="366"/>
      <c r="M41" s="363"/>
      <c r="N41" s="366"/>
      <c r="O41" s="366"/>
      <c r="P41" s="366"/>
      <c r="Q41" s="366"/>
    </row>
    <row r="42" spans="1:23" ht="14.1" customHeight="1">
      <c r="B42" s="21"/>
      <c r="C42" s="756"/>
      <c r="D42" s="243">
        <v>370.5</v>
      </c>
      <c r="E42" s="240">
        <v>100</v>
      </c>
      <c r="F42" s="87"/>
      <c r="G42" s="87">
        <v>300</v>
      </c>
      <c r="H42" s="72"/>
      <c r="I42" s="8"/>
      <c r="J42" s="283"/>
      <c r="K42" s="145"/>
      <c r="L42" s="366"/>
      <c r="M42" s="366"/>
      <c r="N42" s="366"/>
      <c r="O42" s="366"/>
      <c r="P42" s="366"/>
      <c r="Q42" s="366"/>
    </row>
    <row r="43" spans="1:23" ht="14.1" customHeight="1">
      <c r="B43" s="21"/>
      <c r="C43" s="756"/>
      <c r="D43" s="243">
        <v>23</v>
      </c>
      <c r="E43" s="240"/>
      <c r="F43" s="87"/>
      <c r="G43" s="87"/>
      <c r="H43" s="72"/>
      <c r="I43" s="8"/>
      <c r="J43" s="283"/>
      <c r="K43" s="145"/>
      <c r="L43" s="366"/>
      <c r="M43" s="366"/>
      <c r="N43" s="366"/>
      <c r="O43" s="366"/>
      <c r="P43" s="366"/>
      <c r="Q43" s="366"/>
    </row>
    <row r="44" spans="1:23" ht="14.1" customHeight="1">
      <c r="B44" s="21"/>
      <c r="C44" s="245" t="s">
        <v>77</v>
      </c>
      <c r="D44" s="455">
        <f>D37+D38+D39+D40-D41+D43</f>
        <v>251.89000000000004</v>
      </c>
      <c r="E44" s="455">
        <f>E37+E38+E39+E40-E41-E42</f>
        <v>444.53</v>
      </c>
      <c r="F44" s="455">
        <f>F37+F38+F40</f>
        <v>262.53999999999996</v>
      </c>
      <c r="G44" s="455">
        <f>G37+G38+G40-G41-G42</f>
        <v>217.24</v>
      </c>
      <c r="H44" s="691"/>
      <c r="I44" s="8"/>
      <c r="J44" s="145"/>
      <c r="K44" s="145"/>
      <c r="L44" s="366"/>
      <c r="M44" s="366"/>
      <c r="N44" s="366"/>
      <c r="O44" s="366"/>
      <c r="P44" s="366"/>
      <c r="Q44" s="366"/>
    </row>
    <row r="45" spans="1:23" ht="14.1" customHeight="1">
      <c r="B45" s="21"/>
      <c r="C45" s="286" t="s">
        <v>45</v>
      </c>
      <c r="D45" s="287">
        <f>D37+D38+D39+D40+D43</f>
        <v>589.6</v>
      </c>
      <c r="E45" s="287">
        <f>E37+E38+E39+E40</f>
        <v>544.53</v>
      </c>
      <c r="F45" s="287">
        <f>F37+F38+F39+F40</f>
        <v>262.53999999999996</v>
      </c>
      <c r="G45" s="287">
        <f>G37+G38+G40</f>
        <v>774.32999999999993</v>
      </c>
      <c r="H45" s="461"/>
      <c r="I45" s="8"/>
      <c r="J45" s="461">
        <f>G45+300-G41</f>
        <v>817.24</v>
      </c>
      <c r="K45" s="366"/>
      <c r="L45" s="366"/>
      <c r="M45" s="366"/>
      <c r="N45" s="366"/>
      <c r="O45" s="366"/>
      <c r="P45" s="366"/>
      <c r="Q45" s="366"/>
      <c r="R45" s="1"/>
      <c r="S45" s="1"/>
      <c r="T45" s="1"/>
      <c r="U45" s="1"/>
      <c r="V45" s="1"/>
      <c r="W45" s="1"/>
    </row>
    <row r="46" spans="1:23" ht="12.95" customHeight="1">
      <c r="B46" s="21"/>
      <c r="C46" s="169"/>
      <c r="D46" s="364"/>
      <c r="E46" s="461"/>
      <c r="F46" s="8"/>
      <c r="G46" s="8"/>
      <c r="H46" s="8"/>
      <c r="I46" s="8"/>
      <c r="J46" s="283"/>
      <c r="K46" s="366"/>
      <c r="L46" s="366"/>
      <c r="M46" s="366"/>
      <c r="N46" s="366"/>
      <c r="O46" s="366"/>
      <c r="P46" s="366"/>
      <c r="Q46" s="366"/>
      <c r="R46" s="1"/>
      <c r="S46" s="1"/>
      <c r="T46" s="1"/>
      <c r="U46" s="1"/>
      <c r="V46" s="1"/>
      <c r="W46" s="1"/>
    </row>
    <row r="47" spans="1:23" ht="12.95" customHeight="1">
      <c r="A47" s="8"/>
      <c r="B47" s="31"/>
      <c r="C47" s="1195" t="s">
        <v>323</v>
      </c>
      <c r="D47" s="1195"/>
      <c r="E47" s="1195"/>
      <c r="F47" s="1195"/>
      <c r="G47" s="1195"/>
      <c r="H47" s="713"/>
      <c r="I47" s="8"/>
      <c r="J47" s="68"/>
      <c r="K47" s="145"/>
      <c r="L47" s="366"/>
      <c r="M47" s="366"/>
      <c r="N47" s="145"/>
      <c r="O47" s="366"/>
      <c r="P47" s="366"/>
      <c r="Q47" s="366"/>
      <c r="R47" s="1"/>
      <c r="S47" s="1"/>
      <c r="T47" s="1"/>
      <c r="U47" s="1"/>
      <c r="V47" s="1"/>
      <c r="W47" s="1"/>
    </row>
    <row r="48" spans="1:23" ht="12.95" customHeight="1">
      <c r="A48" s="8"/>
      <c r="B48" s="31"/>
      <c r="C48" s="1" t="s">
        <v>333</v>
      </c>
      <c r="D48" s="12"/>
      <c r="E48" s="12"/>
      <c r="F48" s="8"/>
      <c r="G48" s="8"/>
      <c r="H48" s="8"/>
      <c r="I48" s="8"/>
      <c r="J48" s="72"/>
      <c r="K48" s="366"/>
      <c r="L48" s="366"/>
      <c r="M48" s="366"/>
      <c r="N48" s="145"/>
      <c r="O48" s="366"/>
      <c r="P48" s="366"/>
      <c r="Q48" s="366"/>
      <c r="R48" s="1"/>
      <c r="S48" s="1"/>
      <c r="T48" s="1"/>
      <c r="U48" s="1"/>
      <c r="V48" s="1"/>
      <c r="W48" s="1"/>
    </row>
    <row r="49" spans="1:23" ht="12.95" customHeight="1">
      <c r="B49" s="32"/>
      <c r="C49" s="1"/>
      <c r="D49" s="1"/>
      <c r="E49" s="127"/>
      <c r="G49" s="8"/>
      <c r="H49" s="8"/>
      <c r="I49" s="207"/>
      <c r="J49" s="68"/>
      <c r="K49" s="366"/>
      <c r="L49" s="366"/>
      <c r="M49" s="366"/>
      <c r="N49" s="366"/>
      <c r="O49" s="366"/>
      <c r="P49" s="366"/>
      <c r="Q49" s="366"/>
      <c r="R49" s="1"/>
      <c r="S49" s="1"/>
      <c r="T49" s="1"/>
      <c r="U49" s="1"/>
      <c r="V49" s="1"/>
      <c r="W49" s="1"/>
    </row>
    <row r="50" spans="1:23" s="86" customFormat="1" ht="12.95" customHeight="1">
      <c r="B50" s="501"/>
      <c r="C50" s="502"/>
      <c r="D50" s="502"/>
      <c r="E50" s="502"/>
      <c r="F50" s="502"/>
      <c r="G50" s="502"/>
      <c r="H50" s="502"/>
      <c r="I50" s="503"/>
      <c r="J50" s="710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</row>
    <row r="51" spans="1:23" s="86" customFormat="1" ht="12.95" customHeight="1">
      <c r="C51" s="502"/>
      <c r="D51" s="502"/>
      <c r="E51" s="524"/>
      <c r="F51" s="524"/>
      <c r="G51" s="502"/>
      <c r="H51" s="502"/>
      <c r="I51" s="168"/>
      <c r="J51" s="525"/>
      <c r="K51" s="502"/>
      <c r="L51" s="502"/>
      <c r="M51" s="366"/>
      <c r="N51" s="366"/>
      <c r="O51" s="366"/>
      <c r="P51" s="366"/>
      <c r="Q51" s="366"/>
      <c r="R51" s="366"/>
      <c r="S51" s="366"/>
      <c r="T51" s="366"/>
      <c r="U51" s="366"/>
      <c r="V51" s="366"/>
      <c r="W51" s="366"/>
    </row>
    <row r="52" spans="1:23" s="86" customFormat="1" ht="12" customHeight="1">
      <c r="A52" s="366"/>
      <c r="B52" s="366"/>
      <c r="C52" s="502"/>
      <c r="D52" s="502"/>
      <c r="E52" s="524"/>
      <c r="F52" s="524"/>
      <c r="G52" s="502"/>
      <c r="H52" s="502"/>
      <c r="I52" s="503"/>
      <c r="J52" s="502"/>
      <c r="K52" s="502"/>
      <c r="L52" s="502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6"/>
    </row>
    <row r="53" spans="1:23" s="86" customFormat="1" ht="18.75">
      <c r="A53" s="366"/>
      <c r="B53" s="366"/>
      <c r="C53" s="366"/>
      <c r="D53" s="366"/>
      <c r="E53" s="144"/>
      <c r="I53" s="503"/>
      <c r="J53" s="502"/>
      <c r="K53" s="502"/>
      <c r="L53" s="502"/>
      <c r="M53" s="366"/>
      <c r="N53" s="366"/>
      <c r="O53" s="366"/>
      <c r="P53" s="366"/>
      <c r="Q53" s="366"/>
      <c r="R53" s="366"/>
      <c r="S53" s="366"/>
      <c r="T53" s="366"/>
      <c r="U53" s="366"/>
      <c r="V53" s="366"/>
      <c r="W53" s="366"/>
    </row>
    <row r="54" spans="1:23" s="86" customFormat="1">
      <c r="A54" s="366"/>
      <c r="B54" s="366"/>
      <c r="C54" s="366"/>
      <c r="D54" s="366"/>
      <c r="E54" s="144"/>
      <c r="J54" s="143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</row>
    <row r="55" spans="1:23" s="86" customFormat="1" ht="15" customHeight="1">
      <c r="A55" s="366"/>
      <c r="B55" s="366"/>
      <c r="C55" s="366"/>
      <c r="D55" s="366"/>
      <c r="E55" s="144"/>
      <c r="I55" s="524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</row>
    <row r="56" spans="1:23" s="86" customFormat="1" ht="15" customHeight="1">
      <c r="A56" s="366"/>
      <c r="B56" s="366"/>
      <c r="C56" s="366"/>
      <c r="D56" s="366"/>
      <c r="E56" s="144"/>
      <c r="I56" s="524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</row>
    <row r="57" spans="1:23" s="86" customFormat="1" ht="15" customHeight="1">
      <c r="A57" s="366"/>
      <c r="B57" s="366"/>
      <c r="C57" s="366"/>
      <c r="D57" s="366"/>
      <c r="E57" s="144"/>
      <c r="I57" s="524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</row>
    <row r="58" spans="1:23" s="86" customFormat="1">
      <c r="A58" s="366"/>
      <c r="B58" s="366"/>
      <c r="C58" s="366"/>
      <c r="D58" s="366"/>
      <c r="E58" s="144"/>
      <c r="I58" s="168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</row>
    <row r="59" spans="1:23" s="86" customFormat="1">
      <c r="A59" s="366"/>
      <c r="B59" s="366"/>
      <c r="C59" s="366"/>
      <c r="D59" s="366"/>
      <c r="E59" s="144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  <c r="W59" s="366"/>
    </row>
    <row r="60" spans="1:23" s="86" customFormat="1">
      <c r="A60" s="366"/>
      <c r="B60" s="366"/>
      <c r="C60" s="366"/>
      <c r="D60" s="366"/>
      <c r="E60" s="144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  <c r="W60" s="366"/>
    </row>
    <row r="61" spans="1:23" s="86" customFormat="1">
      <c r="A61" s="366"/>
      <c r="B61" s="366"/>
      <c r="C61" s="366"/>
      <c r="D61" s="366"/>
      <c r="E61" s="144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  <c r="W61" s="366"/>
    </row>
    <row r="62" spans="1:23" s="86" customFormat="1">
      <c r="A62" s="366"/>
      <c r="B62" s="366"/>
      <c r="C62" s="366"/>
      <c r="D62" s="366"/>
      <c r="E62" s="144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</row>
    <row r="63" spans="1:23">
      <c r="A63" s="1"/>
      <c r="B63" s="1"/>
      <c r="C63" s="1"/>
      <c r="D63" s="1"/>
      <c r="E63" s="1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1"/>
      <c r="D67" s="1"/>
      <c r="E67" s="11"/>
    </row>
    <row r="68" spans="1:23">
      <c r="A68" s="1"/>
      <c r="B68" s="1"/>
      <c r="C68" s="1"/>
      <c r="D68" s="1"/>
      <c r="E68" s="11"/>
    </row>
    <row r="69" spans="1:23">
      <c r="A69" s="1"/>
      <c r="B69" s="1"/>
      <c r="C69" s="1"/>
      <c r="D69" s="1"/>
      <c r="E69" s="11"/>
    </row>
    <row r="70" spans="1:23">
      <c r="A70" s="1"/>
      <c r="B70" s="1"/>
      <c r="C70" s="1"/>
      <c r="D70" s="1"/>
      <c r="E70" s="11"/>
    </row>
    <row r="71" spans="1:23">
      <c r="A71" s="1"/>
      <c r="B71" s="1"/>
      <c r="C71" s="1"/>
      <c r="D71" s="1"/>
      <c r="E71" s="11"/>
    </row>
    <row r="72" spans="1:23">
      <c r="A72" s="1"/>
      <c r="B72" s="1"/>
      <c r="C72" s="1"/>
      <c r="D72" s="1"/>
      <c r="E72" s="11"/>
    </row>
    <row r="73" spans="1:23">
      <c r="A73" s="1"/>
      <c r="B73" s="1"/>
      <c r="C73" s="1"/>
      <c r="D73" s="1"/>
      <c r="E73" s="11"/>
    </row>
    <row r="74" spans="1:23">
      <c r="A74" s="1"/>
      <c r="B74" s="1"/>
      <c r="C74" s="1"/>
      <c r="D74" s="1"/>
      <c r="E74" s="11"/>
    </row>
    <row r="75" spans="1:23">
      <c r="A75" s="1"/>
      <c r="B75" s="1"/>
      <c r="C75" s="1"/>
      <c r="D75" s="1"/>
      <c r="E75" s="11"/>
    </row>
    <row r="76" spans="1:23">
      <c r="A76" s="1"/>
      <c r="B76" s="1"/>
      <c r="C76" s="1"/>
      <c r="D76" s="1"/>
      <c r="E76" s="11"/>
    </row>
    <row r="77" spans="1:23">
      <c r="A77" s="1"/>
      <c r="B77" s="1"/>
      <c r="C77" s="1"/>
      <c r="D77" s="1"/>
      <c r="E77" s="11"/>
    </row>
    <row r="78" spans="1:23">
      <c r="A78" s="1"/>
      <c r="B78" s="1"/>
      <c r="C78" s="1"/>
      <c r="D78" s="1"/>
      <c r="E78" s="11"/>
    </row>
    <row r="79" spans="1:23">
      <c r="A79" s="1"/>
      <c r="B79" s="1"/>
      <c r="C79" s="1"/>
      <c r="D79" s="1"/>
      <c r="E79" s="11"/>
    </row>
    <row r="80" spans="1:23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A93" s="1"/>
      <c r="B93" s="1"/>
      <c r="E93" s="2"/>
    </row>
    <row r="94" spans="1:5">
      <c r="B94" s="1"/>
      <c r="E94" s="2"/>
    </row>
    <row r="95" spans="1:5">
      <c r="B95" s="1"/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mergeCells count="2">
    <mergeCell ref="C47:G47"/>
    <mergeCell ref="A23:A24"/>
  </mergeCells>
  <conditionalFormatting sqref="F32:H32 B2:H2 F4:H4 D4 D26:F26 D5:H15 D29:H29 D31:H31 G30:H30 D30:E30 D3:H3 D17:H25 F16:H16 D16 B3:C32 D28:F28 E27:F27">
    <cfRule type="expression" dxfId="49" priority="1">
      <formula>$B2=7</formula>
    </cfRule>
    <cfRule type="expression" dxfId="48" priority="2">
      <formula>$B2=6</formula>
    </cfRule>
  </conditionalFormatting>
  <pageMargins left="0.7" right="0.7" top="0.75" bottom="0.75" header="0.3" footer="0.3"/>
  <pageSetup paperSize="11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2"/>
  <sheetViews>
    <sheetView zoomScale="70" zoomScaleNormal="70" zoomScaleSheetLayoutView="70" zoomScalePageLayoutView="70" workbookViewId="0">
      <selection activeCell="B69" sqref="B69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348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764"/>
      <c r="O2" s="765"/>
      <c r="P2" s="765"/>
      <c r="Q2" s="765"/>
      <c r="R2" s="366"/>
      <c r="S2" s="765"/>
      <c r="T2" s="765"/>
      <c r="U2" s="765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764"/>
      <c r="O3" s="366"/>
      <c r="P3" s="366"/>
      <c r="Q3" s="366"/>
      <c r="R3" s="366"/>
      <c r="S3" s="366"/>
      <c r="T3" s="366"/>
      <c r="U3" s="366"/>
      <c r="V3" s="765"/>
      <c r="W3" s="765"/>
      <c r="X3" s="366"/>
      <c r="Y3" s="765"/>
      <c r="Z3" s="629"/>
      <c r="AA3" s="366"/>
      <c r="AB3" s="366"/>
      <c r="AC3" s="366"/>
      <c r="AD3" s="765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758" t="s">
        <v>34</v>
      </c>
      <c r="C4" s="36" t="s">
        <v>35</v>
      </c>
      <c r="D4" s="36" t="s">
        <v>38</v>
      </c>
      <c r="E4" s="36" t="s">
        <v>42</v>
      </c>
      <c r="F4" s="758" t="s">
        <v>36</v>
      </c>
      <c r="G4" s="100" t="s">
        <v>173</v>
      </c>
      <c r="H4" s="676" t="s">
        <v>2</v>
      </c>
      <c r="I4" s="1285" t="s">
        <v>34</v>
      </c>
      <c r="J4" s="1285"/>
      <c r="K4" s="767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>
        <v>44025</v>
      </c>
      <c r="B5" s="161" t="s">
        <v>334</v>
      </c>
      <c r="C5" s="275">
        <v>276.57</v>
      </c>
      <c r="D5" s="275">
        <v>276.57</v>
      </c>
      <c r="E5" s="542" t="str">
        <f t="shared" ref="E5" si="0">IF(C5-D5=0,"",C5-D5)</f>
        <v/>
      </c>
      <c r="F5" s="162" t="str">
        <f t="shared" ref="F5" si="1">IF(C5=0,"",IF(C5-D5=0,"оплачено","ОЖИДАЕТСЯ оплата"))</f>
        <v>оплачено</v>
      </c>
      <c r="G5" s="161"/>
      <c r="H5" s="678"/>
      <c r="I5" s="1288" t="s">
        <v>98</v>
      </c>
      <c r="J5" s="1289"/>
      <c r="K5" s="480">
        <f>183.15+216</f>
        <v>399.15</v>
      </c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>
        <v>44034</v>
      </c>
      <c r="B6" s="880" t="s">
        <v>362</v>
      </c>
      <c r="C6" s="275">
        <v>87.84</v>
      </c>
      <c r="D6" s="275">
        <v>87.84</v>
      </c>
      <c r="E6" s="542" t="str">
        <f t="shared" ref="E6:E19" si="2">IF(C6-D6=0,"",C6-D6)</f>
        <v/>
      </c>
      <c r="F6" s="162" t="str">
        <f t="shared" ref="F6:F19" si="3">IF(C6=0,"",IF(C6-D6=0,"оплачено","ОЖИДАЕТСЯ оплата"))</f>
        <v>оплачено</v>
      </c>
      <c r="G6" s="161"/>
      <c r="H6" s="678"/>
      <c r="I6" s="1288" t="s">
        <v>98</v>
      </c>
      <c r="J6" s="1289"/>
      <c r="K6" s="480">
        <v>322</v>
      </c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 t="s">
        <v>219</v>
      </c>
      <c r="B7" s="161" t="s">
        <v>257</v>
      </c>
      <c r="C7" s="275">
        <v>286.57</v>
      </c>
      <c r="D7" s="275">
        <v>286.57</v>
      </c>
      <c r="E7" s="542" t="str">
        <f t="shared" si="2"/>
        <v/>
      </c>
      <c r="F7" s="162" t="str">
        <f t="shared" si="3"/>
        <v>оплачено</v>
      </c>
      <c r="G7" s="161" t="s">
        <v>363</v>
      </c>
      <c r="H7" s="678"/>
      <c r="I7" s="1288" t="s">
        <v>360</v>
      </c>
      <c r="J7" s="1289"/>
      <c r="K7" s="480">
        <v>177</v>
      </c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 t="s">
        <v>219</v>
      </c>
      <c r="B8" s="161" t="s">
        <v>205</v>
      </c>
      <c r="C8" s="275">
        <v>19.48</v>
      </c>
      <c r="D8" s="275">
        <v>19.48</v>
      </c>
      <c r="E8" s="542" t="str">
        <f t="shared" si="2"/>
        <v/>
      </c>
      <c r="F8" s="162" t="str">
        <f t="shared" si="3"/>
        <v>оплачено</v>
      </c>
      <c r="G8" s="161" t="s">
        <v>363</v>
      </c>
      <c r="H8" s="678"/>
      <c r="I8" s="1288" t="s">
        <v>361</v>
      </c>
      <c r="J8" s="1289"/>
      <c r="K8" s="480">
        <v>132</v>
      </c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44029</v>
      </c>
      <c r="B9" s="161" t="s">
        <v>366</v>
      </c>
      <c r="C9" s="275">
        <v>246.75</v>
      </c>
      <c r="D9" s="275">
        <v>246.75</v>
      </c>
      <c r="E9" s="542" t="str">
        <f t="shared" si="2"/>
        <v/>
      </c>
      <c r="F9" s="162" t="str">
        <f t="shared" si="3"/>
        <v>оплачено</v>
      </c>
      <c r="G9" s="161"/>
      <c r="H9" s="678"/>
      <c r="I9" s="1288"/>
      <c r="J9" s="1289"/>
      <c r="K9" s="480"/>
      <c r="L9" s="1290"/>
      <c r="M9" s="1291"/>
      <c r="N9" s="766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ht="18.75" customHeight="1">
      <c r="A10" s="325"/>
      <c r="B10" s="161"/>
      <c r="C10" s="275"/>
      <c r="D10" s="275"/>
      <c r="E10" s="542" t="str">
        <f t="shared" si="2"/>
        <v/>
      </c>
      <c r="F10" s="162" t="str">
        <f t="shared" si="3"/>
        <v/>
      </c>
      <c r="G10" s="161"/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5.75" customHeight="1">
      <c r="A11" s="325"/>
      <c r="B11" s="161"/>
      <c r="C11" s="275"/>
      <c r="D11" s="275"/>
      <c r="E11" s="542" t="str">
        <f t="shared" si="2"/>
        <v/>
      </c>
      <c r="F11" s="162" t="str">
        <f t="shared" si="3"/>
        <v/>
      </c>
      <c r="G11" s="161"/>
      <c r="H11" s="678"/>
      <c r="I11" s="1288"/>
      <c r="J11" s="1289"/>
      <c r="K11" s="480"/>
      <c r="L11" s="1191"/>
      <c r="M11" s="1292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4.25" customHeight="1">
      <c r="A12" s="325"/>
      <c r="B12" s="161"/>
      <c r="C12" s="275"/>
      <c r="D12" s="275"/>
      <c r="E12" s="542" t="str">
        <f t="shared" si="2"/>
        <v/>
      </c>
      <c r="F12" s="162" t="str">
        <f t="shared" si="3"/>
        <v/>
      </c>
      <c r="G12" s="161"/>
      <c r="H12" s="678"/>
      <c r="I12" s="1288"/>
      <c r="J12" s="1289"/>
      <c r="K12" s="480"/>
      <c r="L12" s="1191"/>
      <c r="M12" s="1292"/>
      <c r="N12" s="766"/>
      <c r="O12" s="447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 ht="17.25" customHeight="1">
      <c r="A13" s="325"/>
      <c r="B13" s="161"/>
      <c r="C13" s="275"/>
      <c r="D13" s="275"/>
      <c r="E13" s="542" t="str">
        <f t="shared" si="2"/>
        <v/>
      </c>
      <c r="F13" s="162" t="str">
        <f t="shared" si="3"/>
        <v/>
      </c>
      <c r="G13" s="161"/>
      <c r="H13" s="678"/>
      <c r="I13" s="1288"/>
      <c r="J13" s="1289"/>
      <c r="K13" s="480"/>
      <c r="L13" s="1191"/>
      <c r="M13" s="1292"/>
      <c r="N13" s="766"/>
      <c r="O13" s="447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2"/>
        <v/>
      </c>
      <c r="F14" s="162" t="str">
        <f t="shared" si="3"/>
        <v/>
      </c>
      <c r="G14" s="162"/>
      <c r="H14" s="678"/>
      <c r="I14" s="1288"/>
      <c r="J14" s="1289"/>
      <c r="K14" s="480"/>
      <c r="L14" s="1191"/>
      <c r="M14" s="1292"/>
      <c r="N14" s="766"/>
      <c r="O14" s="447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2"/>
        <v/>
      </c>
      <c r="F15" s="162" t="str">
        <f t="shared" si="3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2"/>
        <v/>
      </c>
      <c r="F16" s="162" t="str">
        <f t="shared" si="3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2"/>
        <v/>
      </c>
      <c r="F17" s="162" t="str">
        <f t="shared" si="3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2"/>
        <v/>
      </c>
      <c r="F18" s="162" t="str">
        <f t="shared" si="3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2"/>
        <v/>
      </c>
      <c r="F19" s="162" t="str">
        <f t="shared" si="3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917.21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1030.1500000000001</v>
      </c>
      <c r="L20" s="1298"/>
      <c r="M20" s="1299"/>
      <c r="N20" s="1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763" t="s">
        <v>21</v>
      </c>
      <c r="K22" s="763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4">M23-I24-J24-K24+L24</f>
        <v>112611.87000000001</v>
      </c>
      <c r="N24" s="1"/>
      <c r="O24" s="447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4"/>
        <v>98984.920000000013</v>
      </c>
      <c r="N25" s="1"/>
      <c r="O25" s="189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4"/>
        <v>91825.650000000009</v>
      </c>
      <c r="N26" s="1"/>
      <c r="O26" s="448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4"/>
        <v>89703.38</v>
      </c>
      <c r="N27" s="1"/>
      <c r="O27" s="448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4"/>
        <v>94325.650000000009</v>
      </c>
      <c r="N28" s="1"/>
      <c r="O28" s="12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4"/>
        <v>86003.19</v>
      </c>
      <c r="N29" s="1"/>
      <c r="O29" s="12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12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>M30-I31-J31-K31+L31</f>
        <v>75409.000000000015</v>
      </c>
      <c r="N31" s="1"/>
      <c r="O31" s="12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>M31-I32-J32-K32+L32</f>
        <v>68068.100000000006</v>
      </c>
      <c r="N32" s="1"/>
      <c r="O32" s="12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 thickBot="1">
      <c r="A33" s="339"/>
      <c r="B33" s="199"/>
      <c r="C33" s="1"/>
      <c r="D33" s="273"/>
      <c r="E33" s="366"/>
      <c r="F33" s="366"/>
      <c r="G33" s="366"/>
      <c r="H33" s="608" t="s">
        <v>19</v>
      </c>
      <c r="I33" s="622">
        <v>30633.54</v>
      </c>
      <c r="J33" s="610">
        <f>683.5+334+464+170+683+481.8+6+10.7+13.8+41+118+117+465+44+368+1461+19</f>
        <v>5479.8</v>
      </c>
      <c r="K33" s="611">
        <f>689.7-8.2+443.53+123.5</f>
        <v>1248.53</v>
      </c>
      <c r="L33" s="611">
        <f>3415+3104+1150+110+686+349+240+4147+832+143+14+35+229.3+405+795+50+78+216+90+880+333+402+165+132+723.5+865+389+1295+4036+112+5+243+1450+2280+195+374.5+2153+1258+713+1432.5+210+160+1560+35+657+272</f>
        <v>38418.800000000003</v>
      </c>
      <c r="M33" s="104">
        <f>M32-I33-J33-K33+L33</f>
        <v>69125.030000000013</v>
      </c>
      <c r="N33" s="1"/>
      <c r="O33" s="127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 thickTop="1">
      <c r="A34" s="339"/>
      <c r="B34" s="199"/>
      <c r="C34" s="1"/>
      <c r="D34" s="273"/>
      <c r="E34" s="84"/>
      <c r="F34" s="366"/>
      <c r="G34" s="366"/>
      <c r="H34" s="1148" t="s">
        <v>36</v>
      </c>
      <c r="I34" s="1150" t="s">
        <v>178</v>
      </c>
      <c r="J34" s="1151"/>
      <c r="K34" s="1152"/>
      <c r="L34" s="1156" t="s">
        <v>159</v>
      </c>
      <c r="M34" s="1156"/>
      <c r="N34" s="747" t="s">
        <v>341</v>
      </c>
      <c r="O34" s="127"/>
      <c r="P34" s="84"/>
      <c r="Q34" s="145"/>
      <c r="R34" s="145"/>
      <c r="S34" s="86"/>
      <c r="T34" s="86"/>
      <c r="U34" s="86"/>
      <c r="V34" s="86"/>
      <c r="W34" s="86"/>
      <c r="X34" s="86"/>
      <c r="Y34" s="366"/>
      <c r="Z34" s="366"/>
    </row>
    <row r="35" spans="1:26" ht="13.5" customHeight="1">
      <c r="A35" s="339"/>
      <c r="B35" s="199"/>
      <c r="C35" s="284"/>
      <c r="D35" s="273"/>
      <c r="E35" s="284"/>
      <c r="F35" s="366"/>
      <c r="G35" s="378"/>
      <c r="H35" s="1149"/>
      <c r="I35" s="1153"/>
      <c r="J35" s="1154"/>
      <c r="K35" s="1155"/>
      <c r="L35" s="1158"/>
      <c r="M35" s="1158"/>
      <c r="N35" s="748" t="s">
        <v>189</v>
      </c>
      <c r="O35" s="127"/>
      <c r="P35" s="84"/>
      <c r="Q35" s="145"/>
      <c r="R35" s="84"/>
      <c r="S35" s="86"/>
      <c r="T35" s="86"/>
      <c r="U35" s="86"/>
      <c r="V35" s="294"/>
      <c r="W35" s="86"/>
      <c r="X35" s="86"/>
      <c r="Y35" s="366"/>
      <c r="Z35" s="366"/>
    </row>
    <row r="36" spans="1:26" ht="15.75" customHeight="1">
      <c r="A36" s="339"/>
      <c r="B36" s="199"/>
      <c r="C36" s="199"/>
      <c r="D36" s="273"/>
      <c r="E36" s="199"/>
      <c r="F36" s="366"/>
      <c r="G36" s="378"/>
      <c r="H36" s="512" t="s">
        <v>250</v>
      </c>
      <c r="I36" s="1278" t="s">
        <v>47</v>
      </c>
      <c r="J36" s="1278"/>
      <c r="K36" s="877">
        <v>328.13</v>
      </c>
      <c r="L36" s="282">
        <v>44027</v>
      </c>
      <c r="M36" s="1" t="s">
        <v>41</v>
      </c>
      <c r="N36" s="749">
        <v>132</v>
      </c>
      <c r="O36" s="127"/>
      <c r="P36" s="84"/>
      <c r="Q36" s="145"/>
      <c r="R36" s="84"/>
      <c r="S36" s="86"/>
      <c r="T36" s="86"/>
      <c r="U36" s="86"/>
      <c r="V36" s="294"/>
      <c r="W36" s="86"/>
      <c r="X36" s="86"/>
      <c r="Y36" s="366"/>
      <c r="Z36" s="366"/>
    </row>
    <row r="37" spans="1:26">
      <c r="A37" s="339"/>
      <c r="B37" s="366"/>
      <c r="C37" s="274"/>
      <c r="D37" s="273"/>
      <c r="E37" s="274"/>
      <c r="F37" s="366"/>
      <c r="G37" s="366"/>
      <c r="H37" s="512" t="s">
        <v>250</v>
      </c>
      <c r="I37" s="1262" t="s">
        <v>51</v>
      </c>
      <c r="J37" s="1262"/>
      <c r="K37" s="876">
        <v>71.83</v>
      </c>
      <c r="L37" s="282">
        <v>44027</v>
      </c>
      <c r="M37" s="1" t="s">
        <v>41</v>
      </c>
      <c r="N37" s="750">
        <v>40</v>
      </c>
      <c r="O37" s="127"/>
      <c r="P37" s="84"/>
      <c r="Q37" s="145"/>
      <c r="R37" s="273"/>
      <c r="S37" s="366"/>
      <c r="T37" s="86"/>
      <c r="U37" s="86"/>
      <c r="V37" s="294"/>
      <c r="W37" s="294"/>
      <c r="X37" s="294"/>
      <c r="Y37" s="366"/>
    </row>
    <row r="38" spans="1:26">
      <c r="A38" s="340"/>
      <c r="B38" s="366"/>
      <c r="C38" s="366"/>
      <c r="D38" s="273"/>
      <c r="E38" s="199"/>
      <c r="F38" s="366"/>
      <c r="G38" s="366"/>
      <c r="H38" s="512" t="s">
        <v>250</v>
      </c>
      <c r="I38" s="1262" t="s">
        <v>52</v>
      </c>
      <c r="J38" s="1262"/>
      <c r="K38" s="876">
        <v>5.63</v>
      </c>
      <c r="L38" s="282">
        <v>44027</v>
      </c>
      <c r="M38" s="1" t="s">
        <v>41</v>
      </c>
      <c r="N38" s="750">
        <v>3</v>
      </c>
      <c r="O38" s="127"/>
      <c r="P38" s="84"/>
      <c r="Q38" s="145"/>
      <c r="R38" s="273"/>
      <c r="S38" s="366"/>
      <c r="T38" s="294"/>
      <c r="U38" s="86"/>
      <c r="V38" s="366"/>
      <c r="W38" s="294"/>
      <c r="X38" s="294"/>
      <c r="Y38" s="366"/>
    </row>
    <row r="39" spans="1:26">
      <c r="A39" s="340"/>
      <c r="B39" s="366"/>
      <c r="C39" s="366"/>
      <c r="D39" s="273"/>
      <c r="E39" s="366"/>
      <c r="F39" s="366"/>
      <c r="G39" s="366"/>
      <c r="H39" s="743" t="s">
        <v>335</v>
      </c>
      <c r="I39" s="1262" t="s">
        <v>49</v>
      </c>
      <c r="J39" s="1262"/>
      <c r="K39" s="876">
        <v>314</v>
      </c>
      <c r="L39" s="744" t="s">
        <v>338</v>
      </c>
      <c r="M39" s="1" t="s">
        <v>351</v>
      </c>
      <c r="N39" s="749">
        <v>200</v>
      </c>
      <c r="O39" s="127"/>
      <c r="P39" s="721"/>
      <c r="Q39" s="366"/>
      <c r="R39" s="765"/>
      <c r="S39" s="366"/>
      <c r="T39" s="294"/>
      <c r="U39" s="86"/>
      <c r="V39" s="294"/>
      <c r="W39" s="294"/>
      <c r="X39" s="294"/>
      <c r="Y39" s="366"/>
    </row>
    <row r="40" spans="1:26">
      <c r="A40" s="340"/>
      <c r="B40" s="366"/>
      <c r="C40" s="366"/>
      <c r="D40" s="273"/>
      <c r="E40" s="366"/>
      <c r="F40" s="366"/>
      <c r="G40" s="366"/>
      <c r="H40" s="512" t="s">
        <v>250</v>
      </c>
      <c r="I40" s="1263" t="s">
        <v>59</v>
      </c>
      <c r="J40" s="1263"/>
      <c r="K40" s="878">
        <v>189.83</v>
      </c>
      <c r="L40" s="302" t="s">
        <v>177</v>
      </c>
      <c r="M40" s="1" t="s">
        <v>41</v>
      </c>
      <c r="N40" s="751">
        <v>102.73</v>
      </c>
      <c r="O40" s="127"/>
      <c r="P40" s="646"/>
      <c r="Q40" s="366"/>
      <c r="R40" s="765"/>
      <c r="S40" s="366"/>
      <c r="T40" s="294"/>
      <c r="U40" s="86"/>
      <c r="V40" s="294"/>
      <c r="W40" s="366"/>
      <c r="X40" s="366"/>
      <c r="Y40" s="366"/>
    </row>
    <row r="41" spans="1:26">
      <c r="A41" s="340"/>
      <c r="B41" s="199"/>
      <c r="C41" s="199"/>
      <c r="D41" s="273"/>
      <c r="E41" s="199"/>
      <c r="F41" s="366"/>
      <c r="G41" s="366"/>
      <c r="H41" s="512" t="s">
        <v>250</v>
      </c>
      <c r="I41" s="1264" t="s">
        <v>68</v>
      </c>
      <c r="J41" s="1265"/>
      <c r="K41" s="876">
        <v>247.69</v>
      </c>
      <c r="L41" s="282">
        <v>44032</v>
      </c>
      <c r="M41" s="1" t="s">
        <v>41</v>
      </c>
      <c r="N41" s="751">
        <f>K41/2</f>
        <v>123.845</v>
      </c>
      <c r="O41" s="127"/>
      <c r="P41" s="643"/>
      <c r="Q41" s="765"/>
      <c r="R41" s="765"/>
      <c r="S41" s="366"/>
      <c r="T41" s="366"/>
      <c r="U41" s="294"/>
      <c r="V41" s="294"/>
      <c r="W41" s="294"/>
      <c r="X41" s="294"/>
      <c r="Y41" s="366"/>
    </row>
    <row r="42" spans="1:26">
      <c r="A42" s="340"/>
      <c r="B42" s="199"/>
      <c r="C42" s="366"/>
      <c r="D42" s="273"/>
      <c r="E42" s="199"/>
      <c r="F42" s="366"/>
      <c r="G42" s="366"/>
      <c r="H42" s="512" t="s">
        <v>250</v>
      </c>
      <c r="I42" s="769" t="s">
        <v>174</v>
      </c>
      <c r="J42" s="770"/>
      <c r="K42" s="475">
        <f>337.71+180.88</f>
        <v>518.58999999999992</v>
      </c>
      <c r="L42" s="282">
        <v>44027</v>
      </c>
      <c r="M42" s="1" t="s">
        <v>41</v>
      </c>
      <c r="N42" s="752">
        <f>K42</f>
        <v>518.58999999999992</v>
      </c>
      <c r="O42" s="12"/>
      <c r="P42" s="643"/>
      <c r="Q42" s="765"/>
      <c r="R42" s="365"/>
      <c r="S42" s="366"/>
      <c r="T42" s="294"/>
      <c r="U42" s="294"/>
      <c r="V42" s="294"/>
      <c r="W42" s="294"/>
      <c r="X42" s="294"/>
      <c r="Y42" s="366"/>
    </row>
    <row r="43" spans="1:26">
      <c r="A43" s="340"/>
      <c r="B43" s="199"/>
      <c r="C43" s="366"/>
      <c r="D43" s="273"/>
      <c r="E43" s="199"/>
      <c r="F43" s="366"/>
      <c r="G43" s="366"/>
      <c r="H43" s="687" t="s">
        <v>337</v>
      </c>
      <c r="I43" s="769" t="s">
        <v>176</v>
      </c>
      <c r="J43" s="770"/>
      <c r="K43" s="876" t="s">
        <v>356</v>
      </c>
      <c r="L43" s="282">
        <v>44032</v>
      </c>
      <c r="M43" s="1" t="s">
        <v>41</v>
      </c>
      <c r="N43" s="750" t="str">
        <f>K43</f>
        <v>НЕТ</v>
      </c>
      <c r="O43" s="127"/>
      <c r="P43" s="448"/>
      <c r="Q43" s="765"/>
      <c r="R43" s="365"/>
      <c r="S43" s="366"/>
      <c r="T43" s="294"/>
      <c r="U43" s="294"/>
      <c r="V43" s="294"/>
      <c r="W43" s="294"/>
      <c r="X43" s="294"/>
      <c r="Y43" s="366"/>
    </row>
    <row r="44" spans="1:26">
      <c r="A44" s="340"/>
      <c r="B44" s="199"/>
      <c r="C44" s="366"/>
      <c r="D44" s="273"/>
      <c r="E44" s="232"/>
      <c r="F44" s="366"/>
      <c r="G44" s="366"/>
      <c r="H44" s="512" t="s">
        <v>250</v>
      </c>
      <c r="I44" s="1264" t="s">
        <v>81</v>
      </c>
      <c r="J44" s="1265"/>
      <c r="K44" s="876">
        <v>1451.88</v>
      </c>
      <c r="L44" s="282">
        <v>44027</v>
      </c>
      <c r="M44" s="1" t="s">
        <v>41</v>
      </c>
      <c r="N44" s="750">
        <f>K44/2</f>
        <v>725.94</v>
      </c>
      <c r="O44" s="145"/>
      <c r="P44" s="84"/>
      <c r="Q44" s="765"/>
      <c r="R44" s="765"/>
      <c r="S44" s="366"/>
      <c r="T44" s="294"/>
      <c r="U44" s="366"/>
      <c r="V44" s="294"/>
      <c r="W44" s="294"/>
      <c r="X44" s="294"/>
      <c r="Y44" s="366"/>
    </row>
    <row r="45" spans="1:26">
      <c r="A45" s="340"/>
      <c r="B45" s="199"/>
      <c r="C45" s="366"/>
      <c r="D45" s="273"/>
      <c r="E45" s="232"/>
      <c r="F45" s="366"/>
      <c r="G45" s="366"/>
      <c r="H45" s="512" t="s">
        <v>250</v>
      </c>
      <c r="I45" s="1264" t="s">
        <v>181</v>
      </c>
      <c r="J45" s="1265"/>
      <c r="K45" s="876">
        <v>10</v>
      </c>
      <c r="L45" s="282">
        <v>44027</v>
      </c>
      <c r="M45" s="1" t="s">
        <v>41</v>
      </c>
      <c r="N45" s="752">
        <f>K45</f>
        <v>10</v>
      </c>
      <c r="O45" s="127"/>
      <c r="P45" s="145"/>
      <c r="Q45" s="765"/>
      <c r="R45" s="366"/>
      <c r="S45" s="366"/>
      <c r="T45" s="294"/>
      <c r="U45" s="294"/>
      <c r="V45" s="366"/>
      <c r="W45" s="294"/>
      <c r="X45" s="294"/>
      <c r="Y45" s="366"/>
    </row>
    <row r="46" spans="1:26">
      <c r="A46" s="340" t="s">
        <v>314</v>
      </c>
      <c r="B46" s="199"/>
      <c r="C46" s="366"/>
      <c r="D46" s="273"/>
      <c r="E46" s="232"/>
      <c r="F46" s="366"/>
      <c r="G46" s="366"/>
      <c r="H46" s="512" t="s">
        <v>250</v>
      </c>
      <c r="I46" s="1145" t="s">
        <v>61</v>
      </c>
      <c r="J46" s="1145"/>
      <c r="K46" s="93">
        <v>1275.26</v>
      </c>
      <c r="L46" s="282">
        <v>44032</v>
      </c>
      <c r="M46" s="1" t="s">
        <v>41</v>
      </c>
      <c r="N46" s="750"/>
      <c r="P46" s="448"/>
      <c r="Q46" s="365"/>
      <c r="R46" s="365"/>
      <c r="S46" s="366"/>
      <c r="T46" s="294"/>
      <c r="U46" s="294"/>
      <c r="V46" s="366"/>
      <c r="W46" s="294"/>
      <c r="X46" s="294"/>
      <c r="Y46" s="366"/>
    </row>
    <row r="47" spans="1:26">
      <c r="A47" s="340"/>
      <c r="B47" s="199"/>
      <c r="C47" s="366"/>
      <c r="D47" s="273"/>
      <c r="E47" s="232"/>
      <c r="F47" s="366"/>
      <c r="G47" s="366"/>
      <c r="H47" s="512" t="s">
        <v>250</v>
      </c>
      <c r="I47" s="1145" t="s">
        <v>274</v>
      </c>
      <c r="J47" s="1145"/>
      <c r="K47" s="93">
        <v>73</v>
      </c>
      <c r="L47" s="282">
        <v>44032</v>
      </c>
      <c r="M47" s="1" t="s">
        <v>41</v>
      </c>
      <c r="N47" s="749">
        <v>40</v>
      </c>
      <c r="P47" s="448"/>
      <c r="Q47" s="365"/>
      <c r="R47" s="365"/>
      <c r="S47" s="366"/>
      <c r="T47" s="294"/>
      <c r="U47" s="294"/>
      <c r="V47" s="366"/>
      <c r="W47" s="294"/>
      <c r="X47" s="294"/>
      <c r="Y47" s="366"/>
    </row>
    <row r="48" spans="1:26">
      <c r="A48" s="340"/>
      <c r="B48" s="199"/>
      <c r="C48" s="366"/>
      <c r="D48" s="273"/>
      <c r="E48" s="232"/>
      <c r="F48" s="366"/>
      <c r="G48" s="366"/>
      <c r="H48" s="512" t="s">
        <v>250</v>
      </c>
      <c r="I48" s="1145" t="s">
        <v>275</v>
      </c>
      <c r="J48" s="1145"/>
      <c r="K48" s="93">
        <v>50</v>
      </c>
      <c r="L48" s="282">
        <v>44027</v>
      </c>
      <c r="M48" s="1" t="s">
        <v>41</v>
      </c>
      <c r="N48" s="750">
        <v>50</v>
      </c>
      <c r="P48" s="448"/>
      <c r="Q48" s="273"/>
      <c r="R48" s="365"/>
      <c r="S48" s="366"/>
      <c r="T48" s="294"/>
      <c r="U48" s="294"/>
      <c r="V48" s="366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250</v>
      </c>
      <c r="I49" s="1145" t="s">
        <v>276</v>
      </c>
      <c r="J49" s="1145"/>
      <c r="K49" s="93">
        <v>150</v>
      </c>
      <c r="L49" s="282">
        <v>44042</v>
      </c>
      <c r="M49" s="1" t="s">
        <v>41</v>
      </c>
      <c r="N49" s="750">
        <v>150</v>
      </c>
      <c r="O49" s="12"/>
      <c r="P49" s="448"/>
      <c r="Q49" s="365"/>
      <c r="R49" s="365"/>
      <c r="S49" s="366"/>
      <c r="T49" s="294"/>
      <c r="U49" s="294"/>
      <c r="V49" s="366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250</v>
      </c>
      <c r="I50" s="1145" t="s">
        <v>296</v>
      </c>
      <c r="J50" s="1145"/>
      <c r="K50" s="93">
        <v>18</v>
      </c>
      <c r="L50" s="282">
        <v>44027</v>
      </c>
      <c r="M50" s="1" t="s">
        <v>41</v>
      </c>
      <c r="N50" s="751">
        <v>9</v>
      </c>
      <c r="O50" s="150"/>
      <c r="P50" s="448"/>
      <c r="Q50" s="365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250</v>
      </c>
      <c r="I51" s="1143" t="s">
        <v>345</v>
      </c>
      <c r="J51" s="1144"/>
      <c r="K51" s="93">
        <v>1000</v>
      </c>
      <c r="L51" s="282">
        <v>44042</v>
      </c>
      <c r="M51" s="1" t="s">
        <v>104</v>
      </c>
      <c r="N51" s="771">
        <f>K51</f>
        <v>1000</v>
      </c>
      <c r="O51" s="150"/>
      <c r="P51" s="448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 ht="15.75" thickBot="1">
      <c r="A52" s="341"/>
      <c r="B52" s="330"/>
      <c r="C52" s="331"/>
      <c r="D52" s="342"/>
      <c r="E52" s="330"/>
      <c r="F52" s="331"/>
      <c r="G52" s="331"/>
      <c r="H52" s="1300" t="s">
        <v>179</v>
      </c>
      <c r="I52" s="1281"/>
      <c r="J52" s="361">
        <f>SUM(K36:K51)</f>
        <v>5703.84</v>
      </c>
      <c r="K52" s="1146" t="s">
        <v>180</v>
      </c>
      <c r="L52" s="1146"/>
      <c r="M52" s="746">
        <v>0</v>
      </c>
      <c r="N52" s="753">
        <f>SUM(N36:N51)</f>
        <v>3105.105</v>
      </c>
      <c r="P52" s="448"/>
      <c r="Q52" s="365"/>
      <c r="R52" s="366"/>
      <c r="S52" s="366"/>
      <c r="T52" s="294"/>
      <c r="U52" s="366"/>
      <c r="V52" s="366"/>
      <c r="W52" s="366"/>
      <c r="X52" s="366"/>
      <c r="Y52" s="366"/>
    </row>
    <row r="53" spans="1:25" ht="15.75" thickTop="1">
      <c r="A53" s="366"/>
      <c r="B53" s="366"/>
      <c r="C53" s="366"/>
      <c r="D53" s="366"/>
      <c r="E53" s="366"/>
      <c r="F53" s="366"/>
      <c r="G53" s="366"/>
      <c r="H53" s="1162"/>
      <c r="I53" s="1162"/>
      <c r="J53" s="1162"/>
      <c r="K53" s="1162"/>
      <c r="L53" s="366"/>
      <c r="M53" s="441"/>
      <c r="N53" s="1"/>
      <c r="P53" s="448"/>
      <c r="Q53" s="365"/>
      <c r="R53" s="366"/>
      <c r="S53" s="366"/>
      <c r="T53" s="366"/>
      <c r="U53" s="366"/>
      <c r="V53" s="366"/>
      <c r="W53" s="366"/>
      <c r="X53" s="366"/>
      <c r="Y53" s="366"/>
    </row>
    <row r="54" spans="1:25" ht="15" customHeight="1">
      <c r="A54" s="1163" t="s">
        <v>349</v>
      </c>
      <c r="B54" s="1163"/>
      <c r="C54" s="1163"/>
      <c r="D54" s="1163"/>
      <c r="E54" s="1163"/>
      <c r="F54" s="1163"/>
      <c r="G54" s="1163"/>
      <c r="H54" s="1163"/>
      <c r="I54" s="1163"/>
      <c r="J54" s="1163"/>
      <c r="K54" s="1163"/>
      <c r="L54" s="1163"/>
      <c r="M54" s="1163"/>
      <c r="N54" s="1"/>
      <c r="O54" s="150"/>
      <c r="P54" s="448"/>
      <c r="Q54" s="365"/>
      <c r="R54" s="366"/>
      <c r="S54" s="366"/>
      <c r="T54" s="366"/>
      <c r="U54" s="366"/>
      <c r="V54" s="366"/>
      <c r="W54" s="366"/>
      <c r="X54" s="366"/>
    </row>
    <row r="55" spans="1:25" ht="15.75" customHeight="1" thickBot="1">
      <c r="A55" s="1164"/>
      <c r="B55" s="1164"/>
      <c r="C55" s="1164"/>
      <c r="D55" s="1164"/>
      <c r="E55" s="1164"/>
      <c r="F55" s="1164"/>
      <c r="G55" s="1164"/>
      <c r="H55" s="1164"/>
      <c r="I55" s="1164"/>
      <c r="J55" s="1164"/>
      <c r="K55" s="1164"/>
      <c r="L55" s="1164"/>
      <c r="M55" s="1164"/>
      <c r="N55" s="1"/>
      <c r="P55" s="448"/>
      <c r="Q55" s="365"/>
      <c r="R55" s="365"/>
      <c r="S55" s="765"/>
      <c r="T55" s="366"/>
      <c r="U55" s="366"/>
      <c r="V55" s="366"/>
      <c r="W55" s="366"/>
      <c r="X55" s="366"/>
    </row>
    <row r="56" spans="1:25" ht="15.75" thickTop="1">
      <c r="A56" s="1266" t="s">
        <v>317</v>
      </c>
      <c r="B56" s="1166"/>
      <c r="C56" s="1166"/>
      <c r="D56" s="1166"/>
      <c r="E56" s="1166"/>
      <c r="F56" s="1166"/>
      <c r="G56" s="1167"/>
      <c r="H56" s="1282" t="s">
        <v>316</v>
      </c>
      <c r="I56" s="1283"/>
      <c r="J56" s="1283"/>
      <c r="K56" s="1283"/>
      <c r="L56" s="1283"/>
      <c r="M56" s="1284"/>
      <c r="N56" s="1"/>
      <c r="P56" s="448"/>
      <c r="Q56" s="366"/>
      <c r="S56" s="274"/>
      <c r="T56" s="366"/>
      <c r="U56" s="366"/>
      <c r="V56" s="366"/>
      <c r="W56" s="366"/>
      <c r="X56" s="366"/>
    </row>
    <row r="57" spans="1:25">
      <c r="A57" s="324" t="s">
        <v>2</v>
      </c>
      <c r="B57" s="758" t="s">
        <v>34</v>
      </c>
      <c r="C57" s="36" t="s">
        <v>35</v>
      </c>
      <c r="D57" s="36" t="s">
        <v>38</v>
      </c>
      <c r="E57" s="36" t="s">
        <v>42</v>
      </c>
      <c r="F57" s="758" t="s">
        <v>36</v>
      </c>
      <c r="G57" s="100" t="s">
        <v>173</v>
      </c>
      <c r="H57" s="676" t="s">
        <v>2</v>
      </c>
      <c r="I57" s="1285" t="s">
        <v>34</v>
      </c>
      <c r="J57" s="1285"/>
      <c r="K57" s="767" t="s">
        <v>35</v>
      </c>
      <c r="L57" s="1286" t="s">
        <v>173</v>
      </c>
      <c r="M57" s="1287"/>
      <c r="N57" s="1"/>
      <c r="P57" s="448"/>
      <c r="Q57" s="366"/>
      <c r="S57" s="274"/>
      <c r="T57" s="366"/>
      <c r="U57" s="366"/>
      <c r="V57" s="366"/>
      <c r="W57" s="366"/>
      <c r="X57" s="366"/>
    </row>
    <row r="58" spans="1:25">
      <c r="A58" s="325">
        <v>44013</v>
      </c>
      <c r="B58" s="161" t="s">
        <v>353</v>
      </c>
      <c r="C58" s="275">
        <v>123.85</v>
      </c>
      <c r="D58" s="275">
        <v>123.85</v>
      </c>
      <c r="E58" s="542" t="str">
        <f t="shared" ref="E58:E73" si="5">IF(C58-D58=0,"",C58-D58)</f>
        <v/>
      </c>
      <c r="F58" s="162" t="str">
        <f t="shared" ref="F58:F73" si="6">IF(C58=0,"",IF(C58-D58=0,"оплачено","ОЖИДАЕТСЯ оплата"))</f>
        <v>оплачено</v>
      </c>
      <c r="G58" s="162"/>
      <c r="H58" s="325">
        <v>44013</v>
      </c>
      <c r="I58" s="1288" t="s">
        <v>98</v>
      </c>
      <c r="J58" s="1289"/>
      <c r="K58" s="480">
        <v>327.64999999999998</v>
      </c>
      <c r="L58" s="1293"/>
      <c r="M58" s="1294"/>
      <c r="N58" s="1"/>
      <c r="P58" s="448"/>
      <c r="Q58" s="366"/>
      <c r="S58" s="366"/>
      <c r="T58" s="84"/>
      <c r="U58" s="366"/>
      <c r="W58" s="366"/>
      <c r="X58" s="366"/>
    </row>
    <row r="59" spans="1:25">
      <c r="A59" s="325">
        <v>44013</v>
      </c>
      <c r="B59" s="161" t="s">
        <v>212</v>
      </c>
      <c r="C59" s="275">
        <v>537.36</v>
      </c>
      <c r="D59" s="275">
        <v>537.36</v>
      </c>
      <c r="E59" s="542" t="str">
        <f t="shared" si="5"/>
        <v/>
      </c>
      <c r="F59" s="162" t="str">
        <f t="shared" si="6"/>
        <v>оплачено</v>
      </c>
      <c r="G59" s="162"/>
      <c r="H59" s="678" t="str">
        <f t="shared" ref="H59:I73" si="7">IF(S5="","",S5)</f>
        <v/>
      </c>
      <c r="I59" s="1288" t="s">
        <v>354</v>
      </c>
      <c r="J59" s="1289"/>
      <c r="K59" s="480">
        <f>513.5/2</f>
        <v>256.75</v>
      </c>
      <c r="L59" s="1293"/>
      <c r="M59" s="1294"/>
      <c r="N59" s="1"/>
      <c r="P59" s="448"/>
      <c r="Q59" s="366"/>
      <c r="S59" s="366"/>
      <c r="T59" s="366"/>
      <c r="U59" s="366"/>
      <c r="W59" s="366"/>
      <c r="X59" s="366"/>
    </row>
    <row r="60" spans="1:25">
      <c r="A60" s="325">
        <v>44026</v>
      </c>
      <c r="B60" s="161" t="s">
        <v>257</v>
      </c>
      <c r="C60" s="275">
        <v>86.4</v>
      </c>
      <c r="D60" s="275">
        <v>86.4</v>
      </c>
      <c r="E60" s="542" t="str">
        <f t="shared" si="5"/>
        <v/>
      </c>
      <c r="F60" s="162" t="str">
        <f t="shared" si="6"/>
        <v>оплачено</v>
      </c>
      <c r="G60" s="162"/>
      <c r="H60" s="678" t="str">
        <f t="shared" si="7"/>
        <v/>
      </c>
      <c r="I60" s="1288" t="s">
        <v>320</v>
      </c>
      <c r="J60" s="1289"/>
      <c r="K60" s="480">
        <f>683.5/2</f>
        <v>341.75</v>
      </c>
      <c r="L60" s="1290"/>
      <c r="M60" s="1291"/>
      <c r="N60" s="1"/>
      <c r="P60" s="448"/>
      <c r="T60" s="366"/>
      <c r="U60" s="366"/>
    </row>
    <row r="61" spans="1:25">
      <c r="A61" s="325">
        <v>44026</v>
      </c>
      <c r="B61" s="161" t="s">
        <v>205</v>
      </c>
      <c r="C61" s="275">
        <v>14.4</v>
      </c>
      <c r="D61" s="275">
        <v>14.4</v>
      </c>
      <c r="E61" s="542" t="str">
        <f t="shared" si="5"/>
        <v/>
      </c>
      <c r="F61" s="162" t="str">
        <f t="shared" si="6"/>
        <v>оплачено</v>
      </c>
      <c r="G61" s="162"/>
      <c r="H61" s="678" t="str">
        <f t="shared" si="7"/>
        <v/>
      </c>
      <c r="I61" s="1288" t="s">
        <v>27</v>
      </c>
      <c r="J61" s="1289"/>
      <c r="K61" s="480">
        <f>535/2</f>
        <v>267.5</v>
      </c>
      <c r="L61" s="1290"/>
      <c r="M61" s="1291"/>
      <c r="N61" s="1"/>
      <c r="P61" s="448"/>
      <c r="U61" s="366"/>
    </row>
    <row r="62" spans="1:25">
      <c r="A62" s="325">
        <v>44026</v>
      </c>
      <c r="B62" s="161" t="s">
        <v>301</v>
      </c>
      <c r="C62" s="881">
        <v>235.36</v>
      </c>
      <c r="D62" s="881">
        <v>235.36</v>
      </c>
      <c r="E62" s="542" t="str">
        <f t="shared" si="5"/>
        <v/>
      </c>
      <c r="F62" s="162" t="str">
        <f t="shared" si="6"/>
        <v>оплачено</v>
      </c>
      <c r="G62" s="162"/>
      <c r="H62" s="678" t="str">
        <f t="shared" si="7"/>
        <v/>
      </c>
      <c r="I62" s="1288" t="s">
        <v>355</v>
      </c>
      <c r="J62" s="1289"/>
      <c r="K62" s="480">
        <f>2085/2</f>
        <v>1042.5</v>
      </c>
      <c r="L62" s="1290"/>
      <c r="M62" s="1291"/>
      <c r="N62" s="1"/>
      <c r="P62" s="541"/>
      <c r="U62" s="366"/>
    </row>
    <row r="63" spans="1:25">
      <c r="A63" s="325">
        <v>44034</v>
      </c>
      <c r="B63" s="903" t="s">
        <v>362</v>
      </c>
      <c r="C63" s="275">
        <v>87.84</v>
      </c>
      <c r="D63" s="275">
        <v>87.84</v>
      </c>
      <c r="E63" s="542" t="str">
        <f t="shared" si="5"/>
        <v/>
      </c>
      <c r="F63" s="162" t="str">
        <f t="shared" si="6"/>
        <v>оплачено</v>
      </c>
      <c r="G63" s="162"/>
      <c r="H63" s="678" t="str">
        <f t="shared" si="7"/>
        <v/>
      </c>
      <c r="I63" s="1288" t="s">
        <v>270</v>
      </c>
      <c r="J63" s="1289"/>
      <c r="K63" s="480">
        <f>208/2</f>
        <v>104</v>
      </c>
      <c r="L63" s="1290"/>
      <c r="M63" s="1291"/>
      <c r="N63" s="1"/>
      <c r="P63" s="86"/>
      <c r="U63" s="366"/>
    </row>
    <row r="64" spans="1:25" ht="14.45" customHeight="1">
      <c r="A64" s="325">
        <v>44033</v>
      </c>
      <c r="B64" s="161" t="s">
        <v>307</v>
      </c>
      <c r="C64" s="692">
        <v>183.75</v>
      </c>
      <c r="D64" s="692">
        <v>183.75</v>
      </c>
      <c r="E64" s="542" t="str">
        <f t="shared" si="5"/>
        <v/>
      </c>
      <c r="F64" s="162" t="str">
        <f t="shared" si="6"/>
        <v>оплачено</v>
      </c>
      <c r="G64" s="162"/>
      <c r="H64" s="678" t="str">
        <f t="shared" si="7"/>
        <v/>
      </c>
      <c r="I64" s="1288" t="s">
        <v>98</v>
      </c>
      <c r="J64" s="1289"/>
      <c r="K64" s="480">
        <f>281.71+216</f>
        <v>497.71</v>
      </c>
      <c r="L64" s="1191"/>
      <c r="M64" s="1292"/>
      <c r="N64" s="1"/>
      <c r="P64" s="86"/>
    </row>
    <row r="65" spans="1:21" ht="14.45" customHeight="1">
      <c r="A65" s="325">
        <v>44034</v>
      </c>
      <c r="B65" s="161" t="s">
        <v>301</v>
      </c>
      <c r="C65" s="275">
        <v>509.18</v>
      </c>
      <c r="D65" s="275">
        <v>509.18</v>
      </c>
      <c r="E65" s="542" t="str">
        <f t="shared" si="5"/>
        <v/>
      </c>
      <c r="F65" s="162" t="str">
        <f t="shared" si="6"/>
        <v>оплачено</v>
      </c>
      <c r="G65" s="162"/>
      <c r="H65" s="678" t="str">
        <f t="shared" si="7"/>
        <v/>
      </c>
      <c r="I65" s="1288"/>
      <c r="J65" s="1289"/>
      <c r="K65" s="480"/>
      <c r="L65" s="1191"/>
      <c r="M65" s="1292"/>
      <c r="N65" s="1"/>
    </row>
    <row r="66" spans="1:21" ht="14.45" customHeight="1">
      <c r="A66" s="325">
        <v>44034</v>
      </c>
      <c r="B66" s="904" t="s">
        <v>205</v>
      </c>
      <c r="C66" s="275">
        <v>48.15</v>
      </c>
      <c r="D66" s="275">
        <v>48.15</v>
      </c>
      <c r="E66" s="542" t="str">
        <f t="shared" si="5"/>
        <v/>
      </c>
      <c r="F66" s="162" t="str">
        <f t="shared" si="6"/>
        <v>оплачено</v>
      </c>
      <c r="G66" s="162"/>
      <c r="H66" s="678" t="str">
        <f t="shared" si="7"/>
        <v/>
      </c>
      <c r="I66" s="1288" t="str">
        <f t="shared" si="7"/>
        <v/>
      </c>
      <c r="J66" s="1289"/>
      <c r="K66" s="480" t="str">
        <f t="shared" ref="K66:K73" si="8">IF(U12="","",U12)</f>
        <v/>
      </c>
      <c r="L66" s="1191"/>
      <c r="M66" s="1292"/>
      <c r="N66" s="1"/>
      <c r="O66" s="366"/>
    </row>
    <row r="67" spans="1:21">
      <c r="A67" s="325">
        <v>44034</v>
      </c>
      <c r="B67" s="161" t="s">
        <v>257</v>
      </c>
      <c r="C67" s="275">
        <v>381.52</v>
      </c>
      <c r="D67" s="275">
        <v>381.52</v>
      </c>
      <c r="E67" s="542" t="str">
        <f t="shared" si="5"/>
        <v/>
      </c>
      <c r="F67" s="162" t="str">
        <f t="shared" si="6"/>
        <v>оплачено</v>
      </c>
      <c r="G67" s="162"/>
      <c r="H67" s="678" t="str">
        <f t="shared" si="7"/>
        <v/>
      </c>
      <c r="I67" s="1288" t="str">
        <f t="shared" si="7"/>
        <v/>
      </c>
      <c r="J67" s="1289"/>
      <c r="K67" s="480" t="str">
        <f t="shared" si="8"/>
        <v/>
      </c>
      <c r="L67" s="1191"/>
      <c r="M67" s="1292"/>
      <c r="N67" s="1"/>
      <c r="O67" s="366"/>
    </row>
    <row r="68" spans="1:21" s="86" customFormat="1">
      <c r="A68" s="325">
        <v>44039</v>
      </c>
      <c r="B68" s="161" t="s">
        <v>307</v>
      </c>
      <c r="C68" s="275">
        <v>566.25</v>
      </c>
      <c r="D68" s="275">
        <v>566.25</v>
      </c>
      <c r="E68" s="542" t="str">
        <f t="shared" si="5"/>
        <v/>
      </c>
      <c r="F68" s="162" t="str">
        <f t="shared" si="6"/>
        <v>оплачено</v>
      </c>
      <c r="G68" s="162"/>
      <c r="H68" s="678" t="str">
        <f t="shared" si="7"/>
        <v/>
      </c>
      <c r="I68" s="1288" t="str">
        <f t="shared" si="7"/>
        <v/>
      </c>
      <c r="J68" s="1289"/>
      <c r="K68" s="480" t="str">
        <f t="shared" si="8"/>
        <v/>
      </c>
      <c r="L68" s="1290"/>
      <c r="M68" s="1291"/>
      <c r="N68" s="366"/>
      <c r="O68" s="84"/>
      <c r="P68" s="1"/>
      <c r="Q68" s="35"/>
      <c r="T68" s="35"/>
      <c r="U68" s="35"/>
    </row>
    <row r="69" spans="1:21">
      <c r="A69" s="325">
        <v>44041</v>
      </c>
      <c r="B69" s="161" t="s">
        <v>212</v>
      </c>
      <c r="C69" s="275">
        <v>361.74</v>
      </c>
      <c r="D69" s="275">
        <v>361.74</v>
      </c>
      <c r="E69" s="542" t="str">
        <f t="shared" si="5"/>
        <v/>
      </c>
      <c r="F69" s="162" t="str">
        <f t="shared" si="6"/>
        <v>оплачено</v>
      </c>
      <c r="G69" s="162"/>
      <c r="H69" s="678" t="str">
        <f t="shared" si="7"/>
        <v/>
      </c>
      <c r="I69" s="1288" t="str">
        <f t="shared" si="7"/>
        <v/>
      </c>
      <c r="J69" s="1289"/>
      <c r="K69" s="480" t="str">
        <f t="shared" si="8"/>
        <v/>
      </c>
      <c r="L69" s="1191"/>
      <c r="M69" s="1292"/>
      <c r="N69" s="1">
        <f>C60+C67</f>
        <v>467.91999999999996</v>
      </c>
      <c r="O69" s="366"/>
      <c r="P69" s="1"/>
      <c r="T69" s="86"/>
    </row>
    <row r="70" spans="1:21">
      <c r="A70" s="325">
        <v>44033</v>
      </c>
      <c r="B70" s="161" t="s">
        <v>353</v>
      </c>
      <c r="C70" s="275">
        <v>118.44</v>
      </c>
      <c r="D70" s="275">
        <v>118.44</v>
      </c>
      <c r="E70" s="542" t="str">
        <f t="shared" si="5"/>
        <v/>
      </c>
      <c r="F70" s="162" t="str">
        <f t="shared" si="6"/>
        <v>оплачено</v>
      </c>
      <c r="G70" s="162"/>
      <c r="H70" s="678" t="str">
        <f t="shared" si="7"/>
        <v/>
      </c>
      <c r="I70" s="1288" t="str">
        <f t="shared" si="7"/>
        <v/>
      </c>
      <c r="J70" s="1289"/>
      <c r="K70" s="480" t="str">
        <f t="shared" si="8"/>
        <v/>
      </c>
      <c r="L70" s="1191"/>
      <c r="M70" s="1292"/>
      <c r="N70" s="1"/>
      <c r="O70" s="84"/>
      <c r="P70" s="366"/>
    </row>
    <row r="71" spans="1:21">
      <c r="A71" s="325">
        <v>44040</v>
      </c>
      <c r="B71" s="161" t="s">
        <v>301</v>
      </c>
      <c r="C71" s="275">
        <v>234.21</v>
      </c>
      <c r="D71" s="275">
        <v>234.21</v>
      </c>
      <c r="E71" s="542" t="str">
        <f t="shared" si="5"/>
        <v/>
      </c>
      <c r="F71" s="162" t="str">
        <f t="shared" si="6"/>
        <v>оплачено</v>
      </c>
      <c r="G71" s="162"/>
      <c r="H71" s="678" t="str">
        <f t="shared" si="7"/>
        <v/>
      </c>
      <c r="I71" s="1288" t="str">
        <f t="shared" si="7"/>
        <v/>
      </c>
      <c r="J71" s="1289"/>
      <c r="K71" s="480" t="str">
        <f t="shared" si="8"/>
        <v/>
      </c>
      <c r="L71" s="1191"/>
      <c r="M71" s="1292"/>
      <c r="N71" s="1"/>
      <c r="O71" s="84"/>
      <c r="P71" s="150"/>
    </row>
    <row r="72" spans="1:21">
      <c r="A72" s="325"/>
      <c r="B72" s="161"/>
      <c r="C72" s="275"/>
      <c r="D72" s="275"/>
      <c r="E72" s="542" t="str">
        <f t="shared" si="5"/>
        <v/>
      </c>
      <c r="F72" s="162" t="str">
        <f t="shared" si="6"/>
        <v/>
      </c>
      <c r="G72" s="162"/>
      <c r="H72" s="678" t="str">
        <f t="shared" si="7"/>
        <v/>
      </c>
      <c r="I72" s="1288" t="str">
        <f t="shared" si="7"/>
        <v/>
      </c>
      <c r="J72" s="1289"/>
      <c r="K72" s="480" t="str">
        <f t="shared" si="8"/>
        <v/>
      </c>
      <c r="L72" s="1191"/>
      <c r="M72" s="1292"/>
      <c r="N72" s="1"/>
      <c r="O72" s="366"/>
      <c r="P72" s="1"/>
      <c r="Q72" s="86"/>
    </row>
    <row r="73" spans="1:21">
      <c r="A73" s="325"/>
      <c r="B73" s="161"/>
      <c r="C73" s="275"/>
      <c r="D73" s="275"/>
      <c r="E73" s="542" t="str">
        <f t="shared" si="5"/>
        <v/>
      </c>
      <c r="F73" s="162" t="str">
        <f t="shared" si="6"/>
        <v/>
      </c>
      <c r="G73" s="162"/>
      <c r="H73" s="678" t="str">
        <f t="shared" si="7"/>
        <v/>
      </c>
      <c r="I73" s="1288" t="str">
        <f t="shared" si="7"/>
        <v/>
      </c>
      <c r="J73" s="1289"/>
      <c r="K73" s="480" t="str">
        <f t="shared" si="8"/>
        <v/>
      </c>
      <c r="L73" s="1191"/>
      <c r="M73" s="1292"/>
      <c r="N73" s="1"/>
      <c r="O73" s="84"/>
      <c r="P73"/>
    </row>
    <row r="74" spans="1:21" ht="15.75" thickBot="1">
      <c r="A74" s="1272" t="s">
        <v>259</v>
      </c>
      <c r="B74" s="1273"/>
      <c r="C74" s="358">
        <f>SUM(C58:C73)</f>
        <v>3488.4500000000003</v>
      </c>
      <c r="D74" s="358"/>
      <c r="E74" s="542">
        <f>SUM(E58:E73)</f>
        <v>0</v>
      </c>
      <c r="F74" s="162"/>
      <c r="G74" s="450"/>
      <c r="H74" s="1295" t="s">
        <v>259</v>
      </c>
      <c r="I74" s="1296"/>
      <c r="J74" s="1297"/>
      <c r="K74" s="677">
        <f>SUM(K58:K73)</f>
        <v>2837.86</v>
      </c>
      <c r="L74" s="1298"/>
      <c r="M74" s="1299"/>
      <c r="N74" s="1"/>
      <c r="O74" s="366"/>
      <c r="P74" s="84"/>
      <c r="U74" s="86"/>
    </row>
    <row r="75" spans="1:21" ht="15.75" thickTop="1">
      <c r="A75" s="351"/>
      <c r="B75" s="352"/>
      <c r="C75" s="353"/>
      <c r="D75" s="353"/>
      <c r="E75" s="354"/>
      <c r="F75" s="352"/>
      <c r="G75" s="376"/>
      <c r="H75" s="1171" t="s">
        <v>16</v>
      </c>
      <c r="I75" s="1173" t="s">
        <v>17</v>
      </c>
      <c r="J75" s="1173" t="s">
        <v>21</v>
      </c>
      <c r="K75" s="1173"/>
      <c r="L75" s="1175" t="s">
        <v>93</v>
      </c>
      <c r="M75" s="1177" t="s">
        <v>95</v>
      </c>
      <c r="N75" s="1"/>
      <c r="O75" s="84"/>
      <c r="P75" s="84"/>
    </row>
    <row r="76" spans="1:21" ht="24">
      <c r="A76" s="355"/>
      <c r="B76" s="201"/>
      <c r="C76" s="201"/>
      <c r="D76" s="201"/>
      <c r="E76" s="216"/>
      <c r="F76" s="201"/>
      <c r="G76" s="201"/>
      <c r="H76" s="1172"/>
      <c r="I76" s="1174"/>
      <c r="J76" s="763" t="s">
        <v>21</v>
      </c>
      <c r="K76" s="763" t="s">
        <v>25</v>
      </c>
      <c r="L76" s="1176"/>
      <c r="M76" s="1178"/>
      <c r="N76" s="1"/>
      <c r="O76" s="366"/>
      <c r="P76" s="84"/>
    </row>
    <row r="77" spans="1:21">
      <c r="A77" s="338"/>
      <c r="B77" s="199"/>
      <c r="C77" s="288"/>
      <c r="D77" s="232"/>
      <c r="E77" s="84"/>
      <c r="F77" s="199"/>
      <c r="G77" s="199"/>
      <c r="H77" s="347" t="s">
        <v>163</v>
      </c>
      <c r="I77" s="94">
        <v>2420.3999999999996</v>
      </c>
      <c r="J77" s="94">
        <v>115.5</v>
      </c>
      <c r="K77" s="764">
        <v>132.61000000000001</v>
      </c>
      <c r="L77" s="96">
        <v>22665.5</v>
      </c>
      <c r="M77" s="104">
        <f>L77-I77-J77-K77</f>
        <v>19996.989999999998</v>
      </c>
      <c r="N77" s="150"/>
      <c r="O77" s="448"/>
      <c r="P77" s="439"/>
      <c r="R77" s="86"/>
    </row>
    <row r="78" spans="1:21">
      <c r="A78" s="339"/>
      <c r="B78" s="199"/>
      <c r="C78" s="199"/>
      <c r="D78" s="273"/>
      <c r="E78" s="366"/>
      <c r="F78" s="84"/>
      <c r="G78" s="366"/>
      <c r="H78" s="347" t="s">
        <v>192</v>
      </c>
      <c r="I78" s="94">
        <v>7629.69</v>
      </c>
      <c r="J78" s="94">
        <v>352.29</v>
      </c>
      <c r="K78" s="94">
        <v>193.85000000000002</v>
      </c>
      <c r="L78" s="96">
        <v>10342</v>
      </c>
      <c r="M78" s="104">
        <f>M77-I78-J78-K78+L78</f>
        <v>22163.159999999996</v>
      </c>
      <c r="N78" s="1"/>
      <c r="O78" s="448"/>
      <c r="P78" s="439"/>
      <c r="R78" s="86"/>
    </row>
    <row r="79" spans="1:21">
      <c r="A79" s="339"/>
      <c r="B79" s="366"/>
      <c r="C79" s="199"/>
      <c r="D79" s="273"/>
      <c r="E79" s="366"/>
      <c r="F79" s="366"/>
      <c r="G79" s="366"/>
      <c r="H79" s="347" t="s">
        <v>199</v>
      </c>
      <c r="I79" s="298">
        <v>8423.6400000000012</v>
      </c>
      <c r="J79" s="94">
        <v>921.3</v>
      </c>
      <c r="K79" s="299">
        <v>312.46000000000004</v>
      </c>
      <c r="L79" s="299">
        <v>16668</v>
      </c>
      <c r="M79" s="104">
        <f>M78-I79-J79-K79+L79</f>
        <v>29173.759999999995</v>
      </c>
      <c r="N79" s="1"/>
      <c r="O79" s="448"/>
      <c r="P79" s="436"/>
      <c r="R79" s="86"/>
    </row>
    <row r="80" spans="1:21">
      <c r="A80" s="339"/>
      <c r="B80" s="1"/>
      <c r="C80" s="284"/>
      <c r="D80" s="273"/>
      <c r="E80" s="366"/>
      <c r="F80" s="366"/>
      <c r="G80" s="84"/>
      <c r="H80" s="347" t="s">
        <v>209</v>
      </c>
      <c r="I80" s="299">
        <v>8639.7199999999993</v>
      </c>
      <c r="J80" s="300">
        <v>749.49</v>
      </c>
      <c r="K80" s="526">
        <v>435.1</v>
      </c>
      <c r="L80" s="299">
        <v>17824.919999999998</v>
      </c>
      <c r="M80" s="104">
        <f>M79-I80-J80-K80+L80</f>
        <v>37174.369999999995</v>
      </c>
      <c r="N80" s="92" t="s">
        <v>284</v>
      </c>
      <c r="O80" s="619"/>
      <c r="P80" s="724"/>
      <c r="R80" s="86"/>
    </row>
    <row r="81" spans="1:26">
      <c r="A81" s="339"/>
      <c r="B81" s="199"/>
      <c r="C81" s="1"/>
      <c r="D81" s="273"/>
      <c r="E81" s="366"/>
      <c r="F81" s="366"/>
      <c r="G81" s="366"/>
      <c r="H81" s="348" t="s">
        <v>210</v>
      </c>
      <c r="I81" s="300">
        <v>12605.26</v>
      </c>
      <c r="J81" s="299">
        <v>600.5</v>
      </c>
      <c r="K81" s="300">
        <v>491.64</v>
      </c>
      <c r="L81" s="299">
        <v>15183.9</v>
      </c>
      <c r="M81" s="104">
        <v>36025.39</v>
      </c>
      <c r="N81" s="618">
        <v>38660.869999999995</v>
      </c>
      <c r="O81" s="145"/>
      <c r="P81" s="437"/>
      <c r="Q81" s="86"/>
      <c r="R81" s="86"/>
    </row>
    <row r="82" spans="1:26">
      <c r="A82" s="339"/>
      <c r="B82" s="199"/>
      <c r="C82" s="1"/>
      <c r="D82" s="273"/>
      <c r="E82" s="366"/>
      <c r="F82" s="366"/>
      <c r="G82" s="366"/>
      <c r="H82" s="379" t="s">
        <v>211</v>
      </c>
      <c r="I82" s="689">
        <v>11425.189999999999</v>
      </c>
      <c r="J82" s="438">
        <v>232.2</v>
      </c>
      <c r="K82" s="694">
        <v>262</v>
      </c>
      <c r="L82" s="606">
        <v>11864.4</v>
      </c>
      <c r="M82" s="104">
        <f>M81-I82-J82-K82+L82</f>
        <v>35970.400000000001</v>
      </c>
      <c r="N82" s="1"/>
      <c r="O82" s="366"/>
      <c r="P82" s="437"/>
      <c r="Q82" s="86"/>
      <c r="R82" s="86"/>
      <c r="V82" s="1"/>
    </row>
    <row r="83" spans="1:26">
      <c r="A83" s="339"/>
      <c r="B83" s="199"/>
      <c r="C83" s="1"/>
      <c r="D83" s="273"/>
      <c r="E83" s="366"/>
      <c r="F83" s="366"/>
      <c r="G83" s="366"/>
      <c r="H83" s="347" t="s">
        <v>9</v>
      </c>
      <c r="I83" s="689">
        <v>13612.520000000002</v>
      </c>
      <c r="J83" s="438">
        <f>19+42+25.5+33+4+25+7.5+18+170+1+9+37.5+2+1.4</f>
        <v>394.9</v>
      </c>
      <c r="K83" s="694">
        <f>112.8+296.38+33.5</f>
        <v>442.68</v>
      </c>
      <c r="L83" s="607">
        <f>14352+1353+311+316+73+278</f>
        <v>16683</v>
      </c>
      <c r="M83" s="738">
        <v>37929.35</v>
      </c>
      <c r="N83" s="722" t="s">
        <v>326</v>
      </c>
      <c r="O83" s="723"/>
      <c r="P83" s="437"/>
      <c r="Q83" s="703"/>
      <c r="R83" s="86"/>
      <c r="V83" s="1"/>
    </row>
    <row r="84" spans="1:26">
      <c r="A84" s="339"/>
      <c r="B84" s="199"/>
      <c r="C84" s="1"/>
      <c r="D84" s="273"/>
      <c r="E84" s="366"/>
      <c r="F84" s="366"/>
      <c r="G84" s="366"/>
      <c r="H84" s="347" t="s">
        <v>18</v>
      </c>
      <c r="I84" s="689">
        <v>14474.099999999999</v>
      </c>
      <c r="J84" s="438">
        <v>947.5</v>
      </c>
      <c r="K84" s="694">
        <v>526.15</v>
      </c>
      <c r="L84" s="607">
        <v>19238.8</v>
      </c>
      <c r="M84" s="104">
        <f>M83-I84-J84-K84+L84</f>
        <v>41220.399999999994</v>
      </c>
      <c r="N84" s="84"/>
      <c r="O84" s="366"/>
      <c r="P84" s="437"/>
      <c r="Q84" s="703"/>
      <c r="R84" s="86"/>
      <c r="V84" s="1"/>
    </row>
    <row r="85" spans="1:26" ht="15.75" thickBot="1">
      <c r="A85" s="339"/>
      <c r="B85" s="199"/>
      <c r="C85" s="1"/>
      <c r="D85" s="273"/>
      <c r="E85" s="366"/>
      <c r="F85" s="366"/>
      <c r="G85" s="366"/>
      <c r="H85" s="608" t="s">
        <v>19</v>
      </c>
      <c r="I85" s="622">
        <v>17170.439999999999</v>
      </c>
      <c r="J85" s="610"/>
      <c r="K85" s="695">
        <f>21.5+122.1+41.6+353.89+95.92+8.2</f>
        <v>643.20999999999992</v>
      </c>
      <c r="L85" s="622">
        <f>660+513.5+514+683.5+535+212+2085+763+334+208+378+75+60+44+972+347+1461+81+303+363+12+44+73+133+667+281+234+225+789+767+1661+682+2828+477.5+365+873.5+390+553</f>
        <v>21647</v>
      </c>
      <c r="M85" s="104">
        <f>M84-I85-J85-K85+L85</f>
        <v>45053.75</v>
      </c>
      <c r="N85" s="84"/>
      <c r="O85" s="366"/>
      <c r="P85" s="437"/>
      <c r="Q85" s="703"/>
      <c r="R85" s="86"/>
      <c r="V85" s="1"/>
    </row>
    <row r="86" spans="1:26" ht="14.25" customHeight="1" thickTop="1">
      <c r="A86" s="339"/>
      <c r="B86" s="199"/>
      <c r="C86" s="1"/>
      <c r="D86" s="273"/>
      <c r="E86" s="84"/>
      <c r="F86" s="366"/>
      <c r="G86" s="366"/>
      <c r="H86" s="1148" t="s">
        <v>36</v>
      </c>
      <c r="I86" s="1150" t="s">
        <v>178</v>
      </c>
      <c r="J86" s="1151"/>
      <c r="K86" s="1152"/>
      <c r="L86" s="1156" t="s">
        <v>159</v>
      </c>
      <c r="M86" s="1157"/>
      <c r="N86" s="1"/>
      <c r="O86" s="366"/>
      <c r="P86" s="437"/>
      <c r="Q86" s="86"/>
      <c r="R86" s="86"/>
      <c r="V86" s="1"/>
    </row>
    <row r="87" spans="1:26">
      <c r="A87" s="339"/>
      <c r="B87" s="199"/>
      <c r="C87" s="284"/>
      <c r="D87" s="273"/>
      <c r="E87" s="284"/>
      <c r="F87" s="366"/>
      <c r="G87" s="378"/>
      <c r="H87" s="1149"/>
      <c r="I87" s="1153"/>
      <c r="J87" s="1154"/>
      <c r="K87" s="1155"/>
      <c r="L87" s="1158"/>
      <c r="M87" s="1159"/>
      <c r="N87" s="1"/>
      <c r="O87" s="84"/>
      <c r="P87" s="646"/>
      <c r="Q87" s="86"/>
      <c r="R87" s="366"/>
      <c r="S87" s="1"/>
      <c r="V87" s="1"/>
      <c r="W87" s="1"/>
      <c r="X87" s="1"/>
      <c r="Y87" s="1"/>
    </row>
    <row r="88" spans="1:26">
      <c r="A88" s="339"/>
      <c r="B88" s="199"/>
      <c r="C88" s="199"/>
      <c r="D88" s="273"/>
      <c r="E88" s="199"/>
      <c r="F88" s="366"/>
      <c r="G88" s="378"/>
      <c r="H88" s="512" t="s">
        <v>250</v>
      </c>
      <c r="I88" s="1160" t="s">
        <v>47</v>
      </c>
      <c r="J88" s="1160"/>
      <c r="K88" s="767">
        <v>131.25</v>
      </c>
      <c r="L88" s="282">
        <v>44027</v>
      </c>
      <c r="M88" s="44" t="s">
        <v>41</v>
      </c>
      <c r="O88" s="366"/>
      <c r="P88" s="646"/>
      <c r="Q88" s="86"/>
      <c r="R88" s="366"/>
      <c r="S88" s="1"/>
      <c r="T88" s="1"/>
      <c r="V88" s="282"/>
      <c r="W88" s="1"/>
      <c r="X88" s="1"/>
      <c r="Y88" s="1"/>
    </row>
    <row r="89" spans="1:26">
      <c r="A89" s="339"/>
      <c r="B89" s="366"/>
      <c r="C89" s="274"/>
      <c r="D89" s="273"/>
      <c r="E89" s="274"/>
      <c r="F89" s="366"/>
      <c r="G89" s="366"/>
      <c r="H89" s="512" t="s">
        <v>250</v>
      </c>
      <c r="I89" s="1161" t="s">
        <v>51</v>
      </c>
      <c r="J89" s="1161"/>
      <c r="K89" s="768">
        <v>21.35</v>
      </c>
      <c r="L89" s="282">
        <v>44027</v>
      </c>
      <c r="M89" s="44" t="s">
        <v>41</v>
      </c>
      <c r="O89" s="366"/>
      <c r="P89" s="646"/>
      <c r="Q89" s="541"/>
      <c r="R89" s="86"/>
      <c r="S89" s="1"/>
      <c r="T89" s="1"/>
      <c r="V89" s="282"/>
      <c r="W89" s="1"/>
      <c r="X89" s="1"/>
      <c r="Y89" s="1"/>
    </row>
    <row r="90" spans="1:26">
      <c r="A90" s="340"/>
      <c r="B90" s="366"/>
      <c r="C90" s="366"/>
      <c r="D90" s="273"/>
      <c r="E90" s="199"/>
      <c r="F90" s="366"/>
      <c r="G90" s="366"/>
      <c r="H90" s="512" t="s">
        <v>250</v>
      </c>
      <c r="I90" s="1161" t="s">
        <v>52</v>
      </c>
      <c r="J90" s="1161"/>
      <c r="K90" s="768">
        <v>2.25</v>
      </c>
      <c r="L90" s="282">
        <v>44027</v>
      </c>
      <c r="M90" s="44" t="s">
        <v>41</v>
      </c>
      <c r="O90" s="366"/>
      <c r="P90" s="646"/>
      <c r="Q90" s="86"/>
      <c r="R90" s="765"/>
      <c r="S90" s="1"/>
      <c r="T90" s="1"/>
      <c r="V90" s="282"/>
      <c r="W90" s="282"/>
      <c r="X90" s="282"/>
      <c r="Y90" s="1"/>
      <c r="Z90" s="1"/>
    </row>
    <row r="91" spans="1:26">
      <c r="A91" s="340"/>
      <c r="B91" s="366"/>
      <c r="C91" s="366"/>
      <c r="D91" s="273"/>
      <c r="E91" s="366"/>
      <c r="F91" s="366"/>
      <c r="G91" s="366"/>
      <c r="H91" s="743" t="s">
        <v>335</v>
      </c>
      <c r="I91" s="1161" t="s">
        <v>49</v>
      </c>
      <c r="J91" s="1161"/>
      <c r="K91" s="768">
        <v>44.5</v>
      </c>
      <c r="L91" s="744" t="s">
        <v>338</v>
      </c>
      <c r="M91" s="44" t="s">
        <v>351</v>
      </c>
      <c r="N91" s="35" t="s">
        <v>358</v>
      </c>
      <c r="O91" s="84"/>
      <c r="P91" s="646"/>
      <c r="Q91" s="366"/>
      <c r="R91" s="86"/>
      <c r="S91" s="1"/>
      <c r="T91" s="282"/>
      <c r="U91" s="1"/>
      <c r="V91" s="282"/>
      <c r="W91" s="282"/>
      <c r="X91" s="282"/>
      <c r="Y91" s="1"/>
      <c r="Z91" s="1"/>
    </row>
    <row r="92" spans="1:26">
      <c r="A92" s="340"/>
      <c r="B92" s="366"/>
      <c r="C92" s="366"/>
      <c r="D92" s="273"/>
      <c r="E92" s="366"/>
      <c r="F92" s="366"/>
      <c r="G92" s="366"/>
      <c r="H92" s="512" t="s">
        <v>250</v>
      </c>
      <c r="I92" s="1276" t="s">
        <v>59</v>
      </c>
      <c r="J92" s="1276"/>
      <c r="K92" s="878">
        <v>509.58</v>
      </c>
      <c r="L92" s="302" t="s">
        <v>177</v>
      </c>
      <c r="M92" s="44" t="s">
        <v>41</v>
      </c>
      <c r="N92" s="490"/>
      <c r="O92" s="84" t="s">
        <v>359</v>
      </c>
      <c r="P92" s="646"/>
      <c r="Q92" s="479"/>
      <c r="R92" s="765"/>
      <c r="S92" s="1"/>
      <c r="T92" s="282"/>
      <c r="U92" s="1"/>
      <c r="V92" s="1"/>
      <c r="W92" s="282"/>
      <c r="X92" s="282"/>
      <c r="Y92" s="1"/>
      <c r="Z92" s="1"/>
    </row>
    <row r="93" spans="1:26">
      <c r="A93" s="340"/>
      <c r="B93" s="199"/>
      <c r="C93" s="199"/>
      <c r="D93" s="273"/>
      <c r="E93" s="199"/>
      <c r="F93" s="366"/>
      <c r="G93" s="366"/>
      <c r="H93" s="512" t="s">
        <v>250</v>
      </c>
      <c r="I93" s="1264" t="s">
        <v>68</v>
      </c>
      <c r="J93" s="1265"/>
      <c r="K93" s="768">
        <v>52.62</v>
      </c>
      <c r="L93" s="282">
        <v>44032</v>
      </c>
      <c r="M93" s="44" t="s">
        <v>41</v>
      </c>
      <c r="O93" s="366"/>
      <c r="P93" s="437"/>
      <c r="Q93" s="366"/>
      <c r="R93" s="765"/>
      <c r="S93" s="1"/>
      <c r="T93" s="282"/>
      <c r="U93" s="1"/>
      <c r="V93" s="282"/>
      <c r="W93" s="282"/>
      <c r="X93" s="282"/>
      <c r="Y93" s="1"/>
      <c r="Z93" s="1"/>
    </row>
    <row r="94" spans="1:26">
      <c r="A94" s="340"/>
      <c r="B94" s="199"/>
      <c r="C94" s="366"/>
      <c r="D94" s="273"/>
      <c r="E94" s="199"/>
      <c r="F94" s="366"/>
      <c r="G94" s="366"/>
      <c r="H94" s="512" t="s">
        <v>250</v>
      </c>
      <c r="I94" s="1264" t="s">
        <v>174</v>
      </c>
      <c r="J94" s="1265"/>
      <c r="K94" s="879">
        <v>257.08999999999997</v>
      </c>
      <c r="L94" s="282">
        <v>44027</v>
      </c>
      <c r="M94" s="44" t="s">
        <v>41</v>
      </c>
      <c r="O94" s="84"/>
      <c r="P94" s="86"/>
      <c r="Q94" s="366"/>
      <c r="R94" s="765"/>
      <c r="S94" s="1"/>
      <c r="T94" s="282"/>
      <c r="U94" s="282"/>
      <c r="V94" s="282"/>
      <c r="W94" s="1"/>
      <c r="X94" s="1"/>
      <c r="Y94" s="1"/>
      <c r="Z94" s="1"/>
    </row>
    <row r="95" spans="1:26">
      <c r="A95" s="340"/>
      <c r="B95" s="199"/>
      <c r="C95" s="366"/>
      <c r="D95" s="273"/>
      <c r="E95" s="199"/>
      <c r="F95" s="366"/>
      <c r="G95" s="366"/>
      <c r="H95" s="687" t="s">
        <v>337</v>
      </c>
      <c r="I95" s="760" t="s">
        <v>176</v>
      </c>
      <c r="J95" s="761"/>
      <c r="K95" s="768" t="s">
        <v>258</v>
      </c>
      <c r="L95" s="282">
        <v>44032</v>
      </c>
      <c r="M95" s="44" t="s">
        <v>41</v>
      </c>
      <c r="O95" s="84"/>
      <c r="P95" s="86"/>
      <c r="Q95" s="366"/>
      <c r="R95" s="483"/>
      <c r="S95" s="1"/>
      <c r="T95" s="1"/>
      <c r="U95" s="282"/>
      <c r="V95" s="282"/>
      <c r="W95" s="282"/>
      <c r="X95" s="282"/>
      <c r="Y95" s="1"/>
      <c r="Z95" s="1"/>
    </row>
    <row r="96" spans="1:26">
      <c r="A96" s="340"/>
      <c r="B96" s="199"/>
      <c r="C96" s="366"/>
      <c r="D96" s="273"/>
      <c r="E96" s="232"/>
      <c r="F96" s="366"/>
      <c r="G96" s="366"/>
      <c r="H96" s="512" t="s">
        <v>250</v>
      </c>
      <c r="I96" s="1264" t="s">
        <v>81</v>
      </c>
      <c r="J96" s="1265"/>
      <c r="K96" s="768">
        <v>743.49</v>
      </c>
      <c r="L96" s="282">
        <v>44022</v>
      </c>
      <c r="M96" s="44" t="s">
        <v>41</v>
      </c>
      <c r="O96" s="84"/>
      <c r="P96" s="86"/>
      <c r="Q96" s="483"/>
      <c r="R96" s="365"/>
      <c r="S96" s="1"/>
      <c r="T96" s="282"/>
      <c r="U96" s="282"/>
      <c r="V96" s="282"/>
      <c r="W96" s="282"/>
      <c r="X96" s="282"/>
      <c r="Y96" s="366"/>
      <c r="Z96" s="1"/>
    </row>
    <row r="97" spans="1:26">
      <c r="A97" s="340"/>
      <c r="B97" s="199"/>
      <c r="C97" s="366"/>
      <c r="D97" s="273"/>
      <c r="E97" s="232"/>
      <c r="F97" s="366"/>
      <c r="G97" s="366"/>
      <c r="H97" s="512" t="s">
        <v>250</v>
      </c>
      <c r="I97" s="1264" t="s">
        <v>53</v>
      </c>
      <c r="J97" s="1265"/>
      <c r="K97" s="454">
        <v>10</v>
      </c>
      <c r="L97" s="282">
        <v>44027</v>
      </c>
      <c r="M97" s="44" t="s">
        <v>41</v>
      </c>
      <c r="N97" s="490"/>
      <c r="O97" s="84"/>
      <c r="P97" s="86"/>
      <c r="Q97" s="765"/>
      <c r="R97" s="86"/>
      <c r="S97" s="1"/>
      <c r="T97" s="282"/>
      <c r="U97" s="282"/>
      <c r="V97" s="282"/>
      <c r="W97" s="282"/>
      <c r="X97" s="282"/>
      <c r="Y97" s="366"/>
      <c r="Z97" s="1"/>
    </row>
    <row r="98" spans="1:26">
      <c r="A98" s="340"/>
      <c r="B98" s="199"/>
      <c r="C98" s="366"/>
      <c r="D98" s="273"/>
      <c r="E98" s="232"/>
      <c r="F98" s="366"/>
      <c r="G98" s="366"/>
      <c r="H98" s="512" t="s">
        <v>250</v>
      </c>
      <c r="I98" s="1263" t="s">
        <v>276</v>
      </c>
      <c r="J98" s="1263"/>
      <c r="K98" s="637">
        <v>100</v>
      </c>
      <c r="L98" s="282">
        <v>44042</v>
      </c>
      <c r="M98" s="44" t="s">
        <v>41</v>
      </c>
      <c r="O98" s="84"/>
      <c r="P98" s="86"/>
      <c r="Q98" s="765"/>
      <c r="R98" s="86"/>
      <c r="S98" s="366"/>
      <c r="T98" s="282"/>
      <c r="U98" s="282"/>
      <c r="V98" s="282"/>
      <c r="W98" s="282"/>
      <c r="X98" s="282"/>
      <c r="Y98" s="1"/>
      <c r="Z98" s="1"/>
    </row>
    <row r="99" spans="1:26">
      <c r="A99" s="340"/>
      <c r="B99" s="199"/>
      <c r="C99" s="366"/>
      <c r="D99" s="273"/>
      <c r="E99" s="232"/>
      <c r="F99" s="366"/>
      <c r="G99" s="366"/>
      <c r="H99" s="512" t="s">
        <v>250</v>
      </c>
      <c r="I99" s="1263" t="s">
        <v>296</v>
      </c>
      <c r="J99" s="1263"/>
      <c r="K99" s="637">
        <v>9</v>
      </c>
      <c r="L99" s="282">
        <v>44027</v>
      </c>
      <c r="M99" s="44" t="s">
        <v>41</v>
      </c>
      <c r="O99" s="84"/>
      <c r="P99" s="86"/>
      <c r="Q99" s="765"/>
      <c r="R99" s="86"/>
      <c r="S99" s="366"/>
      <c r="T99" s="282"/>
      <c r="U99" s="282"/>
      <c r="V99" s="282"/>
      <c r="W99" s="282"/>
      <c r="X99" s="282"/>
      <c r="Y99" s="1"/>
      <c r="Z99" s="1"/>
    </row>
    <row r="100" spans="1:26">
      <c r="A100" s="340"/>
      <c r="B100" s="199"/>
      <c r="C100" s="366"/>
      <c r="D100" s="273"/>
      <c r="E100" s="232"/>
      <c r="F100" s="366"/>
      <c r="G100" s="366"/>
      <c r="H100" s="512" t="s">
        <v>250</v>
      </c>
      <c r="I100" s="1143" t="s">
        <v>345</v>
      </c>
      <c r="J100" s="1144"/>
      <c r="K100" s="637">
        <v>999.81000000000006</v>
      </c>
      <c r="L100" s="282">
        <v>44042</v>
      </c>
      <c r="M100" s="44" t="s">
        <v>41</v>
      </c>
      <c r="O100" s="84"/>
      <c r="P100" s="86"/>
      <c r="Q100" s="765"/>
      <c r="R100" s="86"/>
      <c r="S100" s="366"/>
      <c r="T100" s="282"/>
      <c r="U100" s="282"/>
      <c r="V100" s="282"/>
      <c r="W100" s="282"/>
      <c r="X100" s="282"/>
      <c r="Y100" s="1"/>
      <c r="Z100" s="1"/>
    </row>
    <row r="101" spans="1:26" ht="15.75" thickBot="1">
      <c r="A101" s="341"/>
      <c r="B101" s="330"/>
      <c r="C101" s="331"/>
      <c r="D101" s="342"/>
      <c r="E101" s="330"/>
      <c r="F101" s="331"/>
      <c r="G101" s="331"/>
      <c r="H101" s="1280" t="s">
        <v>179</v>
      </c>
      <c r="I101" s="1281"/>
      <c r="J101" s="361">
        <f>SUM(K88:K100)</f>
        <v>2880.94</v>
      </c>
      <c r="K101" s="1146" t="s">
        <v>180</v>
      </c>
      <c r="L101" s="1146"/>
      <c r="M101" s="514">
        <v>0</v>
      </c>
      <c r="O101" s="84"/>
      <c r="P101" s="86"/>
      <c r="Q101" s="765"/>
      <c r="R101" s="365"/>
      <c r="S101" s="366"/>
      <c r="T101" s="282"/>
      <c r="U101" s="282"/>
      <c r="V101" s="1"/>
      <c r="W101" s="282"/>
      <c r="X101" s="282"/>
      <c r="Y101" s="1"/>
      <c r="Z101" s="1"/>
    </row>
    <row r="102" spans="1:26" ht="15.75" thickTop="1">
      <c r="C102" s="491"/>
      <c r="D102" s="491"/>
      <c r="O102" s="84"/>
      <c r="P102" s="86"/>
      <c r="Q102" s="765"/>
      <c r="R102" s="365"/>
      <c r="S102" s="366"/>
      <c r="T102" s="282"/>
      <c r="U102" s="282"/>
      <c r="V102" s="1"/>
      <c r="W102" s="282"/>
      <c r="X102" s="282"/>
      <c r="Y102" s="1"/>
      <c r="Z102" s="1"/>
    </row>
    <row r="103" spans="1:26" ht="15" customHeight="1">
      <c r="A103" s="1163" t="s">
        <v>350</v>
      </c>
      <c r="B103" s="1163"/>
      <c r="C103" s="1163"/>
      <c r="D103" s="1163"/>
      <c r="E103" s="1163"/>
      <c r="F103" s="1163"/>
      <c r="G103" s="1163"/>
      <c r="H103" s="1163"/>
      <c r="I103" s="1163"/>
      <c r="J103" s="1163"/>
      <c r="K103" s="1163"/>
      <c r="L103" s="1163"/>
      <c r="M103" s="1163"/>
      <c r="O103" s="84"/>
      <c r="P103" s="86"/>
      <c r="Q103" s="765"/>
      <c r="R103" s="366"/>
      <c r="S103" s="1"/>
      <c r="T103" s="282"/>
      <c r="U103" s="282"/>
      <c r="V103" s="1"/>
      <c r="W103" s="1"/>
      <c r="X103" s="1"/>
      <c r="Y103" s="1"/>
      <c r="Z103" s="1"/>
    </row>
    <row r="104" spans="1:26" ht="15.75" customHeight="1" thickBot="1">
      <c r="A104" s="1164"/>
      <c r="B104" s="1164"/>
      <c r="C104" s="1164"/>
      <c r="D104" s="1164"/>
      <c r="E104" s="1164"/>
      <c r="F104" s="1164"/>
      <c r="G104" s="1164"/>
      <c r="H104" s="1164"/>
      <c r="I104" s="1164"/>
      <c r="J104" s="1164"/>
      <c r="K104" s="1164"/>
      <c r="L104" s="1164"/>
      <c r="M104" s="1164"/>
      <c r="O104" s="84"/>
      <c r="P104" s="86"/>
      <c r="Q104" s="765"/>
      <c r="R104" s="366"/>
      <c r="S104" s="1"/>
      <c r="T104" s="1"/>
      <c r="U104" s="282"/>
      <c r="V104" s="1"/>
      <c r="W104" s="1"/>
      <c r="X104" s="1"/>
      <c r="Y104" s="1"/>
      <c r="Z104" s="1"/>
    </row>
    <row r="105" spans="1:26" ht="15.75" thickTop="1">
      <c r="A105" s="1301" t="s">
        <v>43</v>
      </c>
      <c r="B105" s="1268"/>
      <c r="C105" s="1268"/>
      <c r="D105" s="1268"/>
      <c r="E105" s="1268"/>
      <c r="F105" s="1302"/>
      <c r="G105" s="323"/>
      <c r="O105" s="84"/>
      <c r="P105" s="86"/>
      <c r="Q105" s="647"/>
      <c r="R105" s="366"/>
      <c r="S105" s="1"/>
      <c r="T105" s="1"/>
      <c r="U105" s="282"/>
      <c r="V105" s="1"/>
      <c r="W105" s="1"/>
      <c r="X105" s="1"/>
      <c r="Y105" s="1"/>
      <c r="Z105" s="1"/>
    </row>
    <row r="106" spans="1:26">
      <c r="A106" s="1213" t="s">
        <v>342</v>
      </c>
      <c r="B106" s="1214"/>
      <c r="C106" s="759" t="s">
        <v>35</v>
      </c>
      <c r="D106" s="759" t="s">
        <v>38</v>
      </c>
      <c r="E106" s="759" t="s">
        <v>42</v>
      </c>
      <c r="F106" s="759" t="s">
        <v>44</v>
      </c>
      <c r="G106" s="1"/>
      <c r="O106" s="84"/>
      <c r="P106" s="86"/>
      <c r="Q106" s="765"/>
      <c r="R106" s="366"/>
      <c r="S106" s="1"/>
      <c r="T106" s="1"/>
      <c r="U106" s="1"/>
      <c r="W106" s="1"/>
      <c r="X106" s="1"/>
      <c r="Y106" s="1"/>
      <c r="Z106" s="1"/>
    </row>
    <row r="107" spans="1:26">
      <c r="A107" s="1290" t="s">
        <v>40</v>
      </c>
      <c r="B107" s="1271"/>
      <c r="C107" s="481">
        <v>1275.26</v>
      </c>
      <c r="D107" s="481">
        <f>800+475.26</f>
        <v>1275.26</v>
      </c>
      <c r="E107" s="480">
        <f>C107-D107</f>
        <v>0</v>
      </c>
      <c r="F107" s="3"/>
      <c r="G107" s="1"/>
      <c r="O107" s="84"/>
      <c r="P107" s="86"/>
      <c r="Q107" s="765"/>
      <c r="R107" s="366"/>
      <c r="S107" s="1"/>
      <c r="T107" s="1"/>
      <c r="U107" s="1"/>
      <c r="W107" s="1"/>
      <c r="X107" s="1"/>
      <c r="Y107" s="1"/>
      <c r="Z107" s="1"/>
    </row>
    <row r="108" spans="1:26">
      <c r="A108" s="340"/>
      <c r="B108" s="366"/>
      <c r="C108" s="498">
        <f>SUM(C107:C107)</f>
        <v>1275.26</v>
      </c>
      <c r="D108" s="366"/>
      <c r="E108" s="84"/>
      <c r="F108" s="366"/>
      <c r="G108" s="1"/>
      <c r="K108" s="490"/>
      <c r="O108" s="84"/>
      <c r="P108" s="86"/>
      <c r="Q108" s="765"/>
      <c r="R108" s="86"/>
      <c r="T108" s="1"/>
      <c r="U108" s="1"/>
      <c r="Z108" s="1"/>
    </row>
    <row r="109" spans="1:26">
      <c r="A109" s="340"/>
      <c r="B109" s="366"/>
      <c r="C109" s="366"/>
      <c r="D109" s="366"/>
      <c r="E109" s="366"/>
      <c r="F109" s="366"/>
      <c r="G109" s="1"/>
      <c r="O109" s="84"/>
      <c r="P109" s="86"/>
      <c r="Q109" s="765"/>
      <c r="R109" s="86"/>
      <c r="U109" s="1"/>
      <c r="Z109" s="1"/>
    </row>
    <row r="110" spans="1:26">
      <c r="A110" s="340"/>
      <c r="B110" s="366"/>
      <c r="C110" s="366"/>
      <c r="D110" s="366"/>
      <c r="E110" s="366"/>
      <c r="F110" s="366"/>
      <c r="G110" s="1"/>
      <c r="M110" s="490"/>
      <c r="O110" s="84"/>
      <c r="P110" s="86"/>
      <c r="Q110" s="765"/>
      <c r="R110" s="86"/>
      <c r="U110" s="1"/>
      <c r="Z110" s="1"/>
    </row>
    <row r="111" spans="1:26">
      <c r="A111" s="340"/>
      <c r="B111" s="366"/>
      <c r="C111" s="366"/>
      <c r="D111" s="366"/>
      <c r="E111" s="366"/>
      <c r="F111" s="366"/>
      <c r="G111" s="1"/>
      <c r="O111" s="84"/>
      <c r="P111" s="86"/>
      <c r="Q111" s="765"/>
      <c r="R111" s="86"/>
      <c r="U111" s="1"/>
    </row>
    <row r="112" spans="1:26">
      <c r="A112" s="43"/>
      <c r="B112" s="1"/>
      <c r="C112" s="366"/>
      <c r="D112" s="1"/>
      <c r="E112" s="1"/>
      <c r="F112" s="1"/>
      <c r="G112" s="1"/>
      <c r="M112" s="1"/>
      <c r="O112" s="84"/>
      <c r="P112" s="86"/>
      <c r="Q112" s="765"/>
      <c r="R112" s="86"/>
    </row>
    <row r="113" spans="1:26">
      <c r="A113" s="43"/>
      <c r="B113" s="1"/>
      <c r="C113" s="366"/>
      <c r="D113" s="1"/>
      <c r="E113" s="1"/>
      <c r="F113" s="1"/>
      <c r="G113" s="1"/>
      <c r="M113" s="1"/>
      <c r="O113" s="84"/>
      <c r="P113" s="86"/>
      <c r="Q113" s="765"/>
      <c r="R113" s="86"/>
    </row>
    <row r="114" spans="1:26">
      <c r="A114" s="43"/>
      <c r="B114" s="1"/>
      <c r="C114" s="366"/>
      <c r="D114" s="1"/>
      <c r="E114" s="1"/>
      <c r="F114" s="1"/>
      <c r="G114" s="1"/>
      <c r="M114" s="1"/>
      <c r="O114" s="84"/>
      <c r="P114" s="86"/>
      <c r="Q114" s="765"/>
      <c r="R114" s="86"/>
    </row>
    <row r="115" spans="1:26">
      <c r="A115" s="43"/>
      <c r="B115" s="1"/>
      <c r="C115" s="366"/>
      <c r="D115" s="1"/>
      <c r="E115" s="1"/>
      <c r="F115" s="1"/>
      <c r="G115" s="1"/>
      <c r="M115" s="366"/>
      <c r="O115" s="84"/>
      <c r="P115" s="86"/>
      <c r="Q115" s="765"/>
      <c r="R115" s="86"/>
    </row>
    <row r="116" spans="1:26">
      <c r="A116" s="43"/>
      <c r="B116" s="1"/>
      <c r="C116" s="366"/>
      <c r="D116" s="1"/>
      <c r="E116" s="1"/>
      <c r="F116" s="1"/>
      <c r="G116" s="1"/>
      <c r="M116" s="366"/>
      <c r="O116" s="84"/>
      <c r="P116" s="86"/>
      <c r="Q116" s="765"/>
      <c r="R116" s="86"/>
    </row>
    <row r="117" spans="1:26">
      <c r="A117" s="43"/>
      <c r="B117" s="1"/>
      <c r="C117" s="366"/>
      <c r="D117" s="1"/>
      <c r="E117" s="1"/>
      <c r="F117" s="1"/>
      <c r="G117" s="1"/>
      <c r="M117" s="1"/>
      <c r="O117" s="84"/>
      <c r="P117" s="86"/>
      <c r="Q117" s="765"/>
      <c r="R117" s="86"/>
    </row>
    <row r="118" spans="1:26">
      <c r="A118" s="43"/>
      <c r="B118" s="1"/>
      <c r="C118" s="366"/>
      <c r="D118" s="1"/>
      <c r="E118" s="1"/>
      <c r="F118" s="1"/>
      <c r="G118" s="1"/>
      <c r="M118" s="1"/>
      <c r="O118" s="84"/>
      <c r="P118" s="86"/>
      <c r="Q118" s="765"/>
      <c r="R118" s="86"/>
    </row>
    <row r="119" spans="1:26">
      <c r="A119" s="43"/>
      <c r="B119" s="1"/>
      <c r="C119" s="366"/>
      <c r="D119" s="1"/>
      <c r="E119" s="1"/>
      <c r="F119" s="1"/>
      <c r="G119" s="1"/>
      <c r="M119" s="1"/>
      <c r="O119" s="84"/>
      <c r="P119" s="86"/>
      <c r="Q119" s="86"/>
      <c r="R119" s="86"/>
    </row>
    <row r="120" spans="1:26">
      <c r="A120" s="43"/>
      <c r="B120" s="1"/>
      <c r="C120" s="366"/>
      <c r="D120" s="1"/>
      <c r="E120" s="1"/>
      <c r="F120" s="1"/>
      <c r="G120" s="1"/>
      <c r="M120" s="1"/>
      <c r="O120" s="84"/>
      <c r="P120" s="86"/>
      <c r="Q120" s="86"/>
      <c r="R120" s="86"/>
    </row>
    <row r="121" spans="1:26">
      <c r="A121" s="43"/>
      <c r="B121" s="1"/>
      <c r="C121" s="366"/>
      <c r="D121" s="1"/>
      <c r="E121" s="1"/>
      <c r="F121" s="1"/>
      <c r="G121" s="1"/>
      <c r="O121" s="84"/>
      <c r="P121" s="86"/>
      <c r="Q121" s="86"/>
      <c r="R121" s="86"/>
    </row>
    <row r="122" spans="1:26">
      <c r="A122" s="43"/>
      <c r="B122" s="1"/>
      <c r="C122" s="366"/>
      <c r="D122" s="1"/>
      <c r="E122" s="1"/>
      <c r="F122" s="1"/>
      <c r="G122" s="1"/>
      <c r="O122" s="84"/>
      <c r="P122" s="86"/>
      <c r="Q122" s="86"/>
      <c r="R122" s="86"/>
    </row>
    <row r="123" spans="1:26" ht="15.75" thickBot="1">
      <c r="C123" s="446"/>
      <c r="O123" s="84"/>
      <c r="P123" s="86"/>
      <c r="Q123" s="86"/>
      <c r="R123" s="86"/>
    </row>
    <row r="124" spans="1:26" ht="15.75" thickBot="1">
      <c r="A124" s="292"/>
      <c r="C124" s="446"/>
      <c r="O124" s="84"/>
      <c r="P124" s="86"/>
      <c r="Q124" s="86"/>
      <c r="R124" s="86"/>
    </row>
    <row r="125" spans="1:26">
      <c r="C125" s="446"/>
    </row>
    <row r="126" spans="1:26" s="1" customFormat="1" ht="12.75" customHeight="1">
      <c r="A126" s="448"/>
      <c r="B126" s="199"/>
      <c r="D126" s="273"/>
      <c r="E126" s="366"/>
      <c r="F126" s="366"/>
      <c r="G126" s="366"/>
      <c r="H126" s="538"/>
      <c r="I126" s="902"/>
      <c r="J126" s="437"/>
      <c r="K126" s="605"/>
      <c r="L126" s="605"/>
      <c r="M126" s="436"/>
      <c r="O126" s="127"/>
      <c r="P126" s="84"/>
      <c r="Q126" s="145"/>
      <c r="R126" s="84"/>
      <c r="S126" s="84"/>
      <c r="T126" s="366"/>
      <c r="U126" s="366"/>
      <c r="V126" s="366"/>
      <c r="W126" s="366"/>
      <c r="X126" s="366"/>
      <c r="Y126" s="366"/>
      <c r="Z126" s="366"/>
    </row>
    <row r="127" spans="1:26">
      <c r="C127" s="446"/>
    </row>
    <row r="128" spans="1:26">
      <c r="C128" s="446"/>
    </row>
    <row r="129" spans="3:3">
      <c r="C129" s="446"/>
    </row>
    <row r="130" spans="3:3">
      <c r="C130" s="446"/>
    </row>
    <row r="131" spans="3:3">
      <c r="C131" s="446"/>
    </row>
    <row r="132" spans="3:3">
      <c r="C132" s="446"/>
    </row>
  </sheetData>
  <mergeCells count="131">
    <mergeCell ref="A105:F105"/>
    <mergeCell ref="A106:B106"/>
    <mergeCell ref="A107:B107"/>
    <mergeCell ref="I98:J98"/>
    <mergeCell ref="I99:J99"/>
    <mergeCell ref="I100:J100"/>
    <mergeCell ref="H101:I101"/>
    <mergeCell ref="K101:L101"/>
    <mergeCell ref="A103:M104"/>
    <mergeCell ref="I91:J91"/>
    <mergeCell ref="I92:J92"/>
    <mergeCell ref="I93:J93"/>
    <mergeCell ref="I94:J94"/>
    <mergeCell ref="I96:J96"/>
    <mergeCell ref="I97:J97"/>
    <mergeCell ref="H86:H87"/>
    <mergeCell ref="I86:K87"/>
    <mergeCell ref="L86:M87"/>
    <mergeCell ref="I88:J88"/>
    <mergeCell ref="I89:J89"/>
    <mergeCell ref="I90:J90"/>
    <mergeCell ref="I73:J73"/>
    <mergeCell ref="L73:M73"/>
    <mergeCell ref="A74:B74"/>
    <mergeCell ref="H74:J74"/>
    <mergeCell ref="L74:M74"/>
    <mergeCell ref="H75:H76"/>
    <mergeCell ref="I75:I76"/>
    <mergeCell ref="J75:K75"/>
    <mergeCell ref="L75:L76"/>
    <mergeCell ref="M75:M76"/>
    <mergeCell ref="I70:J70"/>
    <mergeCell ref="L70:M70"/>
    <mergeCell ref="I71:J71"/>
    <mergeCell ref="L71:M71"/>
    <mergeCell ref="I72:J72"/>
    <mergeCell ref="L72:M72"/>
    <mergeCell ref="I67:J67"/>
    <mergeCell ref="L67:M67"/>
    <mergeCell ref="I68:J68"/>
    <mergeCell ref="L68:M68"/>
    <mergeCell ref="I69:J69"/>
    <mergeCell ref="L69:M69"/>
    <mergeCell ref="I64:J64"/>
    <mergeCell ref="L64:M64"/>
    <mergeCell ref="I65:J65"/>
    <mergeCell ref="L65:M65"/>
    <mergeCell ref="I66:J66"/>
    <mergeCell ref="L66:M66"/>
    <mergeCell ref="I61:J61"/>
    <mergeCell ref="L61:M61"/>
    <mergeCell ref="I62:J62"/>
    <mergeCell ref="L62:M62"/>
    <mergeCell ref="I63:J63"/>
    <mergeCell ref="L63:M63"/>
    <mergeCell ref="I58:J58"/>
    <mergeCell ref="L58:M58"/>
    <mergeCell ref="I59:J59"/>
    <mergeCell ref="L59:M59"/>
    <mergeCell ref="I60:J60"/>
    <mergeCell ref="L60:M60"/>
    <mergeCell ref="K52:L52"/>
    <mergeCell ref="H53:K53"/>
    <mergeCell ref="A54:M55"/>
    <mergeCell ref="A56:G56"/>
    <mergeCell ref="H56:M56"/>
    <mergeCell ref="I57:J57"/>
    <mergeCell ref="L57:M57"/>
    <mergeCell ref="I47:J47"/>
    <mergeCell ref="I48:J48"/>
    <mergeCell ref="I49:J49"/>
    <mergeCell ref="I50:J50"/>
    <mergeCell ref="I51:J51"/>
    <mergeCell ref="H52:I52"/>
    <mergeCell ref="I39:J39"/>
    <mergeCell ref="I40:J40"/>
    <mergeCell ref="I41:J41"/>
    <mergeCell ref="I44:J44"/>
    <mergeCell ref="I45:J45"/>
    <mergeCell ref="I46:J46"/>
    <mergeCell ref="H34:H35"/>
    <mergeCell ref="I34:K35"/>
    <mergeCell ref="L34:M35"/>
    <mergeCell ref="I36:J36"/>
    <mergeCell ref="I37:J37"/>
    <mergeCell ref="I38:J38"/>
    <mergeCell ref="A20:B20"/>
    <mergeCell ref="H20:J20"/>
    <mergeCell ref="L20:M20"/>
    <mergeCell ref="H21:H22"/>
    <mergeCell ref="I21:I22"/>
    <mergeCell ref="J21:K21"/>
    <mergeCell ref="L21:L22"/>
    <mergeCell ref="M21:M22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</mergeCells>
  <printOptions horizontalCentered="1" verticalCentered="1"/>
  <pageMargins left="0" right="0" top="0" bottom="0" header="0" footer="0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7"/>
  <sheetViews>
    <sheetView zoomScaleNormal="100" zoomScaleSheetLayoutView="115" zoomScalePageLayoutView="70" workbookViewId="0">
      <pane xSplit="1" ySplit="1" topLeftCell="B26" activePane="bottomRight" state="frozen"/>
      <selection pane="topRight" activeCell="B1" sqref="B1"/>
      <selection pane="bottomLeft" activeCell="A4" sqref="A4"/>
      <selection pane="bottomRight" activeCell="C47" sqref="C47:H47"/>
    </sheetView>
  </sheetViews>
  <sheetFormatPr defaultColWidth="9.140625" defaultRowHeight="15"/>
  <cols>
    <col min="1" max="1" width="12.7109375" style="35" customWidth="1"/>
    <col min="2" max="2" width="6" style="35" customWidth="1"/>
    <col min="3" max="3" width="19" style="35" customWidth="1"/>
    <col min="4" max="4" width="15.140625" style="35" customWidth="1"/>
    <col min="5" max="5" width="11.42578125" style="35" customWidth="1"/>
    <col min="6" max="7" width="13.7109375" style="35" customWidth="1"/>
    <col min="8" max="8" width="14.5703125" style="35" customWidth="1"/>
    <col min="9" max="9" width="13.7109375" style="35" customWidth="1"/>
    <col min="10" max="10" width="10.42578125" style="35" customWidth="1"/>
    <col min="11" max="11" width="9.140625" style="35" customWidth="1"/>
    <col min="12" max="13" width="9.140625" style="35"/>
    <col min="14" max="14" width="10" style="35" customWidth="1"/>
    <col min="15" max="16384" width="9.140625" style="35"/>
  </cols>
  <sheetData>
    <row r="1" spans="1:18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364</v>
      </c>
      <c r="H1" s="14" t="s">
        <v>184</v>
      </c>
      <c r="I1" s="116" t="s">
        <v>365</v>
      </c>
      <c r="J1" s="15" t="s">
        <v>191</v>
      </c>
      <c r="K1" s="463" t="s">
        <v>240</v>
      </c>
      <c r="L1" s="463"/>
      <c r="M1" s="463"/>
      <c r="N1" s="463"/>
    </row>
    <row r="2" spans="1:18" ht="11.1" customHeight="1">
      <c r="B2" s="16">
        <f>IF(C2="","",WEEKDAY(C2,2))</f>
        <v>3</v>
      </c>
      <c r="C2" s="17">
        <v>44013</v>
      </c>
      <c r="D2" s="757">
        <v>495.6</v>
      </c>
      <c r="E2" s="739"/>
      <c r="F2" s="702">
        <v>425.2</v>
      </c>
      <c r="G2" s="873"/>
      <c r="H2" s="873"/>
      <c r="I2" s="227"/>
      <c r="J2" s="759"/>
      <c r="K2" s="669">
        <v>67.8</v>
      </c>
      <c r="L2" s="463"/>
      <c r="M2" s="463"/>
      <c r="N2" s="463"/>
    </row>
    <row r="3" spans="1:18" ht="11.1" customHeight="1">
      <c r="B3" s="16">
        <f t="shared" ref="B3:B32" si="0">IF(C3="","",WEEKDAY(C3,2))</f>
        <v>4</v>
      </c>
      <c r="C3" s="17">
        <v>44014</v>
      </c>
      <c r="D3" s="757"/>
      <c r="E3" s="739"/>
      <c r="F3" s="872">
        <v>897</v>
      </c>
      <c r="G3" s="884"/>
      <c r="H3" s="874">
        <v>594.29999999999995</v>
      </c>
      <c r="I3" s="668"/>
      <c r="J3" s="759"/>
      <c r="K3" s="670">
        <v>149</v>
      </c>
      <c r="L3" s="463"/>
      <c r="M3" s="463"/>
      <c r="N3" s="463"/>
    </row>
    <row r="4" spans="1:18" ht="11.1" customHeight="1">
      <c r="B4" s="16">
        <f t="shared" si="0"/>
        <v>5</v>
      </c>
      <c r="C4" s="17">
        <v>44015</v>
      </c>
      <c r="D4" s="757"/>
      <c r="E4" s="21"/>
      <c r="F4" s="872"/>
      <c r="G4" s="884"/>
      <c r="H4" s="873">
        <v>1062.9000000000001</v>
      </c>
      <c r="I4" s="227"/>
      <c r="J4" s="759"/>
      <c r="K4" s="670">
        <v>66.099999999999994</v>
      </c>
      <c r="L4" s="463"/>
      <c r="M4" s="463"/>
      <c r="N4" s="463"/>
    </row>
    <row r="5" spans="1:18" ht="11.1" customHeight="1">
      <c r="B5" s="16">
        <f t="shared" si="0"/>
        <v>6</v>
      </c>
      <c r="C5" s="17">
        <v>44016</v>
      </c>
      <c r="D5" s="757">
        <v>828.5</v>
      </c>
      <c r="E5" s="22"/>
      <c r="F5" s="702"/>
      <c r="G5" s="873"/>
      <c r="H5" s="873">
        <v>219.6</v>
      </c>
      <c r="I5" s="227"/>
      <c r="J5" s="759"/>
      <c r="K5" s="669">
        <v>104.5</v>
      </c>
      <c r="L5" s="463"/>
      <c r="M5" s="463"/>
      <c r="N5" s="463"/>
    </row>
    <row r="6" spans="1:18" ht="11.1" customHeight="1">
      <c r="B6" s="16">
        <f t="shared" si="0"/>
        <v>7</v>
      </c>
      <c r="C6" s="17">
        <v>44017</v>
      </c>
      <c r="D6" s="757">
        <v>1180.0999999999999</v>
      </c>
      <c r="E6" s="22"/>
      <c r="F6" s="702"/>
      <c r="G6" s="873"/>
      <c r="H6" s="873">
        <v>244.2</v>
      </c>
      <c r="I6" s="227"/>
      <c r="J6" s="759"/>
      <c r="K6" s="85">
        <v>15</v>
      </c>
      <c r="L6" s="463"/>
      <c r="M6" s="463"/>
      <c r="N6" s="463"/>
    </row>
    <row r="7" spans="1:18" ht="11.1" customHeight="1">
      <c r="B7" s="16">
        <f t="shared" si="0"/>
        <v>1</v>
      </c>
      <c r="C7" s="17">
        <v>44018</v>
      </c>
      <c r="D7" s="757"/>
      <c r="E7" s="22"/>
      <c r="F7" s="226">
        <v>758</v>
      </c>
      <c r="G7" s="227"/>
      <c r="H7" s="227"/>
      <c r="I7" s="227"/>
      <c r="J7" s="875">
        <v>301</v>
      </c>
      <c r="K7" s="85"/>
      <c r="L7" s="463"/>
      <c r="M7" s="463"/>
      <c r="N7" s="463"/>
    </row>
    <row r="8" spans="1:18" ht="11.1" customHeight="1">
      <c r="B8" s="16">
        <f t="shared" si="0"/>
        <v>2</v>
      </c>
      <c r="C8" s="17">
        <v>44019</v>
      </c>
      <c r="D8" s="757"/>
      <c r="E8" s="22"/>
      <c r="F8" s="226">
        <v>672.5</v>
      </c>
      <c r="G8" s="227"/>
      <c r="H8" s="227"/>
      <c r="I8" s="227"/>
      <c r="J8" s="885">
        <v>364.01</v>
      </c>
      <c r="K8" s="726">
        <v>90.5</v>
      </c>
      <c r="L8" s="463"/>
      <c r="M8" s="463"/>
      <c r="N8" s="463"/>
    </row>
    <row r="9" spans="1:18" ht="11.1" customHeight="1">
      <c r="B9" s="16">
        <f>IF(C9="","",WEEKDAY(C9,2))</f>
        <v>3</v>
      </c>
      <c r="C9" s="17">
        <v>44020</v>
      </c>
      <c r="D9" s="757">
        <v>1036.0999999999999</v>
      </c>
      <c r="E9" s="22"/>
      <c r="F9" s="226"/>
      <c r="G9" s="227"/>
      <c r="H9" s="873">
        <v>728.7</v>
      </c>
      <c r="I9" s="227"/>
      <c r="J9" s="18"/>
      <c r="K9" s="726">
        <v>183.5</v>
      </c>
      <c r="L9" s="463"/>
      <c r="M9" s="463"/>
      <c r="N9" s="463"/>
    </row>
    <row r="10" spans="1:18" ht="11.1" customHeight="1">
      <c r="B10" s="16">
        <f t="shared" si="0"/>
        <v>4</v>
      </c>
      <c r="C10" s="17">
        <v>44021</v>
      </c>
      <c r="D10" s="757">
        <v>891.1</v>
      </c>
      <c r="E10" s="22"/>
      <c r="F10" s="226"/>
      <c r="G10" s="227"/>
      <c r="H10" s="873">
        <v>503.9</v>
      </c>
      <c r="I10" s="227"/>
      <c r="J10" s="431"/>
      <c r="K10" s="726">
        <v>66</v>
      </c>
      <c r="L10" s="463"/>
      <c r="M10" s="463"/>
      <c r="N10" s="463"/>
    </row>
    <row r="11" spans="1:18" ht="11.1" customHeight="1">
      <c r="B11" s="16">
        <f t="shared" si="0"/>
        <v>5</v>
      </c>
      <c r="C11" s="17">
        <v>44022</v>
      </c>
      <c r="D11" s="757"/>
      <c r="E11" s="22">
        <v>812.07</v>
      </c>
      <c r="F11" s="226"/>
      <c r="G11" s="226"/>
      <c r="H11" s="702">
        <v>474.4</v>
      </c>
      <c r="I11" s="671"/>
      <c r="J11" s="671"/>
      <c r="K11" s="726">
        <v>49.866</v>
      </c>
      <c r="L11" s="463"/>
      <c r="M11" s="465"/>
      <c r="N11" s="463"/>
      <c r="P11" s="86"/>
      <c r="Q11" s="86"/>
      <c r="R11" s="86"/>
    </row>
    <row r="12" spans="1:18" ht="11.1" customHeight="1">
      <c r="B12" s="16">
        <f t="shared" si="0"/>
        <v>6</v>
      </c>
      <c r="C12" s="17">
        <v>44023</v>
      </c>
      <c r="D12" s="757"/>
      <c r="E12" s="22">
        <v>678.4</v>
      </c>
      <c r="F12" s="226"/>
      <c r="G12" s="226"/>
      <c r="H12" s="702">
        <v>304.7</v>
      </c>
      <c r="I12" s="226"/>
      <c r="J12" s="226"/>
      <c r="K12" s="726">
        <v>69.7</v>
      </c>
      <c r="L12" s="463"/>
      <c r="M12" s="465"/>
      <c r="N12" s="463"/>
      <c r="P12" s="86"/>
      <c r="Q12" s="86"/>
      <c r="R12" s="86"/>
    </row>
    <row r="13" spans="1:18" ht="11.1" customHeight="1">
      <c r="B13" s="16">
        <f t="shared" si="0"/>
        <v>7</v>
      </c>
      <c r="C13" s="17">
        <v>44024</v>
      </c>
      <c r="D13" s="757">
        <v>878.8</v>
      </c>
      <c r="E13" s="22"/>
      <c r="F13" s="226"/>
      <c r="G13" s="226"/>
      <c r="H13" s="226"/>
      <c r="I13" s="702">
        <v>651.1</v>
      </c>
      <c r="J13" s="226"/>
      <c r="K13" s="726"/>
      <c r="L13" s="463"/>
      <c r="M13" s="465"/>
      <c r="N13" s="463"/>
      <c r="P13" s="86"/>
      <c r="Q13" s="86"/>
      <c r="R13" s="86"/>
    </row>
    <row r="14" spans="1:18" ht="11.1" customHeight="1">
      <c r="B14" s="16">
        <f t="shared" si="0"/>
        <v>1</v>
      </c>
      <c r="C14" s="17">
        <v>44025</v>
      </c>
      <c r="D14" s="757">
        <v>640.25</v>
      </c>
      <c r="E14" s="22"/>
      <c r="F14" s="226"/>
      <c r="G14" s="226"/>
      <c r="H14" s="226"/>
      <c r="I14" s="702">
        <v>404.5</v>
      </c>
      <c r="J14" s="226"/>
      <c r="K14" s="726"/>
      <c r="L14" s="463"/>
      <c r="M14" s="465"/>
      <c r="N14" s="463"/>
      <c r="P14" s="86"/>
      <c r="Q14" s="86"/>
      <c r="R14" s="86"/>
    </row>
    <row r="15" spans="1:18" ht="11.25" customHeight="1">
      <c r="A15" s="86"/>
      <c r="B15" s="16">
        <f t="shared" si="0"/>
        <v>2</v>
      </c>
      <c r="C15" s="17">
        <v>44026</v>
      </c>
      <c r="D15" s="757"/>
      <c r="E15" s="22">
        <v>845.87</v>
      </c>
      <c r="F15" s="226"/>
      <c r="G15" s="226"/>
      <c r="H15" s="226"/>
      <c r="I15" s="702">
        <v>609.47</v>
      </c>
      <c r="J15" s="759"/>
      <c r="K15" s="14"/>
      <c r="L15" s="463"/>
      <c r="M15" s="465"/>
      <c r="N15" s="463"/>
      <c r="P15" s="86"/>
      <c r="Q15" s="86"/>
      <c r="R15" s="86"/>
    </row>
    <row r="16" spans="1:18" ht="12.75" customHeight="1">
      <c r="A16" s="86"/>
      <c r="B16" s="16">
        <f t="shared" si="0"/>
        <v>3</v>
      </c>
      <c r="C16" s="17">
        <v>44027</v>
      </c>
      <c r="D16" s="739">
        <v>598.5</v>
      </c>
      <c r="E16" s="21">
        <v>1376.05</v>
      </c>
      <c r="F16" s="702"/>
      <c r="G16" s="702"/>
      <c r="H16" s="226"/>
      <c r="I16" s="226"/>
      <c r="J16" s="885">
        <v>255</v>
      </c>
      <c r="K16" s="726">
        <v>75.55</v>
      </c>
      <c r="L16" s="463"/>
      <c r="M16" s="465"/>
      <c r="N16" s="465"/>
      <c r="O16" s="86"/>
      <c r="P16" s="86"/>
      <c r="Q16" s="86"/>
      <c r="R16" s="86"/>
    </row>
    <row r="17" spans="1:18" ht="11.1" customHeight="1">
      <c r="A17" s="86"/>
      <c r="B17" s="16">
        <f t="shared" si="0"/>
        <v>4</v>
      </c>
      <c r="C17" s="17">
        <v>44028</v>
      </c>
      <c r="D17" s="757"/>
      <c r="E17" s="22">
        <f>644.1+3+294.4+69.5</f>
        <v>1011</v>
      </c>
      <c r="F17" s="702">
        <v>561.29999999999995</v>
      </c>
      <c r="G17" s="226"/>
      <c r="H17" s="226"/>
      <c r="I17" s="226"/>
      <c r="J17" s="14"/>
      <c r="K17" s="726"/>
      <c r="L17" s="463"/>
      <c r="M17" s="465"/>
      <c r="N17" s="467"/>
      <c r="O17" s="86"/>
      <c r="P17" s="86"/>
      <c r="Q17" s="86"/>
      <c r="R17" s="86"/>
    </row>
    <row r="18" spans="1:18" ht="11.1" customHeight="1">
      <c r="A18" s="86"/>
      <c r="B18" s="16">
        <f t="shared" si="0"/>
        <v>5</v>
      </c>
      <c r="C18" s="17">
        <v>44029</v>
      </c>
      <c r="D18" s="22">
        <v>737.4</v>
      </c>
      <c r="E18" s="22"/>
      <c r="F18" s="702">
        <v>503.7</v>
      </c>
      <c r="G18" s="702"/>
      <c r="H18" s="226"/>
      <c r="I18" s="226"/>
      <c r="J18" s="226"/>
      <c r="K18" s="726">
        <v>93.2</v>
      </c>
      <c r="L18" s="463"/>
      <c r="M18" s="465"/>
      <c r="N18" s="465"/>
      <c r="O18" s="86"/>
      <c r="P18" s="86"/>
      <c r="Q18" s="86"/>
      <c r="R18" s="86"/>
    </row>
    <row r="19" spans="1:18" ht="11.1" customHeight="1">
      <c r="A19" s="86"/>
      <c r="B19" s="16">
        <f t="shared" si="0"/>
        <v>6</v>
      </c>
      <c r="C19" s="17">
        <v>44030</v>
      </c>
      <c r="D19" s="22"/>
      <c r="E19" s="757">
        <v>1085.5999999999999</v>
      </c>
      <c r="F19" s="702"/>
      <c r="G19" s="702"/>
      <c r="H19" s="226"/>
      <c r="I19" s="702">
        <v>505</v>
      </c>
      <c r="J19" s="14"/>
      <c r="K19" s="726">
        <v>15</v>
      </c>
      <c r="L19" s="463"/>
      <c r="M19" s="465"/>
      <c r="N19" s="465"/>
      <c r="O19" s="86"/>
      <c r="P19" s="86"/>
      <c r="Q19" s="86"/>
      <c r="R19" s="86"/>
    </row>
    <row r="20" spans="1:18" s="86" customFormat="1" ht="11.1" customHeight="1">
      <c r="A20" s="474"/>
      <c r="B20" s="459">
        <f t="shared" si="0"/>
        <v>7</v>
      </c>
      <c r="C20" s="17">
        <v>44031</v>
      </c>
      <c r="D20" s="22"/>
      <c r="E20" s="22">
        <v>931.95</v>
      </c>
      <c r="F20" s="702"/>
      <c r="G20" s="702"/>
      <c r="H20" s="226"/>
      <c r="I20" s="702">
        <v>615.16</v>
      </c>
      <c r="J20" s="22"/>
      <c r="K20" s="727">
        <v>207.7</v>
      </c>
      <c r="L20" s="465"/>
      <c r="M20" s="465"/>
      <c r="N20" s="465"/>
    </row>
    <row r="21" spans="1:18" s="86" customFormat="1" ht="11.1" customHeight="1">
      <c r="B21" s="459">
        <f t="shared" si="0"/>
        <v>1</v>
      </c>
      <c r="C21" s="17">
        <v>44032</v>
      </c>
      <c r="D21" s="22">
        <v>1703</v>
      </c>
      <c r="E21" s="22"/>
      <c r="F21" s="226"/>
      <c r="G21" s="702">
        <v>658.1</v>
      </c>
      <c r="H21" s="226"/>
      <c r="I21" s="226"/>
      <c r="J21" s="226"/>
      <c r="K21" s="727"/>
      <c r="L21" s="465"/>
      <c r="M21" s="465"/>
      <c r="N21" s="465"/>
    </row>
    <row r="22" spans="1:18" s="86" customFormat="1" ht="11.1" customHeight="1">
      <c r="B22" s="459">
        <f>IF(C22="","",WEEKDAY(C22,2))</f>
        <v>2</v>
      </c>
      <c r="C22" s="17">
        <v>44033</v>
      </c>
      <c r="D22" s="22">
        <v>1523.9</v>
      </c>
      <c r="E22" s="22"/>
      <c r="F22" s="226"/>
      <c r="G22" s="702">
        <v>596</v>
      </c>
      <c r="H22" s="226"/>
      <c r="I22" s="226"/>
      <c r="J22" s="226"/>
      <c r="K22" s="727">
        <v>83.5</v>
      </c>
      <c r="L22" s="465"/>
      <c r="M22" s="465"/>
      <c r="N22" s="465"/>
    </row>
    <row r="23" spans="1:18" s="86" customFormat="1" ht="11.1" customHeight="1">
      <c r="A23" s="888"/>
      <c r="B23" s="459">
        <f t="shared" si="0"/>
        <v>3</v>
      </c>
      <c r="C23" s="17">
        <v>44034</v>
      </c>
      <c r="D23" s="22"/>
      <c r="E23" s="22">
        <v>1341.7</v>
      </c>
      <c r="F23" s="226"/>
      <c r="G23" s="702">
        <v>545.70000000000005</v>
      </c>
      <c r="H23" s="226"/>
      <c r="I23" s="226"/>
      <c r="J23" s="475"/>
      <c r="K23" s="727">
        <v>134.9</v>
      </c>
      <c r="L23" s="465"/>
      <c r="M23" s="465"/>
      <c r="N23" s="465"/>
    </row>
    <row r="24" spans="1:18" s="86" customFormat="1" ht="10.5" customHeight="1">
      <c r="A24" s="888"/>
      <c r="B24" s="459">
        <f t="shared" si="0"/>
        <v>4</v>
      </c>
      <c r="C24" s="17">
        <v>44035</v>
      </c>
      <c r="D24" s="22">
        <v>574.79999999999995</v>
      </c>
      <c r="E24" s="22">
        <v>502</v>
      </c>
      <c r="F24" s="702">
        <v>398.9</v>
      </c>
      <c r="G24" s="702"/>
      <c r="H24" s="702"/>
      <c r="I24" s="226"/>
      <c r="J24" s="226"/>
      <c r="K24" s="727">
        <v>94.7</v>
      </c>
      <c r="L24" s="465"/>
      <c r="M24" s="704"/>
      <c r="N24" s="465"/>
    </row>
    <row r="25" spans="1:18" s="86" customFormat="1" ht="11.1" customHeight="1">
      <c r="B25" s="459">
        <f t="shared" si="0"/>
        <v>5</v>
      </c>
      <c r="C25" s="17">
        <v>44036</v>
      </c>
      <c r="D25" s="22">
        <v>828.7</v>
      </c>
      <c r="E25" s="22"/>
      <c r="F25" s="226"/>
      <c r="G25" s="226"/>
      <c r="H25" s="702">
        <v>513.70000000000005</v>
      </c>
      <c r="I25" s="226"/>
      <c r="J25" s="226"/>
      <c r="K25" s="727">
        <v>170</v>
      </c>
      <c r="L25" s="465"/>
      <c r="M25" s="465"/>
      <c r="N25" s="476"/>
    </row>
    <row r="26" spans="1:18" s="86" customFormat="1" ht="11.1" customHeight="1">
      <c r="B26" s="459">
        <f t="shared" si="0"/>
        <v>6</v>
      </c>
      <c r="C26" s="17">
        <v>44037</v>
      </c>
      <c r="D26" s="22">
        <v>1105.45</v>
      </c>
      <c r="E26" s="22"/>
      <c r="F26" s="22"/>
      <c r="G26" s="22"/>
      <c r="H26" s="883">
        <v>563.5</v>
      </c>
      <c r="I26" s="477"/>
      <c r="J26" s="226"/>
      <c r="K26" s="727"/>
      <c r="L26" s="465"/>
      <c r="M26" s="465"/>
      <c r="N26" s="476"/>
    </row>
    <row r="27" spans="1:18" s="86" customFormat="1" ht="11.1" customHeight="1">
      <c r="B27" s="459">
        <f t="shared" si="0"/>
        <v>7</v>
      </c>
      <c r="C27" s="17">
        <v>44038</v>
      </c>
      <c r="D27" s="573"/>
      <c r="E27" s="22">
        <v>1099.8</v>
      </c>
      <c r="F27" s="226"/>
      <c r="G27" s="226"/>
      <c r="H27" s="886">
        <v>958</v>
      </c>
      <c r="I27" s="573"/>
      <c r="J27" s="226"/>
      <c r="K27" s="727"/>
      <c r="L27" s="468"/>
      <c r="M27" s="468"/>
      <c r="N27" s="468"/>
      <c r="O27" s="366"/>
      <c r="P27" s="366"/>
      <c r="Q27" s="366"/>
      <c r="R27" s="366"/>
    </row>
    <row r="28" spans="1:18" s="86" customFormat="1" ht="10.5" customHeight="1">
      <c r="A28" s="474"/>
      <c r="B28" s="459">
        <f t="shared" si="0"/>
        <v>1</v>
      </c>
      <c r="C28" s="17">
        <v>44039</v>
      </c>
      <c r="D28" s="22"/>
      <c r="E28" s="22">
        <v>1210.4000000000001</v>
      </c>
      <c r="F28" s="702">
        <v>697</v>
      </c>
      <c r="G28" s="702"/>
      <c r="H28" s="226"/>
      <c r="I28" s="226"/>
      <c r="J28" s="226"/>
      <c r="K28" s="727"/>
      <c r="L28" s="468"/>
      <c r="M28" s="468"/>
      <c r="N28" s="468"/>
      <c r="O28" s="366"/>
      <c r="P28" s="366"/>
      <c r="Q28" s="366"/>
      <c r="R28" s="366"/>
    </row>
    <row r="29" spans="1:18" s="86" customFormat="1" ht="10.5" customHeight="1">
      <c r="B29" s="459">
        <f t="shared" si="0"/>
        <v>2</v>
      </c>
      <c r="C29" s="17">
        <v>44040</v>
      </c>
      <c r="D29" s="22">
        <v>1085.7</v>
      </c>
      <c r="E29" s="22"/>
      <c r="F29" s="702">
        <v>513.4</v>
      </c>
      <c r="G29" s="702"/>
      <c r="H29" s="226"/>
      <c r="I29" s="226"/>
      <c r="J29" s="226"/>
      <c r="K29" s="727"/>
      <c r="L29" s="468"/>
      <c r="M29" s="466"/>
      <c r="N29" s="466"/>
      <c r="O29" s="366"/>
      <c r="P29" s="366"/>
      <c r="Q29" s="366"/>
      <c r="R29" s="366"/>
    </row>
    <row r="30" spans="1:18" s="86" customFormat="1" ht="11.1" customHeight="1">
      <c r="B30" s="459">
        <f t="shared" si="0"/>
        <v>3</v>
      </c>
      <c r="C30" s="17">
        <v>44041</v>
      </c>
      <c r="D30" s="22">
        <v>1124.7</v>
      </c>
      <c r="E30" s="226"/>
      <c r="F30" s="768"/>
      <c r="G30" s="882"/>
      <c r="H30" s="702">
        <v>769.8</v>
      </c>
      <c r="I30" s="226"/>
      <c r="J30" s="670"/>
      <c r="K30" s="727"/>
      <c r="L30" s="466"/>
      <c r="M30" s="468"/>
      <c r="N30" s="466"/>
      <c r="O30" s="366"/>
      <c r="P30" s="366"/>
      <c r="Q30" s="366"/>
      <c r="R30" s="366"/>
    </row>
    <row r="31" spans="1:18" s="86" customFormat="1" ht="11.1" customHeight="1">
      <c r="A31" s="474"/>
      <c r="B31" s="459">
        <f t="shared" si="0"/>
        <v>4</v>
      </c>
      <c r="C31" s="17">
        <v>44042</v>
      </c>
      <c r="D31" s="22"/>
      <c r="E31" s="22">
        <f>986.5+35</f>
        <v>1021.5</v>
      </c>
      <c r="F31" s="226"/>
      <c r="G31" s="226"/>
      <c r="H31" s="702">
        <v>581.1</v>
      </c>
      <c r="I31" s="226"/>
      <c r="J31" s="870"/>
      <c r="K31" s="728"/>
      <c r="L31" s="469"/>
      <c r="M31" s="469"/>
      <c r="N31" s="469"/>
      <c r="O31" s="366"/>
      <c r="P31" s="366"/>
      <c r="Q31" s="366"/>
      <c r="R31" s="366"/>
    </row>
    <row r="32" spans="1:18" s="86" customFormat="1" ht="11.25" customHeight="1">
      <c r="A32" s="474"/>
      <c r="B32" s="459">
        <f t="shared" si="0"/>
        <v>5</v>
      </c>
      <c r="C32" s="17">
        <v>44043</v>
      </c>
      <c r="D32" s="237">
        <v>1755.6</v>
      </c>
      <c r="E32" s="237"/>
      <c r="F32" s="702"/>
      <c r="G32" s="702"/>
      <c r="H32" s="702">
        <v>448.6</v>
      </c>
      <c r="I32" s="226"/>
      <c r="J32" s="366"/>
      <c r="K32" s="469"/>
      <c r="L32" s="469"/>
      <c r="M32" s="469"/>
      <c r="N32" s="469"/>
      <c r="O32" s="145"/>
      <c r="P32" s="366"/>
      <c r="Q32" s="366"/>
      <c r="R32" s="366"/>
    </row>
    <row r="33" spans="1:24" ht="14.1" customHeight="1" thickBot="1">
      <c r="B33" s="21"/>
      <c r="C33" s="546" t="s">
        <v>225</v>
      </c>
      <c r="D33" s="248">
        <f>COUNT(D2:D32)</f>
        <v>17</v>
      </c>
      <c r="E33" s="248">
        <f>COUNT(E2:E32)</f>
        <v>12</v>
      </c>
      <c r="F33" s="248">
        <f t="shared" ref="F33:G33" si="1">COUNT(F2:F32)</f>
        <v>9</v>
      </c>
      <c r="G33" s="248">
        <f t="shared" si="1"/>
        <v>3</v>
      </c>
      <c r="H33" s="248">
        <f>COUNT(H2:H32)</f>
        <v>14</v>
      </c>
      <c r="I33" s="248">
        <f>COUNT(I2:I32)</f>
        <v>5</v>
      </c>
      <c r="K33" s="469"/>
      <c r="L33" s="469"/>
      <c r="M33" s="469"/>
      <c r="N33" s="469"/>
      <c r="O33" s="366"/>
      <c r="P33" s="366"/>
      <c r="Q33" s="366"/>
      <c r="R33" s="366"/>
    </row>
    <row r="34" spans="1:24" ht="14.1" customHeight="1" thickBot="1">
      <c r="B34" s="21"/>
      <c r="C34" s="85" t="s">
        <v>73</v>
      </c>
      <c r="D34" s="238">
        <f t="shared" ref="D34:I34" si="2">SUM(D2:D32)</f>
        <v>16988.2</v>
      </c>
      <c r="E34" s="238">
        <f t="shared" si="2"/>
        <v>11916.339999999998</v>
      </c>
      <c r="F34" s="238">
        <f t="shared" si="2"/>
        <v>5426.9999999999991</v>
      </c>
      <c r="G34" s="238">
        <f t="shared" si="2"/>
        <v>1799.8</v>
      </c>
      <c r="H34" s="238">
        <f t="shared" si="2"/>
        <v>7967.4000000000005</v>
      </c>
      <c r="I34" s="238">
        <f t="shared" si="2"/>
        <v>2785.2299999999996</v>
      </c>
      <c r="J34" s="1"/>
      <c r="K34" s="253" t="s">
        <v>189</v>
      </c>
      <c r="L34" s="292" t="s">
        <v>190</v>
      </c>
      <c r="M34" s="452" t="s">
        <v>219</v>
      </c>
      <c r="N34" s="363"/>
      <c r="O34" s="366"/>
      <c r="P34" s="366"/>
      <c r="Q34" s="366"/>
      <c r="R34" s="366"/>
    </row>
    <row r="35" spans="1:24" ht="14.1" customHeight="1" thickBot="1">
      <c r="B35" s="21"/>
      <c r="C35" s="85" t="s">
        <v>22</v>
      </c>
      <c r="D35" s="238">
        <v>14953.35</v>
      </c>
      <c r="E35" s="238">
        <v>11620.52</v>
      </c>
      <c r="F35" s="238">
        <v>5197.3</v>
      </c>
      <c r="G35" s="238">
        <v>1466</v>
      </c>
      <c r="H35" s="238">
        <v>7364.41</v>
      </c>
      <c r="I35" s="238">
        <f>1942.28-115</f>
        <v>1827.28</v>
      </c>
      <c r="J35" s="12"/>
      <c r="K35" s="292">
        <f>SUM(D17:E26)+SUM(D2:E15)+F3+F7+F8+E16+E27+D29+E28+D30+D32+E31</f>
        <v>30633.54</v>
      </c>
      <c r="L35" s="292">
        <f>SUM(G2:J26)+F2+D16+F17+F18+F24+H27+F28+F29+H30+H31+H32</f>
        <v>17170.439999999999</v>
      </c>
      <c r="M35" s="453">
        <f>SUM(K2:K32)</f>
        <v>1736.5160000000001</v>
      </c>
      <c r="N35" s="363"/>
      <c r="O35" s="366"/>
      <c r="P35" s="366"/>
      <c r="Q35" s="366"/>
      <c r="R35" s="366"/>
    </row>
    <row r="36" spans="1:24" ht="14.1" customHeight="1">
      <c r="B36" s="21"/>
      <c r="C36" s="85" t="s">
        <v>5</v>
      </c>
      <c r="D36" s="88">
        <f t="shared" ref="D36:I36" si="3">ABS(D34-D35)</f>
        <v>2034.8500000000004</v>
      </c>
      <c r="E36" s="88">
        <f t="shared" si="3"/>
        <v>295.81999999999789</v>
      </c>
      <c r="F36" s="88">
        <f t="shared" si="3"/>
        <v>229.69999999999891</v>
      </c>
      <c r="G36" s="88">
        <f t="shared" si="3"/>
        <v>333.79999999999995</v>
      </c>
      <c r="H36" s="88">
        <f t="shared" si="3"/>
        <v>602.99000000000069</v>
      </c>
      <c r="I36" s="88">
        <f t="shared" si="3"/>
        <v>957.94999999999959</v>
      </c>
      <c r="J36" s="1"/>
      <c r="K36" s="363"/>
      <c r="L36" s="363"/>
      <c r="M36" s="363"/>
      <c r="N36" s="363"/>
      <c r="O36" s="366"/>
      <c r="P36" s="366"/>
      <c r="Q36" s="366"/>
      <c r="R36" s="366"/>
    </row>
    <row r="37" spans="1:24" ht="14.1" customHeight="1">
      <c r="B37" s="21"/>
      <c r="C37" s="700" t="s">
        <v>233</v>
      </c>
      <c r="D37" s="89">
        <f t="shared" ref="D37:I37" si="4">ROUND(D36*1%,2)</f>
        <v>20.350000000000001</v>
      </c>
      <c r="E37" s="89">
        <f t="shared" si="4"/>
        <v>2.96</v>
      </c>
      <c r="F37" s="89">
        <f t="shared" si="4"/>
        <v>2.2999999999999998</v>
      </c>
      <c r="G37" s="89">
        <f t="shared" si="4"/>
        <v>3.34</v>
      </c>
      <c r="H37" s="89">
        <f t="shared" si="4"/>
        <v>6.03</v>
      </c>
      <c r="I37" s="89">
        <f t="shared" si="4"/>
        <v>9.58</v>
      </c>
      <c r="J37" s="1"/>
      <c r="K37" s="363"/>
      <c r="L37" s="363"/>
      <c r="M37" s="363"/>
      <c r="N37" s="363"/>
      <c r="O37" s="366"/>
      <c r="P37" s="366"/>
      <c r="Q37" s="366"/>
      <c r="R37" s="366"/>
    </row>
    <row r="38" spans="1:24" ht="14.1" customHeight="1">
      <c r="B38" s="21"/>
      <c r="C38" s="699" t="s">
        <v>234</v>
      </c>
      <c r="D38" s="89">
        <f t="shared" ref="D38:I38" si="5">ROUND(3%*D35,2)</f>
        <v>448.6</v>
      </c>
      <c r="E38" s="89">
        <f t="shared" si="5"/>
        <v>348.62</v>
      </c>
      <c r="F38" s="89">
        <f t="shared" si="5"/>
        <v>155.91999999999999</v>
      </c>
      <c r="G38" s="89">
        <f t="shared" si="5"/>
        <v>43.98</v>
      </c>
      <c r="H38" s="89">
        <f t="shared" si="5"/>
        <v>220.93</v>
      </c>
      <c r="I38" s="89">
        <f t="shared" si="5"/>
        <v>54.82</v>
      </c>
      <c r="J38" s="1"/>
      <c r="K38" s="145"/>
      <c r="L38" s="145"/>
      <c r="M38" s="366"/>
      <c r="N38" s="363"/>
      <c r="O38" s="366"/>
      <c r="P38" s="366"/>
      <c r="Q38" s="366"/>
      <c r="R38" s="366"/>
    </row>
    <row r="39" spans="1:24" ht="14.1" customHeight="1">
      <c r="B39" s="21"/>
      <c r="C39" s="85" t="s">
        <v>7</v>
      </c>
      <c r="D39" s="87">
        <v>50</v>
      </c>
      <c r="E39" s="87">
        <v>50</v>
      </c>
      <c r="F39" s="87"/>
      <c r="G39" s="87"/>
      <c r="H39" s="472"/>
      <c r="I39" s="472"/>
      <c r="J39" s="12"/>
      <c r="K39" s="145"/>
      <c r="L39" s="366"/>
      <c r="M39" s="366"/>
      <c r="N39" s="363"/>
      <c r="O39" s="366"/>
      <c r="P39" s="366"/>
      <c r="Q39" s="366"/>
      <c r="R39" s="366"/>
    </row>
    <row r="40" spans="1:24" ht="14.1" customHeight="1">
      <c r="B40" s="21"/>
      <c r="C40" s="85" t="s">
        <v>14</v>
      </c>
      <c r="D40" s="87">
        <f>ROUND(20*D33,2)</f>
        <v>340</v>
      </c>
      <c r="E40" s="87">
        <f>ROUND(20*E33,2)</f>
        <v>240</v>
      </c>
      <c r="F40" s="87">
        <f>(6*25)+(3*20)</f>
        <v>210</v>
      </c>
      <c r="G40" s="87">
        <f>ROUND(25*G33,2)</f>
        <v>75</v>
      </c>
      <c r="H40" s="88">
        <f>ROUND(25*H33,2)</f>
        <v>350</v>
      </c>
      <c r="I40" s="88">
        <f>ROUND(25*I33,2)</f>
        <v>125</v>
      </c>
      <c r="J40" s="8"/>
      <c r="K40" s="283"/>
      <c r="L40" s="145"/>
      <c r="M40" s="145"/>
      <c r="N40" s="363"/>
      <c r="O40" s="366"/>
      <c r="P40" s="366"/>
      <c r="Q40" s="366"/>
      <c r="R40" s="366"/>
    </row>
    <row r="41" spans="1:24" ht="14.1" customHeight="1">
      <c r="B41" s="31"/>
      <c r="C41" s="239" t="s">
        <v>94</v>
      </c>
      <c r="D41" s="18">
        <v>337.71</v>
      </c>
      <c r="E41" s="241">
        <v>180.88</v>
      </c>
      <c r="F41" s="87"/>
      <c r="G41" s="87"/>
      <c r="H41" s="87">
        <v>257.08999999999997</v>
      </c>
      <c r="I41" s="87"/>
      <c r="K41" s="145"/>
      <c r="L41" s="366"/>
      <c r="M41" s="366"/>
      <c r="N41" s="363"/>
      <c r="O41" s="366"/>
      <c r="P41" s="366"/>
      <c r="Q41" s="366"/>
      <c r="R41" s="366"/>
    </row>
    <row r="42" spans="1:24" ht="14.1" hidden="1" customHeight="1">
      <c r="B42" s="21"/>
      <c r="C42" s="242" t="s">
        <v>48</v>
      </c>
      <c r="D42" s="243"/>
      <c r="E42" s="240"/>
      <c r="F42" s="87"/>
      <c r="G42" s="87"/>
      <c r="H42" s="87"/>
      <c r="I42" s="87"/>
      <c r="J42" s="8"/>
      <c r="K42" s="283"/>
      <c r="L42" s="145"/>
      <c r="M42" s="366"/>
      <c r="N42" s="366"/>
      <c r="O42" s="366"/>
      <c r="P42" s="366"/>
      <c r="Q42" s="366"/>
      <c r="R42" s="366"/>
    </row>
    <row r="43" spans="1:24" ht="14.1" hidden="1" customHeight="1">
      <c r="B43" s="21"/>
      <c r="C43" s="756"/>
      <c r="D43" s="243"/>
      <c r="E43" s="240"/>
      <c r="F43" s="87"/>
      <c r="G43" s="87"/>
      <c r="H43" s="87"/>
      <c r="I43" s="87"/>
      <c r="J43" s="8"/>
      <c r="K43" s="283"/>
      <c r="L43" s="145"/>
      <c r="M43" s="366"/>
      <c r="N43" s="366"/>
      <c r="O43" s="366"/>
      <c r="P43" s="366"/>
      <c r="Q43" s="366"/>
      <c r="R43" s="366"/>
    </row>
    <row r="44" spans="1:24" ht="14.1" customHeight="1">
      <c r="B44" s="21"/>
      <c r="C44" s="245" t="s">
        <v>77</v>
      </c>
      <c r="D44" s="455">
        <f>D37+D38+D39+D40-D41</f>
        <v>521.24</v>
      </c>
      <c r="E44" s="455">
        <f>E37+E38+E39+E40-E41-E42</f>
        <v>460.69999999999993</v>
      </c>
      <c r="F44" s="455">
        <f>F37+F38+F40</f>
        <v>368.22</v>
      </c>
      <c r="G44" s="455">
        <f>G37+G38+G40</f>
        <v>122.32</v>
      </c>
      <c r="H44" s="455">
        <f>H37+H38+H40-H41</f>
        <v>319.87000000000006</v>
      </c>
      <c r="I44" s="455">
        <f>I37+I38+I40</f>
        <v>189.4</v>
      </c>
      <c r="J44" s="8"/>
      <c r="K44" s="145"/>
      <c r="L44" s="145"/>
      <c r="M44" s="366"/>
      <c r="N44" s="366"/>
      <c r="O44" s="366"/>
      <c r="P44" s="366"/>
      <c r="Q44" s="366"/>
      <c r="R44" s="366"/>
    </row>
    <row r="45" spans="1:24" ht="14.1" customHeight="1">
      <c r="B45" s="21"/>
      <c r="C45" s="286" t="s">
        <v>45</v>
      </c>
      <c r="D45" s="287">
        <f>D37+D38+D39+D40</f>
        <v>858.95</v>
      </c>
      <c r="E45" s="287">
        <f>E37+E38+E39+E40</f>
        <v>641.57999999999993</v>
      </c>
      <c r="F45" s="287">
        <f>F37+F38+F39+F40</f>
        <v>368.22</v>
      </c>
      <c r="G45" s="287">
        <f>G37+G38+G40</f>
        <v>122.32</v>
      </c>
      <c r="H45" s="287">
        <f>H37+H38+H40</f>
        <v>576.96</v>
      </c>
      <c r="I45" s="287">
        <f>I37+I38+I40</f>
        <v>189.4</v>
      </c>
      <c r="J45" s="8"/>
      <c r="K45" s="461"/>
      <c r="L45" s="366"/>
      <c r="M45" s="366"/>
      <c r="N45" s="366"/>
      <c r="O45" s="366"/>
      <c r="P45" s="366"/>
      <c r="Q45" s="366"/>
      <c r="R45" s="366"/>
      <c r="S45" s="1"/>
      <c r="T45" s="1"/>
      <c r="U45" s="1"/>
      <c r="V45" s="1"/>
      <c r="W45" s="1"/>
      <c r="X45" s="1"/>
    </row>
    <row r="46" spans="1:24" ht="12.95" customHeight="1">
      <c r="B46" s="21"/>
      <c r="C46" s="169"/>
      <c r="D46" s="364">
        <f>D44+E44</f>
        <v>981.93999999999994</v>
      </c>
      <c r="E46" s="461"/>
      <c r="F46" s="8"/>
      <c r="G46" s="8">
        <f>F44+G44+H44+I44</f>
        <v>999.81000000000006</v>
      </c>
      <c r="H46" s="8"/>
      <c r="I46" s="8"/>
      <c r="J46" s="8"/>
      <c r="K46" s="283"/>
      <c r="L46" s="366"/>
      <c r="M46" s="366"/>
      <c r="N46" s="366"/>
      <c r="O46" s="366"/>
      <c r="P46" s="366"/>
      <c r="Q46" s="366"/>
      <c r="R46" s="366"/>
      <c r="S46" s="1"/>
      <c r="T46" s="1"/>
      <c r="U46" s="1"/>
      <c r="V46" s="1"/>
      <c r="W46" s="1"/>
      <c r="X46" s="1"/>
    </row>
    <row r="47" spans="1:24" s="86" customFormat="1" ht="12.95" customHeight="1">
      <c r="A47" s="168"/>
      <c r="B47" s="474"/>
      <c r="C47" s="1204"/>
      <c r="D47" s="1204"/>
      <c r="E47" s="1204"/>
      <c r="F47" s="1204"/>
      <c r="G47" s="1204"/>
      <c r="H47" s="1204"/>
      <c r="I47" s="887"/>
      <c r="J47" s="168"/>
      <c r="K47" s="68"/>
      <c r="L47" s="145"/>
      <c r="M47" s="366"/>
      <c r="N47" s="366"/>
      <c r="O47" s="145"/>
      <c r="P47" s="366"/>
      <c r="Q47" s="366"/>
      <c r="R47" s="366"/>
      <c r="S47" s="366"/>
      <c r="T47" s="366"/>
      <c r="U47" s="366"/>
      <c r="V47" s="366"/>
      <c r="W47" s="366"/>
      <c r="X47" s="366"/>
    </row>
    <row r="48" spans="1:24" s="86" customFormat="1" ht="12.95" customHeight="1">
      <c r="A48" s="168"/>
      <c r="B48" s="474"/>
      <c r="C48" s="366"/>
      <c r="D48" s="145"/>
      <c r="E48" s="145" t="s">
        <v>352</v>
      </c>
      <c r="F48" s="168"/>
      <c r="G48" s="168"/>
      <c r="H48" s="168"/>
      <c r="I48" s="168"/>
      <c r="J48" s="168"/>
      <c r="K48" s="72"/>
      <c r="L48" s="366"/>
      <c r="M48" s="366"/>
      <c r="N48" s="366"/>
      <c r="O48" s="145"/>
      <c r="P48" s="366"/>
      <c r="Q48" s="366"/>
      <c r="R48" s="366"/>
      <c r="S48" s="366"/>
      <c r="T48" s="366"/>
      <c r="U48" s="366"/>
      <c r="V48" s="366"/>
      <c r="W48" s="366"/>
      <c r="X48" s="366"/>
    </row>
    <row r="49" spans="1:24" ht="12.95" customHeight="1">
      <c r="B49" s="32"/>
      <c r="C49" s="1"/>
      <c r="D49" s="1"/>
      <c r="E49" s="127"/>
      <c r="H49" s="8"/>
      <c r="I49" s="8"/>
      <c r="J49" s="207"/>
      <c r="K49" s="68"/>
      <c r="L49" s="366"/>
      <c r="M49" s="366"/>
      <c r="N49" s="366"/>
      <c r="O49" s="366"/>
      <c r="P49" s="366"/>
      <c r="Q49" s="366"/>
      <c r="R49" s="366"/>
      <c r="S49" s="1"/>
      <c r="T49" s="1"/>
      <c r="U49" s="1"/>
      <c r="V49" s="1"/>
      <c r="W49" s="1"/>
      <c r="X49" s="1"/>
    </row>
    <row r="50" spans="1:24" s="86" customFormat="1" ht="12.95" customHeight="1">
      <c r="B50" s="501"/>
      <c r="C50" s="502"/>
      <c r="D50" s="502"/>
      <c r="E50" s="502"/>
      <c r="F50" s="502"/>
      <c r="G50" s="502"/>
      <c r="H50" s="502"/>
      <c r="I50" s="502"/>
      <c r="J50" s="503"/>
      <c r="K50" s="762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</row>
    <row r="51" spans="1:24" s="86" customFormat="1" ht="12.95" customHeight="1">
      <c r="C51" s="502"/>
      <c r="D51" s="502"/>
      <c r="E51" s="524"/>
      <c r="F51" s="524"/>
      <c r="G51" s="524"/>
      <c r="H51" s="502"/>
      <c r="I51" s="502"/>
      <c r="J51" s="168"/>
      <c r="K51" s="525"/>
      <c r="L51" s="502"/>
      <c r="M51" s="502"/>
      <c r="N51" s="366"/>
      <c r="O51" s="366"/>
      <c r="P51" s="366"/>
      <c r="Q51" s="366"/>
      <c r="R51" s="366"/>
      <c r="S51" s="366"/>
      <c r="T51" s="366"/>
      <c r="U51" s="366"/>
      <c r="V51" s="366"/>
      <c r="W51" s="366"/>
      <c r="X51" s="366"/>
    </row>
    <row r="52" spans="1:24" s="86" customFormat="1" ht="12" customHeight="1">
      <c r="A52" s="366"/>
      <c r="B52" s="366"/>
      <c r="C52" s="502"/>
      <c r="D52" s="502"/>
      <c r="E52" s="524"/>
      <c r="F52" s="524"/>
      <c r="G52" s="524"/>
      <c r="H52" s="502"/>
      <c r="I52" s="502"/>
      <c r="J52" s="503"/>
      <c r="K52" s="502"/>
      <c r="L52" s="502"/>
      <c r="M52" s="502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</row>
    <row r="53" spans="1:24" s="86" customFormat="1" ht="18.75">
      <c r="A53" s="366"/>
      <c r="B53" s="366"/>
      <c r="C53" s="366"/>
      <c r="D53" s="366"/>
      <c r="E53" s="144"/>
      <c r="J53" s="503"/>
      <c r="K53" s="502"/>
      <c r="L53" s="502"/>
      <c r="M53" s="502"/>
      <c r="N53" s="366"/>
      <c r="O53" s="366"/>
      <c r="P53" s="366"/>
      <c r="Q53" s="366"/>
      <c r="R53" s="366"/>
      <c r="S53" s="366"/>
      <c r="T53" s="366"/>
      <c r="U53" s="366"/>
      <c r="V53" s="366"/>
      <c r="W53" s="366"/>
      <c r="X53" s="366"/>
    </row>
    <row r="54" spans="1:24" s="86" customFormat="1">
      <c r="A54" s="366"/>
      <c r="B54" s="366"/>
      <c r="C54" s="366"/>
      <c r="D54" s="366"/>
      <c r="E54" s="144"/>
      <c r="K54" s="143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</row>
    <row r="55" spans="1:24" s="86" customFormat="1" ht="15" customHeight="1">
      <c r="A55" s="366"/>
      <c r="B55" s="366"/>
      <c r="C55" s="366"/>
      <c r="D55" s="366"/>
      <c r="E55" s="144"/>
      <c r="J55" s="524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</row>
    <row r="56" spans="1:24" s="86" customFormat="1" ht="15" customHeight="1">
      <c r="A56" s="366"/>
      <c r="B56" s="366"/>
      <c r="C56" s="366"/>
      <c r="D56" s="366"/>
      <c r="E56" s="144"/>
      <c r="J56" s="524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  <c r="X56" s="366"/>
    </row>
    <row r="57" spans="1:24" s="86" customFormat="1" ht="15" customHeight="1">
      <c r="A57" s="366"/>
      <c r="B57" s="366"/>
      <c r="C57" s="366"/>
      <c r="D57" s="366"/>
      <c r="E57" s="144"/>
      <c r="J57" s="524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</row>
    <row r="58" spans="1:24" s="86" customFormat="1">
      <c r="A58" s="366"/>
      <c r="B58" s="366"/>
      <c r="C58" s="366"/>
      <c r="D58" s="366"/>
      <c r="E58" s="144"/>
      <c r="J58" s="168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</row>
    <row r="59" spans="1:24" s="86" customFormat="1">
      <c r="A59" s="366"/>
      <c r="B59" s="366"/>
      <c r="C59" s="366"/>
      <c r="D59" s="366"/>
      <c r="E59" s="144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  <c r="W59" s="366"/>
      <c r="X59" s="366"/>
    </row>
    <row r="60" spans="1:24" s="86" customFormat="1">
      <c r="A60" s="366"/>
      <c r="B60" s="366"/>
      <c r="C60" s="366"/>
      <c r="D60" s="366"/>
      <c r="E60" s="144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  <c r="W60" s="366"/>
      <c r="X60" s="366"/>
    </row>
    <row r="61" spans="1:24" s="86" customFormat="1">
      <c r="A61" s="366"/>
      <c r="B61" s="366"/>
      <c r="C61" s="366"/>
      <c r="D61" s="366"/>
      <c r="E61" s="144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  <c r="W61" s="366"/>
      <c r="X61" s="366"/>
    </row>
    <row r="62" spans="1:24" s="86" customFormat="1">
      <c r="A62" s="366"/>
      <c r="B62" s="366"/>
      <c r="C62" s="366"/>
      <c r="D62" s="366"/>
      <c r="E62" s="144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  <c r="X62" s="366"/>
    </row>
    <row r="63" spans="1:24">
      <c r="A63" s="1"/>
      <c r="B63" s="1"/>
      <c r="C63" s="1"/>
      <c r="D63" s="1"/>
      <c r="E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1"/>
      <c r="D67" s="1"/>
      <c r="E67" s="11"/>
    </row>
    <row r="68" spans="1:24">
      <c r="A68" s="1"/>
      <c r="B68" s="1"/>
      <c r="C68" s="1"/>
      <c r="D68" s="1"/>
      <c r="E68" s="11"/>
    </row>
    <row r="69" spans="1:24">
      <c r="A69" s="1"/>
      <c r="B69" s="1"/>
      <c r="C69" s="1"/>
      <c r="D69" s="1"/>
      <c r="E69" s="11"/>
    </row>
    <row r="70" spans="1:24">
      <c r="A70" s="1"/>
      <c r="B70" s="1"/>
      <c r="C70" s="1"/>
      <c r="D70" s="1"/>
      <c r="E70" s="11"/>
    </row>
    <row r="71" spans="1:24">
      <c r="A71" s="1"/>
      <c r="B71" s="1"/>
      <c r="C71" s="1"/>
      <c r="D71" s="1"/>
      <c r="E71" s="11"/>
    </row>
    <row r="72" spans="1:24">
      <c r="A72" s="1"/>
      <c r="B72" s="1"/>
      <c r="C72" s="1"/>
      <c r="D72" s="1"/>
      <c r="E72" s="11"/>
    </row>
    <row r="73" spans="1:24">
      <c r="A73" s="1"/>
      <c r="B73" s="1"/>
      <c r="C73" s="1"/>
      <c r="D73" s="1"/>
      <c r="E73" s="11"/>
    </row>
    <row r="74" spans="1:24">
      <c r="A74" s="1"/>
      <c r="B74" s="1"/>
      <c r="C74" s="1"/>
      <c r="D74" s="1"/>
      <c r="E74" s="11"/>
    </row>
    <row r="75" spans="1:24">
      <c r="A75" s="1"/>
      <c r="B75" s="1"/>
      <c r="C75" s="1"/>
      <c r="D75" s="1"/>
      <c r="E75" s="11"/>
    </row>
    <row r="76" spans="1:24">
      <c r="A76" s="1"/>
      <c r="B76" s="1"/>
      <c r="C76" s="1"/>
      <c r="D76" s="1"/>
      <c r="E76" s="11"/>
    </row>
    <row r="77" spans="1:24">
      <c r="A77" s="1"/>
      <c r="B77" s="1"/>
      <c r="C77" s="1"/>
      <c r="D77" s="1"/>
      <c r="E77" s="11"/>
    </row>
    <row r="78" spans="1:24">
      <c r="A78" s="1"/>
      <c r="B78" s="1"/>
      <c r="C78" s="1"/>
      <c r="D78" s="1"/>
      <c r="E78" s="11"/>
    </row>
    <row r="79" spans="1:24">
      <c r="A79" s="1"/>
      <c r="B79" s="1"/>
      <c r="C79" s="1"/>
      <c r="D79" s="1"/>
      <c r="E79" s="11"/>
    </row>
    <row r="80" spans="1:24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A93" s="1"/>
      <c r="B93" s="1"/>
      <c r="E93" s="2"/>
    </row>
    <row r="94" spans="1:5">
      <c r="B94" s="1"/>
      <c r="E94" s="2"/>
    </row>
    <row r="95" spans="1:5">
      <c r="B95" s="1"/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mergeCells count="1">
    <mergeCell ref="C47:H47"/>
  </mergeCells>
  <conditionalFormatting sqref="F32:I32 B2:I2 F4:I4 D26:G26 D5:I15 D29:I29 D31:I31 H30:I30 D30:E30 F16:I16 D16 D28:G28 E27:G27 B3:C32 D3:I3 D4 D17:I25">
    <cfRule type="expression" dxfId="47" priority="1">
      <formula>$B2=7</formula>
    </cfRule>
    <cfRule type="expression" dxfId="46" priority="2">
      <formula>$B2=6</formula>
    </cfRule>
  </conditionalFormatting>
  <pageMargins left="0.7" right="0.7" top="0.75" bottom="0.75" header="0.3" footer="0.3"/>
  <pageSetup paperSize="11" scale="9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4"/>
  <sheetViews>
    <sheetView view="pageBreakPreview" zoomScale="70" zoomScaleNormal="85" zoomScaleSheetLayoutView="70" zoomScalePageLayoutView="70" workbookViewId="0">
      <selection activeCell="B15" sqref="B15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348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895"/>
      <c r="O2" s="896"/>
      <c r="P2" s="896"/>
      <c r="Q2" s="896"/>
      <c r="R2" s="366"/>
      <c r="S2" s="896"/>
      <c r="T2" s="896"/>
      <c r="U2" s="89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895"/>
      <c r="O3" s="366"/>
      <c r="P3" s="366"/>
      <c r="Q3" s="366"/>
      <c r="R3" s="366"/>
      <c r="S3" s="366"/>
      <c r="T3" s="366"/>
      <c r="U3" s="366"/>
      <c r="V3" s="896"/>
      <c r="W3" s="896"/>
      <c r="X3" s="366"/>
      <c r="Y3" s="896"/>
      <c r="Z3" s="629"/>
      <c r="AA3" s="366"/>
      <c r="AB3" s="366"/>
      <c r="AC3" s="366"/>
      <c r="AD3" s="896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889" t="s">
        <v>34</v>
      </c>
      <c r="C4" s="36" t="s">
        <v>35</v>
      </c>
      <c r="D4" s="36" t="s">
        <v>38</v>
      </c>
      <c r="E4" s="36" t="s">
        <v>42</v>
      </c>
      <c r="F4" s="889" t="s">
        <v>36</v>
      </c>
      <c r="G4" s="100" t="s">
        <v>173</v>
      </c>
      <c r="H4" s="676" t="s">
        <v>2</v>
      </c>
      <c r="I4" s="1285" t="s">
        <v>34</v>
      </c>
      <c r="J4" s="1285"/>
      <c r="K4" s="900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>
        <v>44046</v>
      </c>
      <c r="B5" s="463" t="s">
        <v>368</v>
      </c>
      <c r="C5" s="275">
        <v>193.8</v>
      </c>
      <c r="D5" s="275">
        <v>193.8</v>
      </c>
      <c r="E5" s="542" t="str">
        <f t="shared" ref="E5:E19" si="0">IF(C5-D5=0,"",C5-D5)</f>
        <v/>
      </c>
      <c r="F5" s="162" t="str">
        <f t="shared" ref="F5:F19" si="1">IF(C5=0,"",IF(C5-D5=0,"оплачено","ОЖИДАЕТСЯ оплата"))</f>
        <v>оплачено</v>
      </c>
      <c r="G5" s="162"/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>
        <v>44046</v>
      </c>
      <c r="B6" s="880" t="s">
        <v>256</v>
      </c>
      <c r="C6" s="275">
        <v>280.32</v>
      </c>
      <c r="D6" s="275">
        <v>280.32</v>
      </c>
      <c r="E6" s="542" t="str">
        <f t="shared" si="0"/>
        <v/>
      </c>
      <c r="F6" s="162" t="str">
        <f t="shared" si="1"/>
        <v>оплачено</v>
      </c>
      <c r="G6" s="162"/>
      <c r="H6" s="678"/>
      <c r="I6" s="1288"/>
      <c r="J6" s="1289"/>
      <c r="K6" s="480"/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>
        <v>44060</v>
      </c>
      <c r="B7" s="161" t="s">
        <v>370</v>
      </c>
      <c r="C7" s="275">
        <v>448.4</v>
      </c>
      <c r="D7" s="275">
        <v>448.4</v>
      </c>
      <c r="E7" s="542" t="str">
        <f t="shared" si="0"/>
        <v/>
      </c>
      <c r="F7" s="162" t="str">
        <f t="shared" si="1"/>
        <v>оплачено</v>
      </c>
      <c r="G7" s="162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44067</v>
      </c>
      <c r="B8" s="161" t="s">
        <v>257</v>
      </c>
      <c r="C8" s="275">
        <v>235.5</v>
      </c>
      <c r="D8" s="275">
        <v>235.5</v>
      </c>
      <c r="E8" s="542" t="str">
        <f t="shared" si="0"/>
        <v/>
      </c>
      <c r="F8" s="162" t="str">
        <f t="shared" si="1"/>
        <v>оплачено</v>
      </c>
      <c r="G8" s="162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44066</v>
      </c>
      <c r="B9" s="161" t="s">
        <v>155</v>
      </c>
      <c r="C9" s="275">
        <v>231.35</v>
      </c>
      <c r="D9" s="275">
        <v>231.35</v>
      </c>
      <c r="E9" s="542" t="str">
        <f t="shared" si="0"/>
        <v/>
      </c>
      <c r="F9" s="162" t="str">
        <f t="shared" si="1"/>
        <v>оплачено</v>
      </c>
      <c r="G9" s="162"/>
      <c r="H9" s="678"/>
      <c r="I9" s="1288"/>
      <c r="J9" s="1289"/>
      <c r="K9" s="480"/>
      <c r="L9" s="1290"/>
      <c r="M9" s="1291"/>
      <c r="N9" s="766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ht="18.75" customHeight="1">
      <c r="A10" s="325"/>
      <c r="B10" s="161"/>
      <c r="C10" s="275"/>
      <c r="D10" s="275"/>
      <c r="E10" s="542" t="str">
        <f t="shared" si="0"/>
        <v/>
      </c>
      <c r="F10" s="162" t="str">
        <f t="shared" si="1"/>
        <v/>
      </c>
      <c r="G10" s="161"/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5.75" customHeight="1">
      <c r="A11" s="325"/>
      <c r="B11" s="161"/>
      <c r="C11" s="275"/>
      <c r="D11" s="275"/>
      <c r="E11" s="542" t="str">
        <f t="shared" si="0"/>
        <v/>
      </c>
      <c r="F11" s="162" t="str">
        <f t="shared" si="1"/>
        <v/>
      </c>
      <c r="G11" s="161"/>
      <c r="H11" s="678"/>
      <c r="I11" s="1288"/>
      <c r="J11" s="1289"/>
      <c r="K11" s="480"/>
      <c r="L11" s="1191"/>
      <c r="M11" s="1292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4.25" customHeight="1">
      <c r="A12" s="325"/>
      <c r="B12" s="161"/>
      <c r="C12" s="275"/>
      <c r="D12" s="275"/>
      <c r="E12" s="542" t="str">
        <f t="shared" si="0"/>
        <v/>
      </c>
      <c r="F12" s="162" t="str">
        <f t="shared" si="1"/>
        <v/>
      </c>
      <c r="G12" s="161"/>
      <c r="H12" s="678"/>
      <c r="I12" s="1288"/>
      <c r="J12" s="1289"/>
      <c r="K12" s="480"/>
      <c r="L12" s="1191"/>
      <c r="M12" s="1292"/>
      <c r="N12" s="766"/>
      <c r="O12" s="447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 ht="17.25" customHeight="1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1"/>
      <c r="H13" s="678"/>
      <c r="I13" s="1288"/>
      <c r="J13" s="1289"/>
      <c r="K13" s="480"/>
      <c r="L13" s="1191"/>
      <c r="M13" s="1292"/>
      <c r="N13" s="766"/>
      <c r="O13" s="447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0"/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447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1389.37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894" t="s">
        <v>21</v>
      </c>
      <c r="K22" s="894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>
        <v>440</v>
      </c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>
        <v>12</v>
      </c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189">
        <v>606</v>
      </c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>
        <v>728.5</v>
      </c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>
        <v>13.5</v>
      </c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>
        <v>296</v>
      </c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>
        <v>5</v>
      </c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>
        <v>116.3</v>
      </c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>M30-I31-J31-K31+L31</f>
        <v>75409.000000000015</v>
      </c>
      <c r="N31" s="1"/>
      <c r="O31" s="447">
        <v>201</v>
      </c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>M31-I32-J32-K32+L32</f>
        <v>68068.100000000006</v>
      </c>
      <c r="N32" s="1"/>
      <c r="O32" s="447">
        <v>12</v>
      </c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>M32-I33-J33-K33+L33</f>
        <v>69125.030000000013</v>
      </c>
      <c r="N33" s="1"/>
      <c r="O33" s="447">
        <v>150.5</v>
      </c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 thickBot="1">
      <c r="A34" s="339"/>
      <c r="B34" s="199"/>
      <c r="C34" s="1"/>
      <c r="D34" s="273"/>
      <c r="E34" s="366"/>
      <c r="F34" s="366"/>
      <c r="G34" s="366"/>
      <c r="H34" s="608" t="s">
        <v>20</v>
      </c>
      <c r="I34" s="622">
        <v>28716.309999999994</v>
      </c>
      <c r="J34" s="610">
        <v>4480.1000000000004</v>
      </c>
      <c r="K34" s="611">
        <f>741.01+462.85</f>
        <v>1203.8600000000001</v>
      </c>
      <c r="L34" s="611">
        <v>40057.5</v>
      </c>
      <c r="M34" s="733">
        <f>M33-I34-J34-K34+L34</f>
        <v>74782.260000000009</v>
      </c>
      <c r="N34" s="1"/>
      <c r="O34" s="447">
        <v>108</v>
      </c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 thickTop="1">
      <c r="A35" s="339"/>
      <c r="B35" s="199"/>
      <c r="C35" s="1"/>
      <c r="D35" s="273"/>
      <c r="E35" s="84"/>
      <c r="F35" s="366"/>
      <c r="G35" s="366"/>
      <c r="H35" s="1148" t="s">
        <v>36</v>
      </c>
      <c r="I35" s="1150" t="s">
        <v>178</v>
      </c>
      <c r="J35" s="1151"/>
      <c r="K35" s="1152"/>
      <c r="L35" s="1156" t="s">
        <v>159</v>
      </c>
      <c r="M35" s="1156"/>
      <c r="N35" s="747" t="s">
        <v>341</v>
      </c>
      <c r="O35" s="447">
        <v>86</v>
      </c>
      <c r="P35" s="84"/>
      <c r="Q35" s="145"/>
      <c r="R35" s="145"/>
      <c r="S35" s="86"/>
      <c r="T35" s="86"/>
      <c r="U35" s="86"/>
      <c r="V35" s="86"/>
      <c r="W35" s="86"/>
      <c r="X35" s="86"/>
      <c r="Y35" s="366"/>
      <c r="Z35" s="366"/>
    </row>
    <row r="36" spans="1:26" ht="13.5" customHeight="1">
      <c r="A36" s="339"/>
      <c r="B36" s="199"/>
      <c r="C36" s="284"/>
      <c r="D36" s="273"/>
      <c r="E36" s="284"/>
      <c r="F36" s="366"/>
      <c r="G36" s="378"/>
      <c r="H36" s="1149"/>
      <c r="I36" s="1153"/>
      <c r="J36" s="1154"/>
      <c r="K36" s="1155"/>
      <c r="L36" s="1158"/>
      <c r="M36" s="1158"/>
      <c r="N36" s="748" t="s">
        <v>189</v>
      </c>
      <c r="O36" s="447">
        <v>304</v>
      </c>
      <c r="P36" s="84"/>
      <c r="Q36" s="145"/>
      <c r="R36" s="84"/>
      <c r="S36" s="86"/>
      <c r="T36" s="86"/>
      <c r="U36" s="86"/>
      <c r="V36" s="294"/>
      <c r="W36" s="86"/>
      <c r="X36" s="86"/>
      <c r="Y36" s="366"/>
      <c r="Z36" s="366"/>
    </row>
    <row r="37" spans="1:26" ht="15.75" customHeight="1">
      <c r="A37" s="339"/>
      <c r="B37" s="199"/>
      <c r="C37" s="199"/>
      <c r="D37" s="273"/>
      <c r="E37" s="199"/>
      <c r="F37" s="366"/>
      <c r="G37" s="378"/>
      <c r="H37" s="512" t="s">
        <v>250</v>
      </c>
      <c r="I37" s="1278" t="s">
        <v>47</v>
      </c>
      <c r="J37" s="1278"/>
      <c r="K37" s="900">
        <v>328.13</v>
      </c>
      <c r="L37" s="282">
        <v>44027</v>
      </c>
      <c r="M37" s="1" t="s">
        <v>41</v>
      </c>
      <c r="N37" s="749">
        <v>132</v>
      </c>
      <c r="O37" s="447">
        <v>6</v>
      </c>
      <c r="P37" s="84"/>
      <c r="Q37" s="145"/>
      <c r="R37" s="84"/>
      <c r="S37" s="86"/>
      <c r="T37" s="86"/>
      <c r="U37" s="86"/>
      <c r="V37" s="294"/>
      <c r="W37" s="86"/>
      <c r="X37" s="86"/>
      <c r="Y37" s="366"/>
      <c r="Z37" s="366"/>
    </row>
    <row r="38" spans="1:26">
      <c r="A38" s="339"/>
      <c r="B38" s="366"/>
      <c r="C38" s="274"/>
      <c r="D38" s="273"/>
      <c r="E38" s="274"/>
      <c r="F38" s="366"/>
      <c r="G38" s="366"/>
      <c r="H38" s="512" t="s">
        <v>250</v>
      </c>
      <c r="I38" s="1262" t="s">
        <v>51</v>
      </c>
      <c r="J38" s="1262"/>
      <c r="K38" s="899">
        <v>71.83</v>
      </c>
      <c r="L38" s="282">
        <v>44027</v>
      </c>
      <c r="M38" s="1" t="s">
        <v>41</v>
      </c>
      <c r="N38" s="750">
        <v>40</v>
      </c>
      <c r="O38" s="447">
        <v>315</v>
      </c>
      <c r="P38" s="84"/>
      <c r="Q38" s="145"/>
      <c r="R38" s="273"/>
      <c r="S38" s="366"/>
      <c r="T38" s="86"/>
      <c r="U38" s="86"/>
      <c r="V38" s="294"/>
      <c r="W38" s="294"/>
      <c r="X38" s="294"/>
      <c r="Y38" s="366"/>
    </row>
    <row r="39" spans="1:26">
      <c r="A39" s="340"/>
      <c r="B39" s="366"/>
      <c r="C39" s="366"/>
      <c r="D39" s="273"/>
      <c r="E39" s="199"/>
      <c r="F39" s="366"/>
      <c r="G39" s="366"/>
      <c r="H39" s="512" t="s">
        <v>250</v>
      </c>
      <c r="I39" s="1262" t="s">
        <v>52</v>
      </c>
      <c r="J39" s="1262"/>
      <c r="K39" s="899">
        <v>5.63</v>
      </c>
      <c r="L39" s="282">
        <v>44027</v>
      </c>
      <c r="M39" s="1" t="s">
        <v>41</v>
      </c>
      <c r="N39" s="750">
        <v>3</v>
      </c>
      <c r="O39" s="447">
        <v>1.6</v>
      </c>
      <c r="P39" s="84"/>
      <c r="Q39" s="145"/>
      <c r="R39" s="273"/>
      <c r="S39" s="366"/>
      <c r="T39" s="294"/>
      <c r="U39" s="86"/>
      <c r="V39" s="366"/>
      <c r="W39" s="294"/>
      <c r="X39" s="294"/>
      <c r="Y39" s="366"/>
    </row>
    <row r="40" spans="1:26">
      <c r="A40" s="340"/>
      <c r="B40" s="366"/>
      <c r="C40" s="366"/>
      <c r="D40" s="273"/>
      <c r="E40" s="366"/>
      <c r="F40" s="366"/>
      <c r="G40" s="366"/>
      <c r="H40" s="744" t="s">
        <v>338</v>
      </c>
      <c r="I40" s="1262" t="s">
        <v>49</v>
      </c>
      <c r="J40" s="1262"/>
      <c r="K40" s="899">
        <v>314</v>
      </c>
      <c r="L40" s="744" t="s">
        <v>338</v>
      </c>
      <c r="M40" s="1" t="s">
        <v>351</v>
      </c>
      <c r="N40" s="749">
        <v>200</v>
      </c>
      <c r="O40" s="447">
        <v>563</v>
      </c>
      <c r="P40" s="907"/>
      <c r="Q40" s="366"/>
      <c r="R40" s="896"/>
      <c r="S40" s="366"/>
      <c r="T40" s="294"/>
      <c r="U40" s="86"/>
      <c r="V40" s="294"/>
      <c r="W40" s="294"/>
      <c r="X40" s="294"/>
      <c r="Y40" s="366"/>
    </row>
    <row r="41" spans="1:26">
      <c r="A41" s="340"/>
      <c r="B41" s="366"/>
      <c r="C41" s="366"/>
      <c r="D41" s="273"/>
      <c r="E41" s="366"/>
      <c r="F41" s="366"/>
      <c r="G41" s="366"/>
      <c r="H41" s="512" t="s">
        <v>250</v>
      </c>
      <c r="I41" s="1263" t="s">
        <v>59</v>
      </c>
      <c r="J41" s="1263"/>
      <c r="K41" s="901">
        <v>616.54</v>
      </c>
      <c r="L41" s="302" t="s">
        <v>177</v>
      </c>
      <c r="M41" s="1" t="s">
        <v>41</v>
      </c>
      <c r="N41" s="751">
        <v>102.73</v>
      </c>
      <c r="O41" s="447">
        <v>34.200000000000003</v>
      </c>
      <c r="P41" s="646"/>
      <c r="Q41" s="448"/>
      <c r="R41" s="540"/>
      <c r="S41" s="366"/>
      <c r="T41" s="294"/>
      <c r="U41" s="86"/>
      <c r="V41" s="294"/>
      <c r="W41" s="366"/>
      <c r="X41" s="366"/>
      <c r="Y41" s="366"/>
    </row>
    <row r="42" spans="1:26">
      <c r="A42" s="340"/>
      <c r="B42" s="199"/>
      <c r="C42" s="199"/>
      <c r="D42" s="273"/>
      <c r="E42" s="199"/>
      <c r="F42" s="366"/>
      <c r="G42" s="366"/>
      <c r="H42" s="512" t="s">
        <v>250</v>
      </c>
      <c r="I42" s="1264" t="s">
        <v>68</v>
      </c>
      <c r="J42" s="1265"/>
      <c r="K42" s="899">
        <v>182.35</v>
      </c>
      <c r="L42" s="282">
        <v>44032</v>
      </c>
      <c r="M42" s="1" t="s">
        <v>41</v>
      </c>
      <c r="N42" s="751">
        <f>K42/2</f>
        <v>91.174999999999997</v>
      </c>
      <c r="O42" s="447">
        <v>101.5</v>
      </c>
      <c r="P42" s="643"/>
      <c r="Q42" s="896"/>
      <c r="R42" s="896"/>
      <c r="S42" s="366"/>
      <c r="T42" s="366"/>
      <c r="U42" s="294"/>
      <c r="V42" s="294"/>
      <c r="W42" s="294"/>
      <c r="X42" s="294"/>
      <c r="Y42" s="366"/>
    </row>
    <row r="43" spans="1:26">
      <c r="A43" s="340"/>
      <c r="B43" s="199"/>
      <c r="C43" s="366"/>
      <c r="D43" s="273"/>
      <c r="E43" s="199"/>
      <c r="F43" s="366"/>
      <c r="G43" s="366"/>
      <c r="H43" s="512" t="s">
        <v>250</v>
      </c>
      <c r="I43" s="897" t="s">
        <v>174</v>
      </c>
      <c r="J43" s="898"/>
      <c r="K43" s="475">
        <f>337.71+180.88</f>
        <v>518.58999999999992</v>
      </c>
      <c r="L43" s="282">
        <v>44027</v>
      </c>
      <c r="M43" s="1" t="s">
        <v>41</v>
      </c>
      <c r="N43" s="752">
        <f>K43</f>
        <v>518.58999999999992</v>
      </c>
      <c r="O43" s="12">
        <v>380</v>
      </c>
      <c r="P43" s="643"/>
      <c r="Q43" s="896"/>
      <c r="R43" s="365"/>
      <c r="S43" s="366"/>
      <c r="T43" s="294"/>
      <c r="U43" s="294"/>
      <c r="V43" s="294"/>
      <c r="W43" s="294"/>
      <c r="X43" s="294"/>
      <c r="Y43" s="366"/>
    </row>
    <row r="44" spans="1:26">
      <c r="A44" s="340"/>
      <c r="B44" s="199"/>
      <c r="C44" s="366"/>
      <c r="D44" s="273"/>
      <c r="E44" s="199"/>
      <c r="F44" s="366"/>
      <c r="G44" s="366"/>
      <c r="H44" s="512" t="s">
        <v>250</v>
      </c>
      <c r="I44" s="897" t="s">
        <v>176</v>
      </c>
      <c r="J44" s="898"/>
      <c r="K44" s="899">
        <v>434.07</v>
      </c>
      <c r="L44" s="282">
        <v>44032</v>
      </c>
      <c r="M44" s="1" t="s">
        <v>41</v>
      </c>
      <c r="N44" s="750">
        <f>K44</f>
        <v>434.07</v>
      </c>
      <c r="O44" s="127">
        <f>SUM(O23:O43)</f>
        <v>4480.1000000000004</v>
      </c>
      <c r="P44" s="448"/>
      <c r="Q44" s="896"/>
      <c r="R44" s="365"/>
      <c r="S44" s="366"/>
      <c r="T44" s="294"/>
      <c r="U44" s="294"/>
      <c r="V44" s="294"/>
      <c r="W44" s="294"/>
      <c r="X44" s="294"/>
      <c r="Y44" s="366"/>
    </row>
    <row r="45" spans="1:26">
      <c r="A45" s="340"/>
      <c r="B45" s="199"/>
      <c r="C45" s="366"/>
      <c r="D45" s="273"/>
      <c r="E45" s="232"/>
      <c r="F45" s="366"/>
      <c r="G45" s="366"/>
      <c r="H45" s="512" t="s">
        <v>250</v>
      </c>
      <c r="I45" s="1264" t="s">
        <v>81</v>
      </c>
      <c r="J45" s="1265"/>
      <c r="K45" s="899">
        <f>737.52*2</f>
        <v>1475.04</v>
      </c>
      <c r="L45" s="282">
        <v>44027</v>
      </c>
      <c r="M45" s="1" t="s">
        <v>41</v>
      </c>
      <c r="N45" s="750">
        <f>K45/2</f>
        <v>737.52</v>
      </c>
      <c r="O45" s="145"/>
      <c r="P45" s="84"/>
      <c r="Q45" s="84"/>
      <c r="R45" s="84"/>
      <c r="S45" s="84"/>
      <c r="T45" s="294"/>
      <c r="U45" s="366"/>
      <c r="V45" s="294"/>
      <c r="W45" s="294"/>
      <c r="X45" s="294"/>
      <c r="Y45" s="366"/>
    </row>
    <row r="46" spans="1:26">
      <c r="A46" s="340"/>
      <c r="B46" s="199"/>
      <c r="C46" s="366"/>
      <c r="D46" s="273"/>
      <c r="E46" s="232"/>
      <c r="F46" s="366"/>
      <c r="G46" s="366"/>
      <c r="H46" s="512" t="s">
        <v>338</v>
      </c>
      <c r="I46" s="1264" t="s">
        <v>181</v>
      </c>
      <c r="J46" s="1265"/>
      <c r="K46" s="899">
        <v>10</v>
      </c>
      <c r="L46" s="282">
        <v>44027</v>
      </c>
      <c r="M46" s="1" t="s">
        <v>41</v>
      </c>
      <c r="N46" s="752">
        <f>K46</f>
        <v>10</v>
      </c>
      <c r="O46" s="127"/>
      <c r="P46" s="145"/>
      <c r="Q46" s="896"/>
      <c r="R46" s="366"/>
      <c r="S46" s="366"/>
      <c r="T46" s="294"/>
      <c r="U46" s="294"/>
      <c r="V46" s="366"/>
      <c r="W46" s="294"/>
      <c r="X46" s="294"/>
      <c r="Y46" s="366"/>
    </row>
    <row r="47" spans="1:26">
      <c r="A47" s="340" t="s">
        <v>314</v>
      </c>
      <c r="B47" s="199"/>
      <c r="C47" s="366"/>
      <c r="D47" s="273"/>
      <c r="E47" s="232"/>
      <c r="F47" s="366"/>
      <c r="G47" s="366"/>
      <c r="H47" s="512" t="s">
        <v>250</v>
      </c>
      <c r="I47" s="1145" t="s">
        <v>61</v>
      </c>
      <c r="J47" s="1145"/>
      <c r="K47" s="93">
        <v>1153.3599999999999</v>
      </c>
      <c r="L47" s="282">
        <v>44032</v>
      </c>
      <c r="M47" s="1" t="s">
        <v>41</v>
      </c>
      <c r="N47" s="750"/>
      <c r="P47" s="448"/>
      <c r="Q47" s="365"/>
      <c r="R47" s="365"/>
      <c r="S47" s="366"/>
      <c r="T47" s="294"/>
      <c r="U47" s="294"/>
      <c r="V47" s="366"/>
      <c r="W47" s="294"/>
      <c r="X47" s="294"/>
      <c r="Y47" s="366"/>
    </row>
    <row r="48" spans="1:26">
      <c r="A48" s="340"/>
      <c r="B48" s="199"/>
      <c r="C48" s="366"/>
      <c r="D48" s="273"/>
      <c r="E48" s="232"/>
      <c r="F48" s="366"/>
      <c r="G48" s="366"/>
      <c r="H48" s="512" t="s">
        <v>250</v>
      </c>
      <c r="I48" s="1145" t="s">
        <v>274</v>
      </c>
      <c r="J48" s="1145"/>
      <c r="K48" s="93">
        <v>73</v>
      </c>
      <c r="L48" s="282">
        <v>44032</v>
      </c>
      <c r="M48" s="1" t="s">
        <v>41</v>
      </c>
      <c r="N48" s="749">
        <v>40</v>
      </c>
      <c r="P48" s="448"/>
      <c r="Q48" s="365"/>
      <c r="R48" s="365"/>
      <c r="S48" s="366"/>
      <c r="T48" s="294"/>
      <c r="U48" s="294"/>
      <c r="V48" s="366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250</v>
      </c>
      <c r="I49" s="1145" t="s">
        <v>275</v>
      </c>
      <c r="J49" s="1145"/>
      <c r="K49" s="93">
        <v>50</v>
      </c>
      <c r="L49" s="282">
        <v>44027</v>
      </c>
      <c r="M49" s="1" t="s">
        <v>41</v>
      </c>
      <c r="N49" s="750">
        <v>50</v>
      </c>
      <c r="P49" s="145"/>
      <c r="Q49" s="273"/>
      <c r="R49" s="365"/>
      <c r="S49" s="366"/>
      <c r="T49" s="294"/>
      <c r="U49" s="294"/>
      <c r="V49" s="366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250</v>
      </c>
      <c r="I50" s="1145" t="s">
        <v>276</v>
      </c>
      <c r="J50" s="1145"/>
      <c r="K50" s="93">
        <v>150</v>
      </c>
      <c r="L50" s="282">
        <v>44042</v>
      </c>
      <c r="M50" s="1" t="s">
        <v>41</v>
      </c>
      <c r="N50" s="750">
        <v>150</v>
      </c>
      <c r="O50" s="12"/>
      <c r="P50" s="448"/>
      <c r="Q50" s="365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250</v>
      </c>
      <c r="I51" s="1145" t="s">
        <v>296</v>
      </c>
      <c r="J51" s="1145"/>
      <c r="K51" s="93">
        <v>18</v>
      </c>
      <c r="L51" s="282">
        <v>44027</v>
      </c>
      <c r="M51" s="1" t="s">
        <v>41</v>
      </c>
      <c r="N51" s="751">
        <v>9</v>
      </c>
      <c r="O51" s="150"/>
      <c r="P51" s="145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>
      <c r="A52" s="340"/>
      <c r="B52" s="199"/>
      <c r="C52" s="366"/>
      <c r="D52" s="273"/>
      <c r="E52" s="232"/>
      <c r="F52" s="366"/>
      <c r="G52" s="366"/>
      <c r="H52" s="512" t="s">
        <v>250</v>
      </c>
      <c r="I52" s="1143" t="s">
        <v>345</v>
      </c>
      <c r="J52" s="1144"/>
      <c r="K52" s="93">
        <v>905.15</v>
      </c>
      <c r="L52" s="282">
        <v>44042</v>
      </c>
      <c r="M52" s="1" t="s">
        <v>104</v>
      </c>
      <c r="N52" s="771">
        <f>K52</f>
        <v>905.15</v>
      </c>
      <c r="O52" s="150"/>
      <c r="P52" s="145"/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 ht="15.75" thickBot="1">
      <c r="A53" s="341"/>
      <c r="B53" s="330"/>
      <c r="C53" s="331"/>
      <c r="D53" s="342"/>
      <c r="E53" s="330"/>
      <c r="F53" s="331"/>
      <c r="G53" s="331"/>
      <c r="H53" s="1300" t="s">
        <v>179</v>
      </c>
      <c r="I53" s="1281"/>
      <c r="J53" s="361">
        <f>SUM(K37:K52)</f>
        <v>6305.69</v>
      </c>
      <c r="K53" s="1146" t="s">
        <v>180</v>
      </c>
      <c r="L53" s="1146"/>
      <c r="M53" s="746">
        <v>0</v>
      </c>
      <c r="N53" s="753">
        <f>SUM(N37:N52)</f>
        <v>3423.2350000000001</v>
      </c>
      <c r="P53" s="448"/>
      <c r="Q53" s="365"/>
      <c r="R53" s="366"/>
      <c r="S53" s="366"/>
      <c r="T53" s="294"/>
      <c r="U53" s="366"/>
      <c r="V53" s="366"/>
      <c r="W53" s="366"/>
      <c r="X53" s="366"/>
      <c r="Y53" s="366"/>
    </row>
    <row r="54" spans="1:25" ht="15.75" thickTop="1">
      <c r="A54" s="366"/>
      <c r="B54" s="366"/>
      <c r="C54" s="366"/>
      <c r="D54" s="366"/>
      <c r="E54" s="366"/>
      <c r="F54" s="366"/>
      <c r="G54" s="366"/>
      <c r="H54" s="1162"/>
      <c r="I54" s="1162"/>
      <c r="J54" s="1162"/>
      <c r="K54" s="1162"/>
      <c r="L54" s="366"/>
      <c r="M54" s="441"/>
      <c r="N54" s="1"/>
      <c r="P54" s="448"/>
      <c r="Q54" s="365"/>
      <c r="R54" s="366"/>
      <c r="S54" s="366"/>
      <c r="T54" s="366"/>
      <c r="U54" s="366"/>
      <c r="V54" s="366"/>
      <c r="W54" s="366"/>
      <c r="X54" s="366"/>
      <c r="Y54" s="366"/>
    </row>
    <row r="55" spans="1:25" ht="15" customHeight="1">
      <c r="A55" s="1163" t="s">
        <v>349</v>
      </c>
      <c r="B55" s="1163"/>
      <c r="C55" s="1163"/>
      <c r="D55" s="1163"/>
      <c r="E55" s="1163"/>
      <c r="F55" s="1163"/>
      <c r="G55" s="1163"/>
      <c r="H55" s="1163"/>
      <c r="I55" s="1163"/>
      <c r="J55" s="1163"/>
      <c r="K55" s="1163"/>
      <c r="L55" s="1163"/>
      <c r="M55" s="1163"/>
      <c r="N55" s="1"/>
      <c r="O55" s="150"/>
      <c r="P55" s="448"/>
      <c r="Q55" s="365"/>
      <c r="R55" s="366"/>
      <c r="S55" s="366"/>
      <c r="T55" s="366"/>
      <c r="U55" s="366"/>
      <c r="V55" s="366"/>
      <c r="W55" s="366"/>
      <c r="X55" s="366"/>
    </row>
    <row r="56" spans="1:25" ht="15.75" customHeight="1" thickBot="1">
      <c r="A56" s="1164"/>
      <c r="B56" s="1164"/>
      <c r="C56" s="1164"/>
      <c r="D56" s="1164"/>
      <c r="E56" s="1164"/>
      <c r="F56" s="1164"/>
      <c r="G56" s="1164"/>
      <c r="H56" s="1164"/>
      <c r="I56" s="1164"/>
      <c r="J56" s="1164"/>
      <c r="K56" s="1164"/>
      <c r="L56" s="1164"/>
      <c r="M56" s="1164"/>
      <c r="N56" s="1"/>
      <c r="P56" s="448"/>
      <c r="Q56" s="365"/>
      <c r="R56" s="365"/>
      <c r="S56" s="896"/>
      <c r="T56" s="366"/>
      <c r="U56" s="366"/>
      <c r="V56" s="366"/>
      <c r="W56" s="366"/>
      <c r="X56" s="366"/>
    </row>
    <row r="57" spans="1:25" ht="15.75" thickTop="1">
      <c r="A57" s="1266" t="s">
        <v>317</v>
      </c>
      <c r="B57" s="1166"/>
      <c r="C57" s="1166"/>
      <c r="D57" s="1166"/>
      <c r="E57" s="1166"/>
      <c r="F57" s="1166"/>
      <c r="G57" s="1167"/>
      <c r="H57" s="1282" t="s">
        <v>316</v>
      </c>
      <c r="I57" s="1283"/>
      <c r="J57" s="1283"/>
      <c r="K57" s="1283"/>
      <c r="L57" s="1283"/>
      <c r="M57" s="1284"/>
      <c r="N57" s="1"/>
      <c r="P57" s="448"/>
      <c r="Q57" s="366"/>
      <c r="S57" s="274"/>
      <c r="T57" s="366"/>
      <c r="U57" s="366"/>
      <c r="V57" s="366"/>
      <c r="W57" s="366"/>
      <c r="X57" s="366"/>
    </row>
    <row r="58" spans="1:25">
      <c r="A58" s="324" t="s">
        <v>2</v>
      </c>
      <c r="B58" s="889" t="s">
        <v>34</v>
      </c>
      <c r="C58" s="36" t="s">
        <v>35</v>
      </c>
      <c r="D58" s="36" t="s">
        <v>38</v>
      </c>
      <c r="E58" s="36" t="s">
        <v>42</v>
      </c>
      <c r="F58" s="889" t="s">
        <v>36</v>
      </c>
      <c r="G58" s="100" t="s">
        <v>173</v>
      </c>
      <c r="H58" s="676" t="s">
        <v>2</v>
      </c>
      <c r="I58" s="1285" t="s">
        <v>34</v>
      </c>
      <c r="J58" s="1285"/>
      <c r="K58" s="900" t="s">
        <v>35</v>
      </c>
      <c r="L58" s="1286" t="s">
        <v>173</v>
      </c>
      <c r="M58" s="1287"/>
      <c r="N58" s="1"/>
      <c r="P58" s="448"/>
      <c r="Q58" s="366"/>
      <c r="S58" s="274"/>
      <c r="T58" s="366"/>
      <c r="U58" s="366"/>
      <c r="V58" s="366"/>
      <c r="W58" s="366"/>
      <c r="X58" s="366"/>
    </row>
    <row r="59" spans="1:25">
      <c r="A59" s="325">
        <v>44047</v>
      </c>
      <c r="B59" s="161" t="s">
        <v>367</v>
      </c>
      <c r="C59" s="275">
        <v>524.33000000000004</v>
      </c>
      <c r="D59" s="275">
        <v>524.33000000000004</v>
      </c>
      <c r="E59" s="542" t="str">
        <f>IF(C59-D59=0,"",C59-D59)</f>
        <v/>
      </c>
      <c r="F59" s="162" t="str">
        <f t="shared" ref="F59:F74" si="3">IF(C59=0,"",IF(C59-D59=0,"оплачено","ОЖИДАЕТСЯ оплата"))</f>
        <v>оплачено</v>
      </c>
      <c r="G59" s="162"/>
      <c r="H59" s="325"/>
      <c r="I59" s="1288"/>
      <c r="J59" s="1289"/>
      <c r="K59" s="480"/>
      <c r="L59" s="1293"/>
      <c r="M59" s="1294"/>
      <c r="N59" s="1"/>
      <c r="P59" s="448"/>
      <c r="Q59" s="366"/>
      <c r="S59" s="366"/>
      <c r="T59" s="84"/>
      <c r="U59" s="366"/>
      <c r="W59" s="366"/>
      <c r="X59" s="366"/>
    </row>
    <row r="60" spans="1:25">
      <c r="A60" s="325">
        <v>44046</v>
      </c>
      <c r="B60" s="463" t="s">
        <v>368</v>
      </c>
      <c r="C60" s="275">
        <v>206.29</v>
      </c>
      <c r="D60" s="275">
        <v>206.29</v>
      </c>
      <c r="E60" s="542" t="str">
        <f t="shared" ref="E60:E74" si="4">IF(C60-D60=0,"",C60-D60)</f>
        <v/>
      </c>
      <c r="F60" s="162" t="str">
        <f t="shared" si="3"/>
        <v>оплачено</v>
      </c>
      <c r="G60" s="162"/>
      <c r="H60" s="678"/>
      <c r="I60" s="1288"/>
      <c r="J60" s="1289"/>
      <c r="K60" s="480"/>
      <c r="L60" s="1293"/>
      <c r="M60" s="1294"/>
      <c r="N60" s="1"/>
      <c r="P60" s="448"/>
      <c r="Q60" s="366"/>
      <c r="S60" s="366"/>
      <c r="T60" s="366"/>
      <c r="U60" s="366"/>
      <c r="W60" s="366"/>
      <c r="X60" s="366"/>
    </row>
    <row r="61" spans="1:25">
      <c r="A61" s="325">
        <v>44046</v>
      </c>
      <c r="B61" s="880" t="s">
        <v>256</v>
      </c>
      <c r="C61" s="275">
        <v>179.7</v>
      </c>
      <c r="D61" s="275">
        <v>179.7</v>
      </c>
      <c r="E61" s="542" t="str">
        <f t="shared" si="4"/>
        <v/>
      </c>
      <c r="F61" s="162" t="str">
        <f t="shared" si="3"/>
        <v>оплачено</v>
      </c>
      <c r="G61" s="162"/>
      <c r="H61" s="678"/>
      <c r="I61" s="1288"/>
      <c r="J61" s="1289"/>
      <c r="K61" s="480"/>
      <c r="L61" s="1290"/>
      <c r="M61" s="1291"/>
      <c r="N61" s="1"/>
      <c r="P61" s="448"/>
      <c r="T61" s="366"/>
      <c r="U61" s="366"/>
    </row>
    <row r="62" spans="1:25">
      <c r="A62" s="325">
        <v>44060</v>
      </c>
      <c r="B62" s="161" t="s">
        <v>307</v>
      </c>
      <c r="C62" s="275">
        <v>203.75</v>
      </c>
      <c r="D62" s="275">
        <v>203.75</v>
      </c>
      <c r="E62" s="542" t="str">
        <f t="shared" si="4"/>
        <v/>
      </c>
      <c r="F62" s="162" t="str">
        <f t="shared" si="3"/>
        <v>оплачено</v>
      </c>
      <c r="G62" s="162"/>
      <c r="H62" s="678"/>
      <c r="I62" s="1288"/>
      <c r="J62" s="1289"/>
      <c r="K62" s="480"/>
      <c r="L62" s="1290"/>
      <c r="M62" s="1291"/>
      <c r="N62" s="1"/>
      <c r="P62" s="448"/>
      <c r="U62" s="366"/>
    </row>
    <row r="63" spans="1:25">
      <c r="A63" s="325">
        <v>44061</v>
      </c>
      <c r="B63" s="161" t="s">
        <v>367</v>
      </c>
      <c r="C63" s="909">
        <v>692.37</v>
      </c>
      <c r="D63" s="908">
        <v>692.37</v>
      </c>
      <c r="E63" s="542" t="str">
        <f t="shared" si="4"/>
        <v/>
      </c>
      <c r="F63" s="162" t="str">
        <f t="shared" si="3"/>
        <v>оплачено</v>
      </c>
      <c r="G63" s="162"/>
      <c r="H63" s="678"/>
      <c r="I63" s="1288"/>
      <c r="J63" s="1289"/>
      <c r="K63" s="480"/>
      <c r="L63" s="1290"/>
      <c r="M63" s="1291"/>
      <c r="N63" s="1"/>
      <c r="P63" s="541"/>
      <c r="U63" s="366"/>
    </row>
    <row r="64" spans="1:25">
      <c r="A64" s="325">
        <v>44067</v>
      </c>
      <c r="B64" s="161" t="s">
        <v>257</v>
      </c>
      <c r="C64" s="275">
        <v>126.36</v>
      </c>
      <c r="D64" s="275">
        <v>126.36</v>
      </c>
      <c r="E64" s="542" t="str">
        <f t="shared" si="4"/>
        <v/>
      </c>
      <c r="F64" s="162" t="str">
        <f t="shared" si="3"/>
        <v>оплачено</v>
      </c>
      <c r="G64" s="162"/>
      <c r="H64" s="678"/>
      <c r="I64" s="1288"/>
      <c r="J64" s="1289"/>
      <c r="K64" s="480"/>
      <c r="L64" s="1290"/>
      <c r="M64" s="1291"/>
      <c r="N64" s="1"/>
      <c r="P64" s="86"/>
      <c r="U64" s="366"/>
    </row>
    <row r="65" spans="1:21" ht="14.45" customHeight="1">
      <c r="A65" s="325">
        <v>44066</v>
      </c>
      <c r="B65" s="161" t="s">
        <v>155</v>
      </c>
      <c r="C65" s="911">
        <v>587.72</v>
      </c>
      <c r="D65" s="692">
        <v>587.72</v>
      </c>
      <c r="E65" s="542" t="str">
        <f t="shared" si="4"/>
        <v/>
      </c>
      <c r="F65" s="162" t="str">
        <f t="shared" si="3"/>
        <v>оплачено</v>
      </c>
      <c r="G65" s="162"/>
      <c r="H65" s="678"/>
      <c r="I65" s="1288"/>
      <c r="J65" s="1289"/>
      <c r="K65" s="480"/>
      <c r="L65" s="1191"/>
      <c r="M65" s="1292"/>
      <c r="N65" s="1"/>
      <c r="P65" s="86"/>
    </row>
    <row r="66" spans="1:21" ht="14.45" customHeight="1">
      <c r="A66" s="325">
        <v>44069</v>
      </c>
      <c r="B66" s="161" t="s">
        <v>212</v>
      </c>
      <c r="C66" s="275">
        <v>431.8</v>
      </c>
      <c r="D66" s="275">
        <v>431.8</v>
      </c>
      <c r="E66" s="542" t="str">
        <f t="shared" si="4"/>
        <v/>
      </c>
      <c r="F66" s="162" t="str">
        <f t="shared" si="3"/>
        <v>оплачено</v>
      </c>
      <c r="G66" s="162" t="s">
        <v>369</v>
      </c>
      <c r="H66" s="678" t="str">
        <f t="shared" ref="H66:I74" si="5">IF(S11="","",S11)</f>
        <v/>
      </c>
      <c r="I66" s="1288"/>
      <c r="J66" s="1289"/>
      <c r="K66" s="480"/>
      <c r="L66" s="1191"/>
      <c r="M66" s="1292"/>
      <c r="N66" s="1"/>
    </row>
    <row r="67" spans="1:21" ht="14.45" customHeight="1">
      <c r="A67" s="325">
        <v>44074</v>
      </c>
      <c r="B67" s="161" t="s">
        <v>307</v>
      </c>
      <c r="C67" s="275">
        <v>332.5</v>
      </c>
      <c r="D67" s="275">
        <v>332.5</v>
      </c>
      <c r="E67" s="542" t="str">
        <f t="shared" si="4"/>
        <v/>
      </c>
      <c r="F67" s="162" t="str">
        <f t="shared" si="3"/>
        <v>оплачено</v>
      </c>
      <c r="G67" s="162" t="s">
        <v>369</v>
      </c>
      <c r="H67" s="678" t="str">
        <f t="shared" si="5"/>
        <v/>
      </c>
      <c r="I67" s="1288" t="str">
        <f t="shared" si="5"/>
        <v/>
      </c>
      <c r="J67" s="1289"/>
      <c r="K67" s="480" t="str">
        <f t="shared" ref="K67:K74" si="6">IF(U12="","",U12)</f>
        <v/>
      </c>
      <c r="L67" s="1191"/>
      <c r="M67" s="1292"/>
      <c r="N67" s="1"/>
      <c r="O67" s="366"/>
    </row>
    <row r="68" spans="1:21">
      <c r="A68" s="325">
        <v>44067</v>
      </c>
      <c r="B68" s="161" t="s">
        <v>222</v>
      </c>
      <c r="C68" s="275">
        <v>225.56</v>
      </c>
      <c r="D68" s="275">
        <v>225.56</v>
      </c>
      <c r="E68" s="542" t="str">
        <f t="shared" si="4"/>
        <v/>
      </c>
      <c r="F68" s="162" t="str">
        <f t="shared" si="3"/>
        <v>оплачено</v>
      </c>
      <c r="G68" s="162"/>
      <c r="H68" s="678" t="str">
        <f t="shared" si="5"/>
        <v/>
      </c>
      <c r="I68" s="1288" t="str">
        <f t="shared" si="5"/>
        <v/>
      </c>
      <c r="J68" s="1289"/>
      <c r="K68" s="480" t="str">
        <f t="shared" si="6"/>
        <v/>
      </c>
      <c r="L68" s="1191"/>
      <c r="M68" s="1292"/>
      <c r="N68" s="1"/>
      <c r="O68" s="366"/>
    </row>
    <row r="69" spans="1:21" s="86" customFormat="1">
      <c r="A69" s="325">
        <v>44056</v>
      </c>
      <c r="B69" s="161" t="s">
        <v>222</v>
      </c>
      <c r="C69" s="275">
        <v>159.25</v>
      </c>
      <c r="D69" s="275">
        <v>159.25</v>
      </c>
      <c r="E69" s="542" t="str">
        <f t="shared" si="4"/>
        <v/>
      </c>
      <c r="F69" s="162" t="str">
        <f t="shared" si="3"/>
        <v>оплачено</v>
      </c>
      <c r="G69" s="162"/>
      <c r="H69" s="678" t="str">
        <f t="shared" si="5"/>
        <v/>
      </c>
      <c r="I69" s="1288" t="str">
        <f t="shared" si="5"/>
        <v/>
      </c>
      <c r="J69" s="1289"/>
      <c r="K69" s="480" t="str">
        <f t="shared" si="6"/>
        <v/>
      </c>
      <c r="L69" s="1290"/>
      <c r="M69" s="1291"/>
      <c r="N69" s="366"/>
      <c r="O69" s="84"/>
      <c r="P69" s="1"/>
      <c r="Q69" s="35"/>
      <c r="T69" s="35"/>
      <c r="U69" s="35"/>
    </row>
    <row r="70" spans="1:21">
      <c r="A70" s="325"/>
      <c r="B70" s="161"/>
      <c r="C70" s="275"/>
      <c r="D70" s="275"/>
      <c r="E70" s="542" t="str">
        <f t="shared" si="4"/>
        <v/>
      </c>
      <c r="F70" s="162" t="str">
        <f t="shared" si="3"/>
        <v/>
      </c>
      <c r="G70" s="162"/>
      <c r="H70" s="678" t="str">
        <f t="shared" si="5"/>
        <v/>
      </c>
      <c r="I70" s="1288" t="str">
        <f t="shared" si="5"/>
        <v/>
      </c>
      <c r="J70" s="1289"/>
      <c r="K70" s="480" t="str">
        <f t="shared" si="6"/>
        <v/>
      </c>
      <c r="L70" s="1191"/>
      <c r="M70" s="1292"/>
      <c r="N70" s="1"/>
      <c r="O70" s="366"/>
      <c r="P70" s="1"/>
      <c r="T70" s="86"/>
    </row>
    <row r="71" spans="1:21">
      <c r="A71" s="325"/>
      <c r="B71" s="161"/>
      <c r="C71" s="275"/>
      <c r="D71" s="275"/>
      <c r="E71" s="542" t="str">
        <f t="shared" si="4"/>
        <v/>
      </c>
      <c r="F71" s="162" t="str">
        <f t="shared" si="3"/>
        <v/>
      </c>
      <c r="G71" s="162"/>
      <c r="H71" s="678" t="str">
        <f t="shared" si="5"/>
        <v/>
      </c>
      <c r="I71" s="1288" t="str">
        <f t="shared" si="5"/>
        <v/>
      </c>
      <c r="J71" s="1289"/>
      <c r="K71" s="480" t="str">
        <f t="shared" si="6"/>
        <v/>
      </c>
      <c r="L71" s="1191"/>
      <c r="M71" s="1292"/>
      <c r="N71" s="1"/>
      <c r="O71" s="84"/>
      <c r="P71" s="366"/>
    </row>
    <row r="72" spans="1:21">
      <c r="A72" s="325"/>
      <c r="B72" s="161"/>
      <c r="C72" s="275"/>
      <c r="D72" s="275"/>
      <c r="E72" s="542" t="str">
        <f t="shared" si="4"/>
        <v/>
      </c>
      <c r="F72" s="162" t="str">
        <f t="shared" si="3"/>
        <v/>
      </c>
      <c r="G72" s="162"/>
      <c r="H72" s="678" t="str">
        <f t="shared" si="5"/>
        <v/>
      </c>
      <c r="I72" s="1288" t="str">
        <f t="shared" si="5"/>
        <v/>
      </c>
      <c r="J72" s="1289"/>
      <c r="K72" s="480" t="str">
        <f t="shared" si="6"/>
        <v/>
      </c>
      <c r="L72" s="1191"/>
      <c r="M72" s="1292"/>
      <c r="N72" s="1"/>
      <c r="O72" s="84"/>
      <c r="P72" s="150"/>
    </row>
    <row r="73" spans="1:21">
      <c r="A73" s="325"/>
      <c r="B73" s="161"/>
      <c r="C73" s="275"/>
      <c r="D73" s="275"/>
      <c r="E73" s="542" t="str">
        <f t="shared" si="4"/>
        <v/>
      </c>
      <c r="F73" s="162" t="str">
        <f t="shared" si="3"/>
        <v/>
      </c>
      <c r="G73" s="162"/>
      <c r="H73" s="678" t="str">
        <f t="shared" si="5"/>
        <v/>
      </c>
      <c r="I73" s="1288" t="str">
        <f t="shared" si="5"/>
        <v/>
      </c>
      <c r="J73" s="1289"/>
      <c r="K73" s="480" t="str">
        <f t="shared" si="6"/>
        <v/>
      </c>
      <c r="L73" s="1191"/>
      <c r="M73" s="1292"/>
      <c r="N73" s="1"/>
      <c r="O73" s="366"/>
      <c r="P73" s="1"/>
      <c r="Q73" s="86"/>
    </row>
    <row r="74" spans="1:21">
      <c r="A74" s="325"/>
      <c r="B74" s="161"/>
      <c r="C74" s="275"/>
      <c r="D74" s="275"/>
      <c r="E74" s="542" t="str">
        <f t="shared" si="4"/>
        <v/>
      </c>
      <c r="F74" s="162" t="str">
        <f t="shared" si="3"/>
        <v/>
      </c>
      <c r="G74" s="162"/>
      <c r="H74" s="678" t="str">
        <f t="shared" si="5"/>
        <v/>
      </c>
      <c r="I74" s="1288" t="str">
        <f t="shared" si="5"/>
        <v/>
      </c>
      <c r="J74" s="1289"/>
      <c r="K74" s="480" t="str">
        <f t="shared" si="6"/>
        <v/>
      </c>
      <c r="L74" s="1191"/>
      <c r="M74" s="1292"/>
      <c r="N74" s="1"/>
      <c r="O74" s="84"/>
    </row>
    <row r="75" spans="1:21" ht="15.75" thickBot="1">
      <c r="A75" s="1272" t="s">
        <v>259</v>
      </c>
      <c r="B75" s="1273"/>
      <c r="C75" s="358">
        <f>SUM(C59:C74)</f>
        <v>3669.63</v>
      </c>
      <c r="D75" s="358"/>
      <c r="E75" s="542">
        <f>SUM(E59:E74)</f>
        <v>0</v>
      </c>
      <c r="F75" s="162"/>
      <c r="G75" s="450"/>
      <c r="H75" s="1295" t="s">
        <v>259</v>
      </c>
      <c r="I75" s="1296"/>
      <c r="J75" s="1297"/>
      <c r="K75" s="677">
        <f>SUM(K59:K74)</f>
        <v>0</v>
      </c>
      <c r="L75" s="1298"/>
      <c r="M75" s="1299"/>
      <c r="N75" s="1"/>
      <c r="O75" s="366"/>
      <c r="P75" s="84"/>
      <c r="U75" s="86"/>
    </row>
    <row r="76" spans="1:21" ht="15.75" thickTop="1">
      <c r="A76" s="351"/>
      <c r="B76" s="352"/>
      <c r="C76" s="353"/>
      <c r="D76" s="353"/>
      <c r="E76" s="354"/>
      <c r="F76" s="352"/>
      <c r="G76" s="376"/>
      <c r="H76" s="1171" t="s">
        <v>16</v>
      </c>
      <c r="I76" s="1173" t="s">
        <v>17</v>
      </c>
      <c r="J76" s="1173" t="s">
        <v>21</v>
      </c>
      <c r="K76" s="1173"/>
      <c r="L76" s="1175" t="s">
        <v>93</v>
      </c>
      <c r="M76" s="1177" t="s">
        <v>95</v>
      </c>
      <c r="N76" s="1"/>
      <c r="O76" s="84"/>
      <c r="P76" s="84"/>
    </row>
    <row r="77" spans="1:21" ht="24">
      <c r="A77" s="355"/>
      <c r="B77" s="201"/>
      <c r="C77" s="201"/>
      <c r="D77" s="201"/>
      <c r="E77" s="216"/>
      <c r="F77" s="201"/>
      <c r="G77" s="201"/>
      <c r="H77" s="1172"/>
      <c r="I77" s="1174"/>
      <c r="J77" s="894" t="s">
        <v>21</v>
      </c>
      <c r="K77" s="894" t="s">
        <v>25</v>
      </c>
      <c r="L77" s="1176"/>
      <c r="M77" s="1178"/>
      <c r="N77" s="1"/>
      <c r="O77" s="366"/>
      <c r="P77" s="84"/>
    </row>
    <row r="78" spans="1:21">
      <c r="A78" s="338"/>
      <c r="B78" s="199"/>
      <c r="C78" s="288"/>
      <c r="D78" s="232"/>
      <c r="E78" s="84"/>
      <c r="F78" s="199"/>
      <c r="G78" s="199"/>
      <c r="H78" s="347" t="s">
        <v>163</v>
      </c>
      <c r="I78" s="94">
        <v>2420.3999999999996</v>
      </c>
      <c r="J78" s="94">
        <v>115.5</v>
      </c>
      <c r="K78" s="895">
        <v>132.61000000000001</v>
      </c>
      <c r="L78" s="96">
        <v>22665.5</v>
      </c>
      <c r="M78" s="104">
        <f>L78-I78-J78-K78</f>
        <v>19996.989999999998</v>
      </c>
      <c r="N78" s="150"/>
      <c r="O78" s="448"/>
      <c r="P78" s="439"/>
      <c r="R78" s="86"/>
    </row>
    <row r="79" spans="1:21">
      <c r="A79" s="339"/>
      <c r="B79" s="199"/>
      <c r="C79" s="199"/>
      <c r="D79" s="273"/>
      <c r="E79" s="366"/>
      <c r="F79" s="84"/>
      <c r="G79" s="366"/>
      <c r="H79" s="347" t="s">
        <v>192</v>
      </c>
      <c r="I79" s="94">
        <v>7629.69</v>
      </c>
      <c r="J79" s="94">
        <v>352.29</v>
      </c>
      <c r="K79" s="94">
        <v>193.85000000000002</v>
      </c>
      <c r="L79" s="96">
        <v>10342</v>
      </c>
      <c r="M79" s="104">
        <f>M78-I79-J79-K79+L79</f>
        <v>22163.159999999996</v>
      </c>
      <c r="N79" s="1"/>
      <c r="O79" s="448"/>
      <c r="P79" s="439"/>
      <c r="R79" s="86"/>
    </row>
    <row r="80" spans="1:21">
      <c r="A80" s="339"/>
      <c r="B80" s="366"/>
      <c r="C80" s="199"/>
      <c r="D80" s="273"/>
      <c r="E80" s="366"/>
      <c r="F80" s="366"/>
      <c r="G80" s="366"/>
      <c r="H80" s="347" t="s">
        <v>199</v>
      </c>
      <c r="I80" s="298">
        <v>8423.6400000000012</v>
      </c>
      <c r="J80" s="94">
        <v>921.3</v>
      </c>
      <c r="K80" s="299">
        <v>312.46000000000004</v>
      </c>
      <c r="L80" s="299">
        <v>16668</v>
      </c>
      <c r="M80" s="104">
        <f>M79-I80-J80-K80+L80</f>
        <v>29173.759999999995</v>
      </c>
      <c r="N80" s="1"/>
      <c r="O80" s="448"/>
      <c r="P80" s="436"/>
      <c r="R80" s="86"/>
    </row>
    <row r="81" spans="1:26">
      <c r="A81" s="339"/>
      <c r="B81" s="1"/>
      <c r="C81" s="284"/>
      <c r="D81" s="273"/>
      <c r="E81" s="366"/>
      <c r="F81" s="366"/>
      <c r="G81" s="84"/>
      <c r="H81" s="347" t="s">
        <v>209</v>
      </c>
      <c r="I81" s="299">
        <v>8639.7199999999993</v>
      </c>
      <c r="J81" s="300">
        <v>749.49</v>
      </c>
      <c r="K81" s="526">
        <v>435.1</v>
      </c>
      <c r="L81" s="299">
        <v>17824.919999999998</v>
      </c>
      <c r="M81" s="104">
        <f>M80-I81-J81-K81+L81</f>
        <v>37174.369999999995</v>
      </c>
      <c r="N81" s="92" t="s">
        <v>284</v>
      </c>
      <c r="O81" s="619"/>
      <c r="P81" s="724"/>
      <c r="R81" s="86"/>
    </row>
    <row r="82" spans="1:26">
      <c r="A82" s="339"/>
      <c r="B82" s="199"/>
      <c r="C82" s="1"/>
      <c r="D82" s="273"/>
      <c r="E82" s="366"/>
      <c r="F82" s="366"/>
      <c r="G82" s="366"/>
      <c r="H82" s="348" t="s">
        <v>210</v>
      </c>
      <c r="I82" s="300">
        <v>12605.26</v>
      </c>
      <c r="J82" s="299">
        <v>600.5</v>
      </c>
      <c r="K82" s="300">
        <v>491.64</v>
      </c>
      <c r="L82" s="299">
        <v>15183.9</v>
      </c>
      <c r="M82" s="104">
        <v>36025.39</v>
      </c>
      <c r="N82" s="618">
        <v>38660.869999999995</v>
      </c>
      <c r="O82" s="145"/>
      <c r="P82" s="437"/>
      <c r="Q82" s="86"/>
      <c r="R82" s="86"/>
    </row>
    <row r="83" spans="1:26">
      <c r="A83" s="339"/>
      <c r="B83" s="199"/>
      <c r="C83" s="1"/>
      <c r="D83" s="273"/>
      <c r="E83" s="366"/>
      <c r="F83" s="366"/>
      <c r="G83" s="366"/>
      <c r="H83" s="379" t="s">
        <v>211</v>
      </c>
      <c r="I83" s="689">
        <v>11425.189999999999</v>
      </c>
      <c r="J83" s="438">
        <v>232.2</v>
      </c>
      <c r="K83" s="694">
        <v>262</v>
      </c>
      <c r="L83" s="606">
        <v>11864.4</v>
      </c>
      <c r="M83" s="104">
        <f>M82-I83-J83-K83+L83</f>
        <v>35970.400000000001</v>
      </c>
      <c r="N83" s="1"/>
      <c r="O83" s="366"/>
      <c r="P83" s="437"/>
      <c r="Q83" s="86"/>
      <c r="R83" s="86"/>
      <c r="V83" s="1"/>
    </row>
    <row r="84" spans="1:26">
      <c r="A84" s="339"/>
      <c r="B84" s="199"/>
      <c r="C84" s="1"/>
      <c r="D84" s="273"/>
      <c r="E84" s="366"/>
      <c r="F84" s="366"/>
      <c r="G84" s="366"/>
      <c r="H84" s="347" t="s">
        <v>9</v>
      </c>
      <c r="I84" s="689">
        <v>13612.520000000002</v>
      </c>
      <c r="J84" s="438">
        <f>19+42+25.5+33+4+25+7.5+18+170+1+9+37.5+2+1.4</f>
        <v>394.9</v>
      </c>
      <c r="K84" s="694">
        <f>112.8+296.38+33.5</f>
        <v>442.68</v>
      </c>
      <c r="L84" s="607">
        <f>14352+1353+311+316+73+278</f>
        <v>16683</v>
      </c>
      <c r="M84" s="738">
        <v>37929.35</v>
      </c>
      <c r="N84" s="722" t="s">
        <v>326</v>
      </c>
      <c r="O84" s="723"/>
      <c r="P84" s="437"/>
      <c r="Q84" s="703"/>
      <c r="R84" s="86"/>
      <c r="V84" s="1"/>
    </row>
    <row r="85" spans="1:26">
      <c r="A85" s="339"/>
      <c r="B85" s="199"/>
      <c r="C85" s="1"/>
      <c r="D85" s="273"/>
      <c r="E85" s="366"/>
      <c r="F85" s="366"/>
      <c r="G85" s="366"/>
      <c r="H85" s="347" t="s">
        <v>18</v>
      </c>
      <c r="I85" s="689">
        <v>14474.099999999999</v>
      </c>
      <c r="J85" s="438">
        <v>947.5</v>
      </c>
      <c r="K85" s="694">
        <v>526.15</v>
      </c>
      <c r="L85" s="607">
        <v>19238.8</v>
      </c>
      <c r="M85" s="104">
        <f>M84-I85-J85-K85+L85</f>
        <v>41220.399999999994</v>
      </c>
      <c r="N85" s="84"/>
      <c r="O85" s="366"/>
      <c r="P85" s="437"/>
      <c r="Q85" s="703"/>
      <c r="R85" s="86"/>
      <c r="V85" s="1"/>
    </row>
    <row r="86" spans="1:26">
      <c r="A86" s="339"/>
      <c r="B86" s="199"/>
      <c r="C86" s="1"/>
      <c r="D86" s="273"/>
      <c r="E86" s="366"/>
      <c r="F86" s="366"/>
      <c r="G86" s="366"/>
      <c r="H86" s="379" t="s">
        <v>19</v>
      </c>
      <c r="I86" s="621">
        <v>17170.439999999999</v>
      </c>
      <c r="J86" s="432">
        <v>3911.3</v>
      </c>
      <c r="K86" s="648">
        <f>21.5+122.1+41.6+353.89+95.92+8.2</f>
        <v>643.20999999999992</v>
      </c>
      <c r="L86" s="621">
        <f>660+513.5+514+683.5+535+212+2085+763+334+208+378+75+60+44+972+347+1461+81+303+363+12+44+73+133+667+281+234+225+789+767+1661+682+2828+477.5+365+873.5+390+553</f>
        <v>21647</v>
      </c>
      <c r="M86" s="104">
        <f>M85-I86-J86-K86+L86</f>
        <v>41142.449999999997</v>
      </c>
      <c r="N86" s="84"/>
      <c r="O86" s="366"/>
      <c r="P86" s="437"/>
      <c r="Q86" s="703"/>
      <c r="R86" s="86"/>
      <c r="V86" s="1"/>
    </row>
    <row r="87" spans="1:26" ht="15.75" thickBot="1">
      <c r="A87" s="339"/>
      <c r="B87" s="199"/>
      <c r="C87" s="1"/>
      <c r="D87" s="273"/>
      <c r="E87" s="366"/>
      <c r="F87" s="366"/>
      <c r="G87" s="366"/>
      <c r="H87" s="608" t="s">
        <v>20</v>
      </c>
      <c r="I87" s="622">
        <v>17084.789999999997</v>
      </c>
      <c r="J87" s="610">
        <v>1384.5</v>
      </c>
      <c r="K87" s="695">
        <f>231.74+381.32</f>
        <v>613.05999999999995</v>
      </c>
      <c r="L87" s="622">
        <f>861.5+275+194+301.5+390+1883.5+794+563+1402.5+380+670+229.5+35+275+150.5+18+76+68+310+1078+448+706+130+132+120+2048+130.5+296+608+1835+355+214.5+280+60+684+606</f>
        <v>18608</v>
      </c>
      <c r="M87" s="104">
        <f>M86-I87-J87-K87+L87</f>
        <v>40668.1</v>
      </c>
      <c r="N87" s="84"/>
      <c r="O87" s="366"/>
      <c r="P87" s="437"/>
      <c r="Q87" s="703"/>
      <c r="R87" s="86"/>
      <c r="V87" s="1"/>
    </row>
    <row r="88" spans="1:26" ht="14.25" customHeight="1" thickTop="1">
      <c r="A88" s="339"/>
      <c r="B88" s="199"/>
      <c r="C88" s="1"/>
      <c r="D88" s="273"/>
      <c r="E88" s="84"/>
      <c r="F88" s="366"/>
      <c r="G88" s="366"/>
      <c r="H88" s="1148" t="s">
        <v>36</v>
      </c>
      <c r="I88" s="1150" t="s">
        <v>178</v>
      </c>
      <c r="J88" s="1151"/>
      <c r="K88" s="1152"/>
      <c r="L88" s="1156" t="s">
        <v>159</v>
      </c>
      <c r="M88" s="1157"/>
      <c r="N88" s="1"/>
      <c r="O88" s="366"/>
      <c r="P88" s="437"/>
      <c r="Q88" s="86"/>
      <c r="R88" s="86"/>
      <c r="V88" s="1"/>
    </row>
    <row r="89" spans="1:26">
      <c r="A89" s="339"/>
      <c r="B89" s="199"/>
      <c r="C89" s="284"/>
      <c r="D89" s="273"/>
      <c r="E89" s="284"/>
      <c r="F89" s="366"/>
      <c r="G89" s="378"/>
      <c r="H89" s="1149"/>
      <c r="I89" s="1153"/>
      <c r="J89" s="1154"/>
      <c r="K89" s="1155"/>
      <c r="L89" s="1158"/>
      <c r="M89" s="1159"/>
      <c r="N89" s="1"/>
      <c r="O89" s="84"/>
      <c r="P89" s="646"/>
      <c r="Q89" s="86"/>
      <c r="R89" s="366"/>
      <c r="S89" s="1"/>
      <c r="V89" s="1"/>
      <c r="W89" s="1"/>
      <c r="X89" s="1"/>
      <c r="Y89" s="1"/>
    </row>
    <row r="90" spans="1:26">
      <c r="A90" s="339"/>
      <c r="B90" s="199"/>
      <c r="C90" s="199"/>
      <c r="D90" s="273"/>
      <c r="E90" s="199"/>
      <c r="F90" s="366"/>
      <c r="G90" s="378"/>
      <c r="H90" s="512" t="s">
        <v>250</v>
      </c>
      <c r="I90" s="1160" t="s">
        <v>47</v>
      </c>
      <c r="J90" s="1160"/>
      <c r="K90" s="900">
        <v>131.25</v>
      </c>
      <c r="L90" s="282">
        <v>44058</v>
      </c>
      <c r="M90" s="44" t="s">
        <v>104</v>
      </c>
      <c r="O90" s="366"/>
      <c r="P90" s="646"/>
      <c r="Q90" s="86"/>
      <c r="R90" s="366"/>
      <c r="S90" s="1"/>
      <c r="T90" s="1"/>
      <c r="V90" s="282"/>
      <c r="W90" s="1"/>
      <c r="X90" s="1"/>
      <c r="Y90" s="1"/>
    </row>
    <row r="91" spans="1:26">
      <c r="A91" s="339"/>
      <c r="B91" s="366"/>
      <c r="C91" s="274"/>
      <c r="D91" s="273"/>
      <c r="E91" s="274"/>
      <c r="F91" s="366"/>
      <c r="G91" s="366"/>
      <c r="H91" s="512" t="s">
        <v>250</v>
      </c>
      <c r="I91" s="1161" t="s">
        <v>51</v>
      </c>
      <c r="J91" s="1161"/>
      <c r="K91" s="899">
        <v>21.35</v>
      </c>
      <c r="L91" s="282">
        <v>44058</v>
      </c>
      <c r="M91" s="44" t="s">
        <v>104</v>
      </c>
      <c r="O91" s="366"/>
      <c r="P91" s="646"/>
      <c r="Q91" s="541"/>
      <c r="R91" s="86"/>
      <c r="S91" s="1"/>
      <c r="T91" s="1"/>
      <c r="V91" s="282"/>
      <c r="W91" s="1"/>
      <c r="X91" s="1"/>
      <c r="Y91" s="1"/>
    </row>
    <row r="92" spans="1:26">
      <c r="A92" s="340"/>
      <c r="B92" s="366"/>
      <c r="C92" s="366"/>
      <c r="D92" s="273"/>
      <c r="E92" s="199"/>
      <c r="F92" s="366"/>
      <c r="G92" s="366"/>
      <c r="H92" s="512" t="s">
        <v>250</v>
      </c>
      <c r="I92" s="1161" t="s">
        <v>52</v>
      </c>
      <c r="J92" s="1161"/>
      <c r="K92" s="899">
        <v>2.25</v>
      </c>
      <c r="L92" s="282">
        <v>44058</v>
      </c>
      <c r="M92" s="44" t="s">
        <v>104</v>
      </c>
      <c r="O92" s="366"/>
      <c r="P92" s="646"/>
      <c r="Q92" s="86"/>
      <c r="R92" s="896"/>
      <c r="S92" s="1"/>
      <c r="T92" s="1"/>
      <c r="V92" s="282"/>
      <c r="W92" s="282"/>
      <c r="X92" s="282"/>
      <c r="Y92" s="1"/>
      <c r="Z92" s="1"/>
    </row>
    <row r="93" spans="1:26">
      <c r="A93" s="340"/>
      <c r="B93" s="366"/>
      <c r="C93" s="366"/>
      <c r="D93" s="273"/>
      <c r="E93" s="366"/>
      <c r="F93" s="366"/>
      <c r="G93" s="366"/>
      <c r="H93" s="744" t="s">
        <v>338</v>
      </c>
      <c r="I93" s="1161" t="s">
        <v>49</v>
      </c>
      <c r="J93" s="1161"/>
      <c r="K93" s="899">
        <v>44.5</v>
      </c>
      <c r="L93" s="744" t="s">
        <v>338</v>
      </c>
      <c r="M93" s="44" t="s">
        <v>160</v>
      </c>
      <c r="N93" s="35" t="s">
        <v>358</v>
      </c>
      <c r="O93" s="84"/>
      <c r="P93" s="646"/>
      <c r="Q93" s="366"/>
      <c r="R93" s="86"/>
      <c r="S93" s="1"/>
      <c r="T93" s="282"/>
      <c r="U93" s="1"/>
      <c r="V93" s="282"/>
      <c r="W93" s="282"/>
      <c r="X93" s="282"/>
      <c r="Y93" s="1"/>
      <c r="Z93" s="1"/>
    </row>
    <row r="94" spans="1:26">
      <c r="A94" s="340"/>
      <c r="B94" s="366"/>
      <c r="C94" s="366"/>
      <c r="D94" s="273"/>
      <c r="E94" s="366"/>
      <c r="F94" s="366"/>
      <c r="G94" s="366"/>
      <c r="H94" s="512" t="s">
        <v>250</v>
      </c>
      <c r="I94" s="1276" t="s">
        <v>59</v>
      </c>
      <c r="J94" s="1276"/>
      <c r="K94" s="901">
        <v>682.74</v>
      </c>
      <c r="L94" s="302" t="s">
        <v>177</v>
      </c>
      <c r="M94" s="44" t="s">
        <v>104</v>
      </c>
      <c r="N94" s="490"/>
      <c r="O94" s="84" t="s">
        <v>359</v>
      </c>
      <c r="P94" s="646"/>
      <c r="Q94" s="479"/>
      <c r="R94" s="896"/>
      <c r="S94" s="1"/>
      <c r="T94" s="282"/>
      <c r="U94" s="1"/>
      <c r="V94" s="1"/>
      <c r="W94" s="282"/>
      <c r="X94" s="282"/>
      <c r="Y94" s="1"/>
      <c r="Z94" s="1"/>
    </row>
    <row r="95" spans="1:26">
      <c r="A95" s="340"/>
      <c r="B95" s="199"/>
      <c r="C95" s="199"/>
      <c r="D95" s="273"/>
      <c r="E95" s="199"/>
      <c r="F95" s="366"/>
      <c r="G95" s="366"/>
      <c r="H95" s="512" t="s">
        <v>250</v>
      </c>
      <c r="I95" s="1264" t="s">
        <v>68</v>
      </c>
      <c r="J95" s="1265"/>
      <c r="K95" s="899">
        <v>51.43</v>
      </c>
      <c r="L95" s="282">
        <v>44063</v>
      </c>
      <c r="M95" s="44" t="s">
        <v>104</v>
      </c>
      <c r="O95" s="366"/>
      <c r="P95" s="437"/>
      <c r="Q95" s="366"/>
      <c r="R95" s="896"/>
      <c r="S95" s="1"/>
      <c r="T95" s="282"/>
      <c r="U95" s="1"/>
      <c r="V95" s="282"/>
      <c r="W95" s="282"/>
      <c r="X95" s="282"/>
      <c r="Y95" s="1"/>
      <c r="Z95" s="1"/>
    </row>
    <row r="96" spans="1:26">
      <c r="A96" s="340"/>
      <c r="B96" s="199"/>
      <c r="C96" s="366"/>
      <c r="D96" s="273"/>
      <c r="E96" s="199"/>
      <c r="F96" s="366"/>
      <c r="G96" s="366"/>
      <c r="H96" s="512" t="s">
        <v>250</v>
      </c>
      <c r="I96" s="1264" t="s">
        <v>174</v>
      </c>
      <c r="J96" s="1265"/>
      <c r="K96" s="899">
        <v>257.08999999999997</v>
      </c>
      <c r="L96" s="282">
        <v>44058</v>
      </c>
      <c r="M96" s="44" t="s">
        <v>104</v>
      </c>
      <c r="O96" s="84"/>
      <c r="P96" s="86"/>
      <c r="Q96" s="366"/>
      <c r="R96" s="905"/>
      <c r="S96" s="905"/>
      <c r="T96" s="282"/>
      <c r="U96" s="282"/>
      <c r="V96" s="282"/>
      <c r="W96" s="1"/>
      <c r="X96" s="1"/>
      <c r="Y96" s="1"/>
      <c r="Z96" s="1"/>
    </row>
    <row r="97" spans="1:26">
      <c r="A97" s="340"/>
      <c r="B97" s="199"/>
      <c r="C97" s="366"/>
      <c r="D97" s="273"/>
      <c r="E97" s="199"/>
      <c r="F97" s="366"/>
      <c r="G97" s="366"/>
      <c r="H97" s="906" t="s">
        <v>258</v>
      </c>
      <c r="I97" s="891" t="s">
        <v>176</v>
      </c>
      <c r="J97" s="892"/>
      <c r="K97" s="899" t="s">
        <v>258</v>
      </c>
      <c r="L97" s="282">
        <v>44063</v>
      </c>
      <c r="M97" s="44" t="s">
        <v>104</v>
      </c>
      <c r="O97" s="84">
        <v>72</v>
      </c>
      <c r="P97" s="86">
        <v>29</v>
      </c>
      <c r="Q97" s="366"/>
      <c r="R97" s="483">
        <v>861.5</v>
      </c>
      <c r="S97" s="150"/>
      <c r="T97" s="1"/>
      <c r="U97" s="282"/>
      <c r="V97" s="282"/>
      <c r="W97" s="282"/>
      <c r="X97" s="282"/>
      <c r="Y97" s="1"/>
      <c r="Z97" s="1"/>
    </row>
    <row r="98" spans="1:26">
      <c r="A98" s="340"/>
      <c r="B98" s="199"/>
      <c r="C98" s="366"/>
      <c r="D98" s="273"/>
      <c r="E98" s="232"/>
      <c r="F98" s="366"/>
      <c r="G98" s="366"/>
      <c r="H98" s="512" t="s">
        <v>250</v>
      </c>
      <c r="I98" s="1264" t="s">
        <v>81</v>
      </c>
      <c r="J98" s="1265"/>
      <c r="K98" s="899">
        <v>788.15</v>
      </c>
      <c r="L98" s="282">
        <v>44053</v>
      </c>
      <c r="M98" s="44" t="s">
        <v>104</v>
      </c>
      <c r="O98" s="84">
        <v>8</v>
      </c>
      <c r="P98" s="86">
        <v>110</v>
      </c>
      <c r="Q98" s="483"/>
      <c r="R98" s="365">
        <v>275</v>
      </c>
      <c r="S98" s="150"/>
      <c r="T98" s="282"/>
      <c r="U98" s="282"/>
      <c r="V98" s="282"/>
      <c r="W98" s="282"/>
      <c r="X98" s="282"/>
      <c r="Y98" s="366"/>
      <c r="Z98" s="1"/>
    </row>
    <row r="99" spans="1:26">
      <c r="A99" s="340"/>
      <c r="B99" s="199"/>
      <c r="C99" s="366"/>
      <c r="D99" s="273"/>
      <c r="E99" s="232"/>
      <c r="F99" s="366"/>
      <c r="G99" s="366"/>
      <c r="H99" s="512" t="s">
        <v>338</v>
      </c>
      <c r="I99" s="1264" t="s">
        <v>53</v>
      </c>
      <c r="J99" s="1265"/>
      <c r="K99" s="454">
        <v>10</v>
      </c>
      <c r="L99" s="282">
        <v>44058</v>
      </c>
      <c r="M99" s="44" t="s">
        <v>104</v>
      </c>
      <c r="N99" s="490"/>
      <c r="O99" s="84">
        <v>87.5</v>
      </c>
      <c r="P99" s="86">
        <v>15</v>
      </c>
      <c r="Q99" s="896"/>
      <c r="R99" s="86">
        <v>194</v>
      </c>
      <c r="S99" s="1"/>
      <c r="T99" s="282"/>
      <c r="U99" s="282"/>
      <c r="V99" s="282"/>
      <c r="W99" s="282"/>
      <c r="X99" s="282"/>
      <c r="Y99" s="366"/>
      <c r="Z99" s="1"/>
    </row>
    <row r="100" spans="1:26">
      <c r="A100" s="340"/>
      <c r="B100" s="199"/>
      <c r="C100" s="366"/>
      <c r="D100" s="273"/>
      <c r="E100" s="232"/>
      <c r="F100" s="366"/>
      <c r="G100" s="366"/>
      <c r="H100" s="512" t="s">
        <v>250</v>
      </c>
      <c r="I100" s="1263" t="s">
        <v>276</v>
      </c>
      <c r="J100" s="1263"/>
      <c r="K100" s="637">
        <v>100</v>
      </c>
      <c r="L100" s="282">
        <v>44073</v>
      </c>
      <c r="M100" s="44" t="s">
        <v>104</v>
      </c>
      <c r="O100" s="84">
        <v>5</v>
      </c>
      <c r="P100" s="86">
        <v>13</v>
      </c>
      <c r="Q100" s="896"/>
      <c r="R100" s="86">
        <v>301.5</v>
      </c>
      <c r="S100" s="366"/>
      <c r="T100" s="282"/>
      <c r="U100" s="282"/>
      <c r="V100" s="282"/>
      <c r="W100" s="282"/>
      <c r="X100" s="282"/>
      <c r="Y100" s="1"/>
      <c r="Z100" s="1"/>
    </row>
    <row r="101" spans="1:26">
      <c r="A101" s="340"/>
      <c r="B101" s="199"/>
      <c r="C101" s="366"/>
      <c r="D101" s="273"/>
      <c r="E101" s="232"/>
      <c r="F101" s="366"/>
      <c r="G101" s="366"/>
      <c r="H101" s="512" t="s">
        <v>250</v>
      </c>
      <c r="I101" s="1263" t="s">
        <v>296</v>
      </c>
      <c r="J101" s="1263"/>
      <c r="K101" s="637">
        <v>9</v>
      </c>
      <c r="L101" s="282">
        <v>44058</v>
      </c>
      <c r="M101" s="44" t="s">
        <v>104</v>
      </c>
      <c r="O101" s="84">
        <v>39</v>
      </c>
      <c r="P101" s="86">
        <v>5</v>
      </c>
      <c r="Q101" s="896"/>
      <c r="R101" s="86">
        <v>390</v>
      </c>
      <c r="S101" s="366"/>
      <c r="T101" s="282"/>
      <c r="U101" s="282"/>
      <c r="V101" s="282"/>
      <c r="W101" s="282"/>
      <c r="X101" s="282"/>
      <c r="Y101" s="1"/>
      <c r="Z101" s="1"/>
    </row>
    <row r="102" spans="1:26">
      <c r="A102" s="340"/>
      <c r="B102" s="199"/>
      <c r="C102" s="366"/>
      <c r="D102" s="273"/>
      <c r="E102" s="232"/>
      <c r="F102" s="366"/>
      <c r="G102" s="366"/>
      <c r="H102" s="512" t="s">
        <v>250</v>
      </c>
      <c r="I102" s="1143" t="s">
        <v>345</v>
      </c>
      <c r="J102" s="1144"/>
      <c r="K102" s="637">
        <v>1015.9</v>
      </c>
      <c r="L102" s="282">
        <v>44073</v>
      </c>
      <c r="M102" s="44" t="s">
        <v>104</v>
      </c>
      <c r="O102" s="84">
        <v>6</v>
      </c>
      <c r="P102" s="86">
        <v>41</v>
      </c>
      <c r="Q102" s="896"/>
      <c r="R102" s="86">
        <v>1883.5</v>
      </c>
      <c r="S102" s="366"/>
      <c r="T102" s="282"/>
      <c r="U102" s="282"/>
      <c r="V102" s="282"/>
      <c r="W102" s="282"/>
      <c r="X102" s="282"/>
      <c r="Y102" s="1"/>
      <c r="Z102" s="1"/>
    </row>
    <row r="103" spans="1:26" ht="15.75" thickBot="1">
      <c r="A103" s="341"/>
      <c r="B103" s="330"/>
      <c r="C103" s="331"/>
      <c r="D103" s="342"/>
      <c r="E103" s="330"/>
      <c r="F103" s="331"/>
      <c r="G103" s="331"/>
      <c r="H103" s="1280" t="s">
        <v>179</v>
      </c>
      <c r="I103" s="1281"/>
      <c r="J103" s="361">
        <f>SUM(K90:K102)</f>
        <v>3113.66</v>
      </c>
      <c r="K103" s="1146" t="s">
        <v>180</v>
      </c>
      <c r="L103" s="1146"/>
      <c r="M103" s="514">
        <v>0</v>
      </c>
      <c r="O103" s="84">
        <v>208</v>
      </c>
      <c r="P103" s="86">
        <v>49</v>
      </c>
      <c r="Q103" s="896"/>
      <c r="R103" s="365">
        <v>794</v>
      </c>
      <c r="S103" s="366"/>
      <c r="T103" s="282"/>
      <c r="U103" s="282"/>
      <c r="V103" s="1"/>
      <c r="W103" s="282"/>
      <c r="X103" s="282"/>
      <c r="Y103" s="1"/>
      <c r="Z103" s="1"/>
    </row>
    <row r="104" spans="1:26" ht="15.75" thickTop="1">
      <c r="C104" s="491"/>
      <c r="D104" s="491"/>
      <c r="O104" s="84">
        <v>204</v>
      </c>
      <c r="P104" s="86">
        <v>20</v>
      </c>
      <c r="Q104" s="896"/>
      <c r="R104" s="365">
        <v>563</v>
      </c>
      <c r="S104" s="366"/>
      <c r="T104" s="282"/>
      <c r="U104" s="282"/>
      <c r="V104" s="1"/>
      <c r="W104" s="282"/>
      <c r="X104" s="282"/>
      <c r="Y104" s="1"/>
      <c r="Z104" s="1"/>
    </row>
    <row r="105" spans="1:26" ht="15" customHeight="1">
      <c r="A105" s="1163" t="s">
        <v>350</v>
      </c>
      <c r="B105" s="1163"/>
      <c r="C105" s="1163"/>
      <c r="D105" s="1163"/>
      <c r="E105" s="1163"/>
      <c r="F105" s="1163"/>
      <c r="G105" s="1163"/>
      <c r="H105" s="1163"/>
      <c r="I105" s="1163"/>
      <c r="J105" s="1163"/>
      <c r="K105" s="1163"/>
      <c r="L105" s="1163"/>
      <c r="M105" s="1163"/>
      <c r="O105" s="84">
        <v>133</v>
      </c>
      <c r="P105" s="86">
        <v>229.3</v>
      </c>
      <c r="Q105" s="896"/>
      <c r="R105" s="366">
        <v>1402.5</v>
      </c>
      <c r="S105" s="1"/>
      <c r="T105" s="282"/>
      <c r="U105" s="282"/>
      <c r="V105" s="1"/>
      <c r="W105" s="1"/>
      <c r="X105" s="1"/>
      <c r="Y105" s="1"/>
      <c r="Z105" s="1"/>
    </row>
    <row r="106" spans="1:26" ht="15.75" customHeight="1" thickBot="1">
      <c r="A106" s="1164"/>
      <c r="B106" s="1164"/>
      <c r="C106" s="1164"/>
      <c r="D106" s="1164"/>
      <c r="E106" s="1164"/>
      <c r="F106" s="1164"/>
      <c r="G106" s="1164"/>
      <c r="H106" s="1164"/>
      <c r="I106" s="1164"/>
      <c r="J106" s="1164"/>
      <c r="K106" s="1164"/>
      <c r="L106" s="1164"/>
      <c r="M106" s="1164"/>
      <c r="O106" s="84">
        <v>1</v>
      </c>
      <c r="P106" s="86">
        <v>50</v>
      </c>
      <c r="Q106" s="896"/>
      <c r="R106" s="366">
        <v>380</v>
      </c>
      <c r="S106" s="1"/>
      <c r="T106" s="1"/>
      <c r="U106" s="282"/>
      <c r="V106" s="1"/>
      <c r="W106" s="1"/>
      <c r="X106" s="1"/>
      <c r="Y106" s="1"/>
      <c r="Z106" s="1"/>
    </row>
    <row r="107" spans="1:26" ht="15.75" thickTop="1">
      <c r="A107" s="1301" t="s">
        <v>43</v>
      </c>
      <c r="B107" s="1268"/>
      <c r="C107" s="1268"/>
      <c r="D107" s="1268"/>
      <c r="E107" s="1268"/>
      <c r="F107" s="1302"/>
      <c r="G107" s="323"/>
      <c r="O107" s="84">
        <v>53</v>
      </c>
      <c r="P107" s="86">
        <v>33.5</v>
      </c>
      <c r="Q107" s="647"/>
      <c r="R107" s="366">
        <v>670</v>
      </c>
      <c r="S107" s="1"/>
      <c r="T107" s="1"/>
      <c r="U107" s="282"/>
      <c r="V107" s="1"/>
      <c r="W107" s="1"/>
      <c r="X107" s="1"/>
      <c r="Y107" s="1"/>
      <c r="Z107" s="1"/>
    </row>
    <row r="108" spans="1:26">
      <c r="A108" s="1213" t="s">
        <v>342</v>
      </c>
      <c r="B108" s="1214"/>
      <c r="C108" s="890" t="s">
        <v>35</v>
      </c>
      <c r="D108" s="890" t="s">
        <v>38</v>
      </c>
      <c r="E108" s="890" t="s">
        <v>42</v>
      </c>
      <c r="F108" s="890" t="s">
        <v>44</v>
      </c>
      <c r="G108" s="1"/>
      <c r="O108" s="84">
        <v>19</v>
      </c>
      <c r="P108" s="86">
        <v>315</v>
      </c>
      <c r="Q108" s="896"/>
      <c r="R108" s="366">
        <v>229.5</v>
      </c>
      <c r="S108" s="1"/>
      <c r="T108" s="1"/>
      <c r="U108" s="1"/>
      <c r="W108" s="1"/>
      <c r="X108" s="1"/>
      <c r="Y108" s="1"/>
      <c r="Z108" s="1"/>
    </row>
    <row r="109" spans="1:26">
      <c r="A109" s="1290" t="s">
        <v>40</v>
      </c>
      <c r="B109" s="1271"/>
      <c r="C109" s="481">
        <v>1153.3599999999999</v>
      </c>
      <c r="D109" s="481">
        <v>1153.3599999999999</v>
      </c>
      <c r="E109" s="481">
        <v>1153.3599999999999</v>
      </c>
      <c r="F109" s="3" t="s">
        <v>372</v>
      </c>
      <c r="G109" s="1"/>
      <c r="O109" s="84">
        <v>276</v>
      </c>
      <c r="P109" s="86">
        <v>10</v>
      </c>
      <c r="Q109" s="896"/>
      <c r="R109" s="366">
        <v>35</v>
      </c>
      <c r="S109" s="1"/>
      <c r="T109" s="1"/>
      <c r="U109" s="1"/>
      <c r="W109" s="1"/>
      <c r="X109" s="1"/>
      <c r="Y109" s="1"/>
      <c r="Z109" s="1"/>
    </row>
    <row r="110" spans="1:26">
      <c r="A110" s="340"/>
      <c r="B110" s="366"/>
      <c r="C110" s="498">
        <f>SUM(C109:C109)</f>
        <v>1153.3599999999999</v>
      </c>
      <c r="D110" s="366"/>
      <c r="E110" s="84"/>
      <c r="F110" s="366"/>
      <c r="G110" s="1"/>
      <c r="K110" s="490"/>
      <c r="O110" s="84">
        <v>24</v>
      </c>
      <c r="P110" s="86">
        <v>25</v>
      </c>
      <c r="Q110" s="896"/>
      <c r="R110" s="366">
        <v>275</v>
      </c>
      <c r="T110" s="1"/>
      <c r="U110" s="1"/>
      <c r="Z110" s="1"/>
    </row>
    <row r="111" spans="1:26">
      <c r="A111" s="340"/>
      <c r="B111" s="366"/>
      <c r="C111" s="366"/>
      <c r="D111" s="366"/>
      <c r="E111" s="366"/>
      <c r="F111" s="366"/>
      <c r="G111" s="1"/>
      <c r="O111" s="84">
        <v>24</v>
      </c>
      <c r="P111" s="86">
        <v>333</v>
      </c>
      <c r="Q111" s="896"/>
      <c r="R111" s="366">
        <v>150.5</v>
      </c>
      <c r="U111" s="1"/>
      <c r="Z111" s="1"/>
    </row>
    <row r="112" spans="1:26">
      <c r="A112" s="340"/>
      <c r="B112" s="366"/>
      <c r="C112" s="366"/>
      <c r="D112" s="366"/>
      <c r="E112" s="366"/>
      <c r="F112" s="366"/>
      <c r="G112" s="1"/>
      <c r="M112" s="490"/>
      <c r="O112" s="84">
        <v>225</v>
      </c>
      <c r="P112" s="86">
        <v>441</v>
      </c>
      <c r="Q112" s="896"/>
      <c r="R112" s="366">
        <v>18</v>
      </c>
      <c r="U112" s="1"/>
      <c r="Z112" s="1"/>
    </row>
    <row r="113" spans="1:26">
      <c r="A113" s="340"/>
      <c r="B113" s="366"/>
      <c r="C113" s="366"/>
      <c r="D113" s="366"/>
      <c r="E113" s="366"/>
      <c r="F113" s="366"/>
      <c r="G113" s="1"/>
      <c r="O113" s="84">
        <f>SUM(O97:O112)</f>
        <v>1384.5</v>
      </c>
      <c r="P113" s="86">
        <f>62.5+11.5</f>
        <v>74</v>
      </c>
      <c r="Q113" s="896"/>
      <c r="R113" s="366">
        <v>76</v>
      </c>
      <c r="U113" s="1"/>
    </row>
    <row r="114" spans="1:26">
      <c r="A114" s="43"/>
      <c r="B114" s="1"/>
      <c r="C114" s="366"/>
      <c r="D114" s="1"/>
      <c r="E114" s="1"/>
      <c r="F114" s="1"/>
      <c r="G114" s="1"/>
      <c r="M114" s="1"/>
      <c r="O114" s="84"/>
      <c r="P114" s="86">
        <v>243</v>
      </c>
      <c r="Q114" s="896"/>
      <c r="R114" s="366">
        <v>68</v>
      </c>
    </row>
    <row r="115" spans="1:26">
      <c r="A115" s="43"/>
      <c r="B115" s="1"/>
      <c r="C115" s="366"/>
      <c r="D115" s="1"/>
      <c r="E115" s="1"/>
      <c r="F115" s="1"/>
      <c r="G115" s="1"/>
      <c r="M115" s="1"/>
      <c r="O115" s="84"/>
      <c r="P115" s="86">
        <v>195</v>
      </c>
      <c r="Q115" s="896"/>
      <c r="R115" s="366">
        <v>310</v>
      </c>
    </row>
    <row r="116" spans="1:26">
      <c r="A116" s="43"/>
      <c r="B116" s="1"/>
      <c r="C116" s="366"/>
      <c r="D116" s="1"/>
      <c r="E116" s="1"/>
      <c r="F116" s="1"/>
      <c r="G116" s="1"/>
      <c r="M116" s="1"/>
      <c r="O116" s="84"/>
      <c r="P116" s="86">
        <v>1258</v>
      </c>
      <c r="Q116" s="896"/>
      <c r="R116" s="366">
        <v>1078</v>
      </c>
    </row>
    <row r="117" spans="1:26">
      <c r="A117" s="43"/>
      <c r="B117" s="1"/>
      <c r="C117" s="366"/>
      <c r="D117" s="1"/>
      <c r="E117" s="1"/>
      <c r="F117" s="1"/>
      <c r="G117" s="1"/>
      <c r="M117" s="366"/>
      <c r="O117" s="84"/>
      <c r="P117" s="86">
        <v>210</v>
      </c>
      <c r="Q117" s="896"/>
      <c r="R117" s="366">
        <v>448</v>
      </c>
    </row>
    <row r="118" spans="1:26">
      <c r="A118" s="43"/>
      <c r="B118" s="1"/>
      <c r="C118" s="366"/>
      <c r="D118" s="1"/>
      <c r="E118" s="1"/>
      <c r="F118" s="1"/>
      <c r="G118" s="1"/>
      <c r="M118" s="366"/>
      <c r="O118" s="84"/>
      <c r="P118" s="86">
        <v>8</v>
      </c>
      <c r="Q118" s="896"/>
      <c r="R118" s="366">
        <v>706</v>
      </c>
    </row>
    <row r="119" spans="1:26">
      <c r="A119" s="43"/>
      <c r="B119" s="1"/>
      <c r="C119" s="366"/>
      <c r="D119" s="1"/>
      <c r="E119" s="1"/>
      <c r="F119" s="1"/>
      <c r="G119" s="1"/>
      <c r="M119" s="1"/>
      <c r="O119" s="84"/>
      <c r="P119" s="86">
        <v>6</v>
      </c>
      <c r="Q119" s="896"/>
      <c r="R119" s="366">
        <v>130</v>
      </c>
    </row>
    <row r="120" spans="1:26">
      <c r="A120" s="43"/>
      <c r="B120" s="1"/>
      <c r="C120" s="366"/>
      <c r="D120" s="1"/>
      <c r="E120" s="1"/>
      <c r="F120" s="1"/>
      <c r="G120" s="1"/>
      <c r="M120" s="1"/>
      <c r="O120" s="84"/>
      <c r="P120" s="86">
        <v>160</v>
      </c>
      <c r="Q120" s="896"/>
      <c r="R120" s="366">
        <v>132</v>
      </c>
    </row>
    <row r="121" spans="1:26">
      <c r="A121" s="43"/>
      <c r="B121" s="1"/>
      <c r="C121" s="366"/>
      <c r="D121" s="1"/>
      <c r="E121" s="1"/>
      <c r="F121" s="1"/>
      <c r="G121" s="1"/>
      <c r="M121" s="1"/>
      <c r="O121" s="84"/>
      <c r="P121" s="86">
        <v>35</v>
      </c>
      <c r="Q121" s="86"/>
      <c r="R121" s="366">
        <v>120</v>
      </c>
    </row>
    <row r="122" spans="1:26">
      <c r="A122" s="43"/>
      <c r="B122" s="1"/>
      <c r="C122" s="366"/>
      <c r="D122" s="1"/>
      <c r="E122" s="1"/>
      <c r="F122" s="1"/>
      <c r="G122" s="1"/>
      <c r="M122" s="1"/>
      <c r="O122" s="84"/>
      <c r="P122" s="86">
        <v>3.5</v>
      </c>
      <c r="Q122" s="86"/>
      <c r="R122" s="366">
        <v>2048</v>
      </c>
    </row>
    <row r="123" spans="1:26">
      <c r="A123" s="43"/>
      <c r="B123" s="1"/>
      <c r="C123" s="366"/>
      <c r="D123" s="1"/>
      <c r="E123" s="1"/>
      <c r="F123" s="1"/>
      <c r="G123" s="1"/>
      <c r="O123" s="84"/>
      <c r="P123" s="86">
        <f>SUM(P97:P122)</f>
        <v>3911.3</v>
      </c>
      <c r="Q123" s="86"/>
      <c r="R123" s="366">
        <v>130.5</v>
      </c>
    </row>
    <row r="124" spans="1:26">
      <c r="A124" s="43"/>
      <c r="B124" s="1"/>
      <c r="C124" s="366"/>
      <c r="D124" s="1"/>
      <c r="E124" s="1"/>
      <c r="F124" s="1"/>
      <c r="G124" s="1"/>
      <c r="O124" s="84"/>
      <c r="P124" s="86"/>
      <c r="Q124" s="86"/>
      <c r="R124" s="366">
        <v>296</v>
      </c>
    </row>
    <row r="125" spans="1:26">
      <c r="C125" s="446"/>
      <c r="O125" s="84"/>
      <c r="P125" s="86"/>
      <c r="Q125" s="86"/>
      <c r="R125" s="366">
        <v>608</v>
      </c>
    </row>
    <row r="126" spans="1:26">
      <c r="A126" s="12"/>
      <c r="C126" s="446"/>
      <c r="O126" s="84"/>
      <c r="P126" s="86"/>
      <c r="Q126" s="86"/>
      <c r="R126" s="366">
        <v>1835</v>
      </c>
    </row>
    <row r="127" spans="1:26">
      <c r="C127" s="446"/>
      <c r="R127" s="366">
        <v>355</v>
      </c>
    </row>
    <row r="128" spans="1:26" s="1" customFormat="1" ht="12.75" customHeight="1">
      <c r="A128" s="448"/>
      <c r="B128" s="199"/>
      <c r="D128" s="273"/>
      <c r="E128" s="366"/>
      <c r="F128" s="366"/>
      <c r="G128" s="366"/>
      <c r="H128" s="538"/>
      <c r="I128" s="902"/>
      <c r="J128" s="437"/>
      <c r="K128" s="605"/>
      <c r="L128" s="605"/>
      <c r="M128" s="436"/>
      <c r="O128" s="127"/>
      <c r="P128" s="84"/>
      <c r="Q128" s="145"/>
      <c r="R128" s="84">
        <v>214.5</v>
      </c>
      <c r="S128" s="84"/>
      <c r="T128" s="366"/>
      <c r="U128" s="366"/>
      <c r="V128" s="366"/>
      <c r="W128" s="366"/>
      <c r="X128" s="366"/>
      <c r="Y128" s="366"/>
      <c r="Z128" s="366"/>
    </row>
    <row r="129" spans="3:18">
      <c r="C129" s="446"/>
      <c r="R129" s="366">
        <v>280</v>
      </c>
    </row>
    <row r="130" spans="3:18">
      <c r="C130" s="446"/>
      <c r="R130" s="366">
        <v>60</v>
      </c>
    </row>
    <row r="131" spans="3:18">
      <c r="C131" s="446"/>
      <c r="R131" s="366">
        <v>684</v>
      </c>
    </row>
    <row r="132" spans="3:18">
      <c r="C132" s="446"/>
      <c r="R132" s="366">
        <v>606</v>
      </c>
    </row>
    <row r="133" spans="3:18">
      <c r="C133" s="446"/>
      <c r="R133" s="910">
        <f>SUM(R97:R132)</f>
        <v>18608</v>
      </c>
    </row>
    <row r="134" spans="3:18">
      <c r="C134" s="446"/>
    </row>
  </sheetData>
  <mergeCells count="131">
    <mergeCell ref="A107:F107"/>
    <mergeCell ref="A108:B108"/>
    <mergeCell ref="A109:B109"/>
    <mergeCell ref="I100:J100"/>
    <mergeCell ref="I101:J101"/>
    <mergeCell ref="I102:J102"/>
    <mergeCell ref="H103:I103"/>
    <mergeCell ref="K103:L103"/>
    <mergeCell ref="A105:M106"/>
    <mergeCell ref="I93:J93"/>
    <mergeCell ref="I94:J94"/>
    <mergeCell ref="I95:J95"/>
    <mergeCell ref="I96:J96"/>
    <mergeCell ref="I98:J98"/>
    <mergeCell ref="I99:J99"/>
    <mergeCell ref="H88:H89"/>
    <mergeCell ref="I88:K89"/>
    <mergeCell ref="L88:M89"/>
    <mergeCell ref="I90:J90"/>
    <mergeCell ref="I91:J91"/>
    <mergeCell ref="I92:J92"/>
    <mergeCell ref="I74:J74"/>
    <mergeCell ref="L74:M74"/>
    <mergeCell ref="A75:B75"/>
    <mergeCell ref="H75:J75"/>
    <mergeCell ref="L75:M75"/>
    <mergeCell ref="H76:H77"/>
    <mergeCell ref="I76:I77"/>
    <mergeCell ref="J76:K76"/>
    <mergeCell ref="L76:L77"/>
    <mergeCell ref="M76:M77"/>
    <mergeCell ref="I71:J71"/>
    <mergeCell ref="L71:M71"/>
    <mergeCell ref="I72:J72"/>
    <mergeCell ref="L72:M72"/>
    <mergeCell ref="I73:J73"/>
    <mergeCell ref="L73:M73"/>
    <mergeCell ref="I68:J68"/>
    <mergeCell ref="L68:M68"/>
    <mergeCell ref="I69:J69"/>
    <mergeCell ref="L69:M69"/>
    <mergeCell ref="I70:J70"/>
    <mergeCell ref="L70:M70"/>
    <mergeCell ref="I65:J65"/>
    <mergeCell ref="L65:M65"/>
    <mergeCell ref="I66:J66"/>
    <mergeCell ref="L66:M66"/>
    <mergeCell ref="I67:J67"/>
    <mergeCell ref="L67:M67"/>
    <mergeCell ref="I62:J62"/>
    <mergeCell ref="L62:M62"/>
    <mergeCell ref="I63:J63"/>
    <mergeCell ref="L63:M63"/>
    <mergeCell ref="I64:J64"/>
    <mergeCell ref="L64:M64"/>
    <mergeCell ref="I59:J59"/>
    <mergeCell ref="L59:M59"/>
    <mergeCell ref="I60:J60"/>
    <mergeCell ref="L60:M60"/>
    <mergeCell ref="I61:J61"/>
    <mergeCell ref="L61:M61"/>
    <mergeCell ref="K53:L53"/>
    <mergeCell ref="H54:K54"/>
    <mergeCell ref="A55:M56"/>
    <mergeCell ref="A57:G57"/>
    <mergeCell ref="H57:M57"/>
    <mergeCell ref="I58:J58"/>
    <mergeCell ref="L58:M58"/>
    <mergeCell ref="I48:J48"/>
    <mergeCell ref="I49:J49"/>
    <mergeCell ref="I50:J50"/>
    <mergeCell ref="I51:J51"/>
    <mergeCell ref="I52:J52"/>
    <mergeCell ref="H53:I53"/>
    <mergeCell ref="I40:J40"/>
    <mergeCell ref="I41:J41"/>
    <mergeCell ref="I42:J42"/>
    <mergeCell ref="I45:J45"/>
    <mergeCell ref="I46:J46"/>
    <mergeCell ref="I47:J47"/>
    <mergeCell ref="H35:H36"/>
    <mergeCell ref="I35:K36"/>
    <mergeCell ref="L35:M36"/>
    <mergeCell ref="I37:J37"/>
    <mergeCell ref="I38:J38"/>
    <mergeCell ref="I39:J39"/>
    <mergeCell ref="A20:B20"/>
    <mergeCell ref="H20:J20"/>
    <mergeCell ref="L20:M20"/>
    <mergeCell ref="H21:H22"/>
    <mergeCell ref="I21:I22"/>
    <mergeCell ref="J21:K21"/>
    <mergeCell ref="L21:L22"/>
    <mergeCell ref="M21:M22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</mergeCells>
  <printOptions horizontalCentered="1" verticalCentered="1"/>
  <pageMargins left="0" right="0" top="0" bottom="0" header="0" footer="0"/>
  <pageSetup paperSize="9" scale="7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7"/>
  <sheetViews>
    <sheetView zoomScaleNormal="100" zoomScaleSheetLayoutView="115" zoomScalePageLayoutView="70" workbookViewId="0">
      <pane xSplit="1" ySplit="1" topLeftCell="B23" activePane="bottomRight" state="frozen"/>
      <selection pane="topRight" activeCell="B1" sqref="B1"/>
      <selection pane="bottomLeft" activeCell="A4" sqref="A4"/>
      <selection pane="bottomRight" activeCell="I49" sqref="I49"/>
    </sheetView>
  </sheetViews>
  <sheetFormatPr defaultColWidth="9.140625" defaultRowHeight="15"/>
  <cols>
    <col min="1" max="1" width="12.7109375" style="35" customWidth="1"/>
    <col min="2" max="2" width="6" style="35" customWidth="1"/>
    <col min="3" max="3" width="19" style="35" customWidth="1"/>
    <col min="4" max="4" width="18.85546875" style="35" customWidth="1"/>
    <col min="5" max="6" width="19" style="35" customWidth="1"/>
    <col min="7" max="7" width="18.140625" style="35" customWidth="1"/>
    <col min="8" max="8" width="14.5703125" style="35" customWidth="1"/>
    <col min="9" max="9" width="13.7109375" style="35" customWidth="1"/>
    <col min="10" max="10" width="10.42578125" style="35" customWidth="1"/>
    <col min="11" max="11" width="9.140625" style="35" customWidth="1"/>
    <col min="12" max="13" width="9.140625" style="35"/>
    <col min="14" max="14" width="10" style="35" customWidth="1"/>
    <col min="15" max="16384" width="9.140625" style="35"/>
  </cols>
  <sheetData>
    <row r="1" spans="1:18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12</v>
      </c>
      <c r="G1" s="14" t="s">
        <v>364</v>
      </c>
      <c r="H1" s="14" t="s">
        <v>184</v>
      </c>
      <c r="I1" s="116" t="s">
        <v>365</v>
      </c>
      <c r="J1" s="15" t="s">
        <v>191</v>
      </c>
      <c r="K1" s="463" t="s">
        <v>240</v>
      </c>
      <c r="L1" s="463" t="s">
        <v>371</v>
      </c>
      <c r="M1" s="463"/>
      <c r="N1" s="463"/>
    </row>
    <row r="2" spans="1:18" ht="11.1" customHeight="1">
      <c r="B2" s="16">
        <f>IF(C2="","",WEEKDAY(C2,2))</f>
        <v>6</v>
      </c>
      <c r="C2" s="17">
        <v>44044</v>
      </c>
      <c r="D2" s="757">
        <v>347.41</v>
      </c>
      <c r="E2" s="739"/>
      <c r="F2" s="702"/>
      <c r="G2" s="873">
        <f>874.5-80</f>
        <v>794.5</v>
      </c>
      <c r="H2" s="873"/>
      <c r="I2" s="227"/>
      <c r="J2" s="890"/>
      <c r="K2" s="669">
        <v>136</v>
      </c>
      <c r="L2" s="463"/>
      <c r="M2" s="463"/>
      <c r="N2" s="463"/>
    </row>
    <row r="3" spans="1:18" ht="11.1" customHeight="1">
      <c r="B3" s="16">
        <f t="shared" ref="B3:B32" si="0">IF(C3="","",WEEKDAY(C3,2))</f>
        <v>7</v>
      </c>
      <c r="C3" s="17">
        <v>44045</v>
      </c>
      <c r="D3" s="757"/>
      <c r="E3" s="22">
        <v>931.5</v>
      </c>
      <c r="F3" s="702"/>
      <c r="G3" s="873">
        <v>467.2</v>
      </c>
      <c r="H3" s="873"/>
      <c r="I3" s="227"/>
      <c r="J3" s="890"/>
      <c r="K3" s="670">
        <v>129.22</v>
      </c>
      <c r="L3" s="463"/>
      <c r="M3" s="463"/>
      <c r="N3" s="463"/>
    </row>
    <row r="4" spans="1:18" ht="11.1" customHeight="1">
      <c r="B4" s="16">
        <f t="shared" si="0"/>
        <v>1</v>
      </c>
      <c r="C4" s="17">
        <v>44046</v>
      </c>
      <c r="D4" s="757"/>
      <c r="E4" s="22">
        <v>978.15</v>
      </c>
      <c r="F4" s="702"/>
      <c r="G4" s="873"/>
      <c r="H4" s="873">
        <v>399</v>
      </c>
      <c r="I4" s="227"/>
      <c r="J4" s="890"/>
      <c r="K4" s="670"/>
      <c r="L4" s="463"/>
      <c r="M4" s="463"/>
      <c r="N4" s="463"/>
    </row>
    <row r="5" spans="1:18" ht="11.1" customHeight="1">
      <c r="B5" s="16">
        <f t="shared" si="0"/>
        <v>2</v>
      </c>
      <c r="C5" s="17">
        <v>44047</v>
      </c>
      <c r="D5" s="757">
        <v>292.2</v>
      </c>
      <c r="E5" s="757"/>
      <c r="F5" s="702"/>
      <c r="G5" s="873">
        <v>276.39999999999998</v>
      </c>
      <c r="H5" s="873"/>
      <c r="I5" s="227"/>
      <c r="J5" s="890"/>
      <c r="K5" s="669">
        <v>138</v>
      </c>
      <c r="L5" s="463"/>
      <c r="M5" s="463"/>
      <c r="N5" s="463"/>
    </row>
    <row r="6" spans="1:18" ht="11.1" customHeight="1">
      <c r="B6" s="16">
        <f t="shared" si="0"/>
        <v>3</v>
      </c>
      <c r="C6" s="17">
        <v>44048</v>
      </c>
      <c r="D6" s="757">
        <v>1104.8</v>
      </c>
      <c r="E6" s="757"/>
      <c r="F6" s="702"/>
      <c r="G6" s="873">
        <v>252.8</v>
      </c>
      <c r="H6" s="873"/>
      <c r="I6" s="227"/>
      <c r="J6" s="890"/>
      <c r="K6" s="85">
        <v>93.4</v>
      </c>
      <c r="L6" s="463"/>
      <c r="M6" s="463"/>
      <c r="N6" s="463"/>
    </row>
    <row r="7" spans="1:18" ht="11.1" customHeight="1">
      <c r="B7" s="16">
        <f t="shared" si="0"/>
        <v>4</v>
      </c>
      <c r="C7" s="17">
        <v>44049</v>
      </c>
      <c r="D7" s="757"/>
      <c r="E7" s="757">
        <v>978.21</v>
      </c>
      <c r="F7" s="702"/>
      <c r="G7" s="873"/>
      <c r="H7" s="873">
        <v>1135.5</v>
      </c>
      <c r="I7" s="227"/>
      <c r="J7" s="875"/>
      <c r="K7" s="85">
        <v>27.5</v>
      </c>
      <c r="L7" s="463"/>
      <c r="M7" s="463"/>
      <c r="N7" s="463"/>
    </row>
    <row r="8" spans="1:18" ht="11.1" customHeight="1">
      <c r="B8" s="16">
        <f t="shared" si="0"/>
        <v>5</v>
      </c>
      <c r="C8" s="17">
        <v>44050</v>
      </c>
      <c r="D8" s="757"/>
      <c r="E8" s="757">
        <v>518</v>
      </c>
      <c r="F8" s="702"/>
      <c r="G8" s="873"/>
      <c r="H8" s="873">
        <v>268.10000000000002</v>
      </c>
      <c r="I8" s="227"/>
      <c r="J8" s="885"/>
      <c r="K8" s="726">
        <v>194.75</v>
      </c>
      <c r="L8" s="463"/>
      <c r="M8" s="463"/>
      <c r="N8" s="463"/>
    </row>
    <row r="9" spans="1:18" ht="11.1" customHeight="1">
      <c r="B9" s="16">
        <f t="shared" si="0"/>
        <v>6</v>
      </c>
      <c r="C9" s="17">
        <v>44051</v>
      </c>
      <c r="D9" s="757">
        <v>736.9</v>
      </c>
      <c r="E9" s="757"/>
      <c r="F9" s="702"/>
      <c r="G9" s="873"/>
      <c r="H9" s="873">
        <v>213.4</v>
      </c>
      <c r="I9" s="227"/>
      <c r="J9" s="18"/>
      <c r="K9" s="726">
        <v>93.9</v>
      </c>
      <c r="L9" s="463"/>
      <c r="M9" s="463"/>
      <c r="N9" s="463"/>
    </row>
    <row r="10" spans="1:18" ht="11.1" customHeight="1">
      <c r="B10" s="16">
        <f t="shared" si="0"/>
        <v>7</v>
      </c>
      <c r="C10" s="17">
        <v>44052</v>
      </c>
      <c r="D10" s="757">
        <v>940.4</v>
      </c>
      <c r="E10" s="757"/>
      <c r="F10" s="702"/>
      <c r="G10" s="873">
        <v>233.8</v>
      </c>
      <c r="H10" s="873"/>
      <c r="I10" s="227"/>
      <c r="J10" s="431"/>
      <c r="K10" s="726">
        <v>58</v>
      </c>
      <c r="L10" s="463"/>
      <c r="M10" s="463"/>
      <c r="N10" s="463"/>
    </row>
    <row r="11" spans="1:18" ht="11.1" customHeight="1">
      <c r="B11" s="16">
        <f t="shared" si="0"/>
        <v>1</v>
      </c>
      <c r="C11" s="17">
        <v>44053</v>
      </c>
      <c r="D11" s="757"/>
      <c r="E11" s="757">
        <v>741.3</v>
      </c>
      <c r="F11" s="702"/>
      <c r="G11" s="873">
        <v>378.2</v>
      </c>
      <c r="H11" s="873"/>
      <c r="I11" s="227"/>
      <c r="J11" s="671"/>
      <c r="L11" s="463"/>
      <c r="M11" s="465"/>
      <c r="N11" s="463"/>
      <c r="P11" s="86"/>
      <c r="Q11" s="86"/>
      <c r="R11" s="86"/>
    </row>
    <row r="12" spans="1:18" ht="11.1" customHeight="1">
      <c r="B12" s="16">
        <f t="shared" si="0"/>
        <v>2</v>
      </c>
      <c r="C12" s="17">
        <v>44054</v>
      </c>
      <c r="D12" s="757"/>
      <c r="E12" s="757">
        <v>671.9</v>
      </c>
      <c r="F12" s="702"/>
      <c r="G12" s="873"/>
      <c r="H12" s="873">
        <v>322.89999999999998</v>
      </c>
      <c r="I12" s="227"/>
      <c r="J12" s="226"/>
      <c r="K12" s="726">
        <v>384.4</v>
      </c>
      <c r="L12" s="463"/>
      <c r="M12" s="465"/>
      <c r="N12" s="463"/>
      <c r="P12" s="86"/>
      <c r="Q12" s="86"/>
      <c r="R12" s="86"/>
    </row>
    <row r="13" spans="1:18" ht="11.1" customHeight="1">
      <c r="B13" s="16">
        <f t="shared" si="0"/>
        <v>3</v>
      </c>
      <c r="C13" s="17">
        <v>44055</v>
      </c>
      <c r="D13" s="757">
        <v>788.5</v>
      </c>
      <c r="E13" s="757"/>
      <c r="F13" s="702"/>
      <c r="G13" s="873"/>
      <c r="H13" s="873">
        <v>507.5</v>
      </c>
      <c r="I13" s="227"/>
      <c r="J13" s="226"/>
      <c r="K13" s="726">
        <v>121.5</v>
      </c>
      <c r="L13" s="463"/>
      <c r="M13" s="465"/>
      <c r="N13" s="463"/>
      <c r="P13" s="86"/>
      <c r="Q13" s="86"/>
      <c r="R13" s="86"/>
    </row>
    <row r="14" spans="1:18" ht="11.1" customHeight="1">
      <c r="B14" s="16">
        <f t="shared" si="0"/>
        <v>4</v>
      </c>
      <c r="C14" s="17">
        <v>44056</v>
      </c>
      <c r="D14" s="757">
        <v>824.89</v>
      </c>
      <c r="E14" s="739"/>
      <c r="F14" s="702"/>
      <c r="G14" s="873">
        <v>230.5</v>
      </c>
      <c r="H14" s="873"/>
      <c r="I14" s="227"/>
      <c r="J14" s="226"/>
      <c r="K14" s="726">
        <v>105.5</v>
      </c>
      <c r="L14" s="463"/>
      <c r="M14" s="465"/>
      <c r="N14" s="463"/>
      <c r="P14" s="86"/>
      <c r="Q14" s="86"/>
      <c r="R14" s="86"/>
    </row>
    <row r="15" spans="1:18" ht="11.25" customHeight="1">
      <c r="A15" s="86"/>
      <c r="B15" s="16">
        <f t="shared" si="0"/>
        <v>5</v>
      </c>
      <c r="C15" s="17">
        <v>44057</v>
      </c>
      <c r="D15" s="757"/>
      <c r="E15" s="757">
        <v>1078.7</v>
      </c>
      <c r="F15" s="702"/>
      <c r="G15" s="873">
        <v>794.75</v>
      </c>
      <c r="H15" s="873"/>
      <c r="I15" s="227"/>
      <c r="J15" s="890"/>
      <c r="K15" s="14">
        <v>158.5</v>
      </c>
      <c r="L15" s="463"/>
      <c r="M15" s="465"/>
      <c r="N15" s="463"/>
      <c r="P15" s="86"/>
      <c r="Q15" s="86"/>
      <c r="R15" s="86"/>
    </row>
    <row r="16" spans="1:18" ht="12.75" customHeight="1">
      <c r="A16" s="86"/>
      <c r="B16" s="16">
        <f t="shared" si="0"/>
        <v>6</v>
      </c>
      <c r="C16" s="17">
        <v>44058</v>
      </c>
      <c r="D16" s="757"/>
      <c r="E16" s="757">
        <v>763</v>
      </c>
      <c r="F16" s="702"/>
      <c r="G16" s="873"/>
      <c r="H16" s="873">
        <v>970.4</v>
      </c>
      <c r="I16" s="227"/>
      <c r="J16" s="885"/>
      <c r="K16" s="726"/>
      <c r="L16" s="463"/>
      <c r="M16" s="465"/>
      <c r="N16" s="465"/>
      <c r="O16" s="86"/>
      <c r="P16" s="86"/>
      <c r="Q16" s="86"/>
      <c r="R16" s="86"/>
    </row>
    <row r="17" spans="1:18" ht="11.1" customHeight="1">
      <c r="A17" s="86"/>
      <c r="B17" s="16">
        <f t="shared" si="0"/>
        <v>7</v>
      </c>
      <c r="C17" s="17">
        <v>44059</v>
      </c>
      <c r="D17" s="757">
        <v>795.9</v>
      </c>
      <c r="E17" s="739"/>
      <c r="F17" s="702"/>
      <c r="G17" s="873"/>
      <c r="H17" s="873">
        <v>587.4</v>
      </c>
      <c r="I17" s="227"/>
      <c r="J17" s="14"/>
      <c r="K17" s="726">
        <v>211.1</v>
      </c>
      <c r="L17" s="463"/>
      <c r="M17" s="465"/>
      <c r="N17" s="467"/>
      <c r="O17" s="86"/>
      <c r="P17" s="86"/>
      <c r="Q17" s="86"/>
      <c r="R17" s="86"/>
    </row>
    <row r="18" spans="1:18" ht="11.1" customHeight="1">
      <c r="A18" s="86"/>
      <c r="B18" s="16">
        <f t="shared" si="0"/>
        <v>1</v>
      </c>
      <c r="C18" s="17">
        <v>44060</v>
      </c>
      <c r="D18" s="757">
        <v>918.8</v>
      </c>
      <c r="E18" s="739"/>
      <c r="F18" s="702"/>
      <c r="G18" s="873"/>
      <c r="H18" s="873">
        <v>430.5</v>
      </c>
      <c r="I18" s="227"/>
      <c r="J18" s="226"/>
      <c r="K18" s="726"/>
      <c r="L18" s="463">
        <f>113+45</f>
        <v>158</v>
      </c>
      <c r="M18" s="465"/>
      <c r="N18" s="465"/>
      <c r="O18" s="86"/>
      <c r="P18" s="86"/>
      <c r="Q18" s="86"/>
      <c r="R18" s="86"/>
    </row>
    <row r="19" spans="1:18" ht="11.1" customHeight="1">
      <c r="A19" s="86"/>
      <c r="B19" s="16">
        <f t="shared" si="0"/>
        <v>2</v>
      </c>
      <c r="C19" s="17">
        <v>44061</v>
      </c>
      <c r="D19" s="22"/>
      <c r="E19" s="22">
        <v>1125.3</v>
      </c>
      <c r="F19" s="702"/>
      <c r="G19" s="873">
        <v>583.9</v>
      </c>
      <c r="H19" s="873"/>
      <c r="I19" s="227"/>
      <c r="J19" s="14"/>
      <c r="K19" s="726">
        <v>76.900000000000006</v>
      </c>
      <c r="L19" s="463">
        <v>161</v>
      </c>
      <c r="M19" s="465"/>
      <c r="N19" s="465"/>
      <c r="O19" s="86"/>
      <c r="P19" s="86"/>
      <c r="Q19" s="86"/>
      <c r="R19" s="86"/>
    </row>
    <row r="20" spans="1:18" s="86" customFormat="1" ht="11.1" customHeight="1">
      <c r="A20" s="474"/>
      <c r="B20" s="16">
        <f t="shared" si="0"/>
        <v>3</v>
      </c>
      <c r="C20" s="17">
        <v>44062</v>
      </c>
      <c r="D20" s="22"/>
      <c r="E20" s="22">
        <v>1309.4000000000001</v>
      </c>
      <c r="F20" s="702"/>
      <c r="G20" s="873"/>
      <c r="H20" s="873">
        <v>579</v>
      </c>
      <c r="I20" s="227"/>
      <c r="J20" s="22"/>
      <c r="K20" s="727">
        <v>71</v>
      </c>
      <c r="L20" s="465"/>
      <c r="M20" s="465"/>
      <c r="N20" s="465"/>
    </row>
    <row r="21" spans="1:18" s="86" customFormat="1" ht="11.1" customHeight="1">
      <c r="B21" s="16">
        <f t="shared" si="0"/>
        <v>4</v>
      </c>
      <c r="C21" s="17">
        <v>44063</v>
      </c>
      <c r="D21" s="22">
        <v>1012.7</v>
      </c>
      <c r="E21" s="22"/>
      <c r="F21" s="702"/>
      <c r="G21" s="873"/>
      <c r="H21" s="873">
        <v>743.8</v>
      </c>
      <c r="I21" s="227"/>
      <c r="J21" s="226"/>
      <c r="K21" s="727">
        <v>89.8</v>
      </c>
      <c r="L21" s="465"/>
      <c r="M21" s="465"/>
      <c r="N21" s="465"/>
    </row>
    <row r="22" spans="1:18" s="86" customFormat="1" ht="11.1" customHeight="1">
      <c r="B22" s="16">
        <f t="shared" si="0"/>
        <v>5</v>
      </c>
      <c r="C22" s="17">
        <v>44064</v>
      </c>
      <c r="D22" s="22">
        <v>1374.1</v>
      </c>
      <c r="E22" s="22"/>
      <c r="F22" s="702"/>
      <c r="G22" s="873">
        <v>693.45</v>
      </c>
      <c r="H22" s="873"/>
      <c r="I22" s="227"/>
      <c r="J22" s="226"/>
      <c r="K22" s="727">
        <v>154.80000000000001</v>
      </c>
      <c r="L22" s="465"/>
      <c r="M22" s="465"/>
      <c r="N22" s="465"/>
    </row>
    <row r="23" spans="1:18" s="86" customFormat="1" ht="11.1" customHeight="1">
      <c r="A23" s="888"/>
      <c r="B23" s="16">
        <f t="shared" si="0"/>
        <v>6</v>
      </c>
      <c r="C23" s="17">
        <v>44065</v>
      </c>
      <c r="D23" s="22"/>
      <c r="E23" s="22">
        <v>1116</v>
      </c>
      <c r="F23" s="702"/>
      <c r="G23" s="873">
        <v>369.41</v>
      </c>
      <c r="H23" s="873"/>
      <c r="I23" s="227"/>
      <c r="J23" s="475"/>
      <c r="K23" s="727">
        <v>108.5</v>
      </c>
      <c r="L23" s="465"/>
      <c r="M23" s="465"/>
      <c r="N23" s="465"/>
    </row>
    <row r="24" spans="1:18" s="86" customFormat="1" ht="10.5" customHeight="1">
      <c r="A24" s="888"/>
      <c r="B24" s="16">
        <f t="shared" si="0"/>
        <v>7</v>
      </c>
      <c r="C24" s="17">
        <v>44066</v>
      </c>
      <c r="D24" s="22"/>
      <c r="E24" s="22">
        <v>1140.2</v>
      </c>
      <c r="F24" s="702"/>
      <c r="G24" s="873"/>
      <c r="H24" s="873">
        <v>519.4</v>
      </c>
      <c r="I24" s="227"/>
      <c r="J24" s="226"/>
      <c r="K24" s="727"/>
      <c r="L24" s="465"/>
      <c r="M24" s="704"/>
      <c r="N24" s="465"/>
    </row>
    <row r="25" spans="1:18" s="86" customFormat="1" ht="11.1" customHeight="1">
      <c r="B25" s="16">
        <f t="shared" si="0"/>
        <v>1</v>
      </c>
      <c r="C25" s="17">
        <v>44067</v>
      </c>
      <c r="D25" s="22">
        <v>1352.7</v>
      </c>
      <c r="E25" s="22"/>
      <c r="F25" s="702"/>
      <c r="G25" s="873"/>
      <c r="H25" s="873">
        <v>580.5</v>
      </c>
      <c r="I25" s="227"/>
      <c r="J25" s="226"/>
      <c r="K25" s="727"/>
      <c r="L25" s="465"/>
      <c r="M25" s="465"/>
      <c r="N25" s="476"/>
    </row>
    <row r="26" spans="1:18" s="86" customFormat="1" ht="11.1" customHeight="1">
      <c r="B26" s="16">
        <f t="shared" si="0"/>
        <v>2</v>
      </c>
      <c r="C26" s="17">
        <v>44068</v>
      </c>
      <c r="D26" s="22">
        <v>761</v>
      </c>
      <c r="E26" s="22"/>
      <c r="F26" s="702"/>
      <c r="G26" s="873"/>
      <c r="H26" s="873">
        <v>610</v>
      </c>
      <c r="I26" s="227"/>
      <c r="J26" s="226"/>
      <c r="K26" s="727">
        <v>351.45</v>
      </c>
      <c r="L26" s="465"/>
      <c r="M26" s="465"/>
      <c r="N26" s="476"/>
    </row>
    <row r="27" spans="1:18" s="86" customFormat="1" ht="11.1" customHeight="1">
      <c r="B27" s="16">
        <f t="shared" si="0"/>
        <v>3</v>
      </c>
      <c r="C27" s="17">
        <v>44069</v>
      </c>
      <c r="D27" s="22"/>
      <c r="E27" s="22">
        <v>1547.75</v>
      </c>
      <c r="F27" s="702"/>
      <c r="G27" s="873">
        <v>895.45</v>
      </c>
      <c r="H27" s="873"/>
      <c r="I27" s="227"/>
      <c r="J27" s="226"/>
      <c r="K27" s="727">
        <v>162</v>
      </c>
      <c r="L27" s="468"/>
      <c r="M27" s="468"/>
      <c r="N27" s="468"/>
      <c r="O27" s="366"/>
      <c r="P27" s="366"/>
      <c r="Q27" s="366"/>
      <c r="R27" s="366"/>
    </row>
    <row r="28" spans="1:18" s="86" customFormat="1" ht="10.5" customHeight="1">
      <c r="A28" s="474"/>
      <c r="B28" s="16">
        <f t="shared" si="0"/>
        <v>4</v>
      </c>
      <c r="C28" s="17">
        <v>44070</v>
      </c>
      <c r="D28" s="22"/>
      <c r="E28" s="22">
        <v>1216.7</v>
      </c>
      <c r="F28" s="702"/>
      <c r="G28" s="873">
        <v>1021.4</v>
      </c>
      <c r="H28" s="873"/>
      <c r="I28" s="227"/>
      <c r="J28" s="226"/>
      <c r="K28" s="727">
        <v>97.09</v>
      </c>
      <c r="L28" s="468"/>
      <c r="M28" s="468"/>
      <c r="N28" s="468"/>
      <c r="O28" s="366"/>
      <c r="P28" s="366"/>
      <c r="Q28" s="366"/>
      <c r="R28" s="366"/>
    </row>
    <row r="29" spans="1:18" s="86" customFormat="1" ht="10.5" customHeight="1">
      <c r="B29" s="16">
        <f t="shared" si="0"/>
        <v>5</v>
      </c>
      <c r="C29" s="17">
        <v>44071</v>
      </c>
      <c r="D29" s="22">
        <v>1064.8</v>
      </c>
      <c r="E29" s="22"/>
      <c r="F29" s="702"/>
      <c r="G29" s="873"/>
      <c r="H29" s="873">
        <v>776.1</v>
      </c>
      <c r="I29" s="227"/>
      <c r="J29" s="226"/>
      <c r="K29" s="727">
        <v>94</v>
      </c>
      <c r="L29" s="468"/>
      <c r="M29" s="466"/>
      <c r="N29" s="466"/>
      <c r="O29" s="366"/>
      <c r="P29" s="366"/>
      <c r="Q29" s="366"/>
      <c r="R29" s="366"/>
    </row>
    <row r="30" spans="1:18" s="86" customFormat="1" ht="11.1" customHeight="1">
      <c r="B30" s="16">
        <f t="shared" si="0"/>
        <v>6</v>
      </c>
      <c r="C30" s="17">
        <v>44072</v>
      </c>
      <c r="D30" s="22">
        <v>837.6</v>
      </c>
      <c r="E30" s="22"/>
      <c r="F30" s="702"/>
      <c r="G30" s="873"/>
      <c r="H30" s="873">
        <v>852.48</v>
      </c>
      <c r="I30" s="227"/>
      <c r="J30" s="670"/>
      <c r="K30" s="727">
        <v>112.5</v>
      </c>
      <c r="L30" s="466"/>
      <c r="M30" s="468"/>
      <c r="N30" s="466"/>
      <c r="O30" s="366"/>
      <c r="P30" s="366"/>
      <c r="Q30" s="366"/>
      <c r="R30" s="366"/>
    </row>
    <row r="31" spans="1:18" s="86" customFormat="1" ht="11.1" customHeight="1">
      <c r="A31" s="474"/>
      <c r="B31" s="16">
        <f t="shared" si="0"/>
        <v>7</v>
      </c>
      <c r="C31" s="17">
        <v>44073</v>
      </c>
      <c r="D31" s="22"/>
      <c r="E31" s="22">
        <v>648.5</v>
      </c>
      <c r="F31" s="702"/>
      <c r="G31" s="873">
        <v>325</v>
      </c>
      <c r="H31" s="873"/>
      <c r="I31" s="227"/>
      <c r="J31" s="870"/>
      <c r="K31" s="728"/>
      <c r="L31" s="469"/>
      <c r="M31" s="469"/>
      <c r="N31" s="469"/>
      <c r="O31" s="366"/>
      <c r="P31" s="366"/>
      <c r="Q31" s="366"/>
      <c r="R31" s="366"/>
    </row>
    <row r="32" spans="1:18" s="86" customFormat="1" ht="11.25" customHeight="1">
      <c r="A32" s="474"/>
      <c r="B32" s="16">
        <f t="shared" si="0"/>
        <v>1</v>
      </c>
      <c r="C32" s="17">
        <v>44074</v>
      </c>
      <c r="D32" s="22"/>
      <c r="E32" s="22">
        <v>799</v>
      </c>
      <c r="F32" s="702"/>
      <c r="G32" s="873">
        <v>272.05</v>
      </c>
      <c r="H32" s="873"/>
      <c r="I32" s="227"/>
      <c r="J32" s="366"/>
      <c r="K32" s="469"/>
      <c r="L32" s="469"/>
      <c r="M32" s="469"/>
      <c r="N32" s="469"/>
      <c r="O32" s="145"/>
      <c r="P32" s="366"/>
      <c r="Q32" s="366"/>
      <c r="R32" s="366"/>
    </row>
    <row r="33" spans="1:24" ht="14.1" customHeight="1" thickBot="1">
      <c r="B33" s="21"/>
      <c r="C33" s="546" t="s">
        <v>225</v>
      </c>
      <c r="D33" s="248">
        <f>COUNT(D2:D32)</f>
        <v>15</v>
      </c>
      <c r="E33" s="248">
        <f>COUNT(E2:E32)</f>
        <v>16</v>
      </c>
      <c r="F33" s="248">
        <f t="shared" ref="F33:G33" si="1">COUNT(F2:F32)</f>
        <v>0</v>
      </c>
      <c r="G33" s="248">
        <f t="shared" si="1"/>
        <v>15</v>
      </c>
      <c r="H33" s="248">
        <f>COUNT(H2:H32)</f>
        <v>16</v>
      </c>
      <c r="I33" s="248">
        <f>COUNT(I2:I32)</f>
        <v>0</v>
      </c>
      <c r="K33" s="469"/>
      <c r="L33" s="469"/>
      <c r="M33" s="469"/>
      <c r="N33" s="469"/>
      <c r="O33" s="366"/>
      <c r="P33" s="366"/>
      <c r="Q33" s="366"/>
      <c r="R33" s="366"/>
    </row>
    <row r="34" spans="1:24" ht="14.1" customHeight="1" thickBot="1">
      <c r="B34" s="21"/>
      <c r="C34" s="85" t="s">
        <v>73</v>
      </c>
      <c r="D34" s="238">
        <f>SUM(D2:D32)</f>
        <v>13152.7</v>
      </c>
      <c r="E34" s="238">
        <f>SUM(E2:E32)</f>
        <v>15563.61</v>
      </c>
      <c r="F34" s="238">
        <f t="shared" ref="F34:I34" si="2">SUM(F2:F32)</f>
        <v>0</v>
      </c>
      <c r="G34" s="238">
        <f>SUM(G2:G32)</f>
        <v>7588.8099999999995</v>
      </c>
      <c r="H34" s="238">
        <f>SUM(H2:H32)</f>
        <v>9495.98</v>
      </c>
      <c r="I34" s="238">
        <f t="shared" si="2"/>
        <v>0</v>
      </c>
      <c r="J34" s="1"/>
      <c r="K34" s="253" t="s">
        <v>189</v>
      </c>
      <c r="L34" s="292" t="s">
        <v>190</v>
      </c>
      <c r="M34" s="452" t="s">
        <v>219</v>
      </c>
      <c r="N34" s="363"/>
      <c r="O34" s="366"/>
      <c r="P34" s="366"/>
      <c r="Q34" s="366"/>
      <c r="R34" s="366"/>
    </row>
    <row r="35" spans="1:24" ht="14.1" customHeight="1" thickBot="1">
      <c r="B35" s="21"/>
      <c r="C35" s="85" t="s">
        <v>22</v>
      </c>
      <c r="D35" s="238">
        <v>11998.19</v>
      </c>
      <c r="E35" s="238">
        <v>13830.3</v>
      </c>
      <c r="F35" s="238"/>
      <c r="G35" s="238">
        <v>5244.71</v>
      </c>
      <c r="H35" s="238">
        <v>9112.58</v>
      </c>
      <c r="I35" s="238"/>
      <c r="J35" s="12"/>
      <c r="K35" s="292">
        <f>SUM(D2:E32)</f>
        <v>28716.309999999994</v>
      </c>
      <c r="L35" s="292">
        <f>SUM(G2:H32)</f>
        <v>17084.789999999997</v>
      </c>
      <c r="M35" s="453">
        <f>SUM(K2:K32)</f>
        <v>3169.8100000000004</v>
      </c>
      <c r="N35" s="363"/>
      <c r="O35" s="366"/>
      <c r="P35" s="366"/>
      <c r="Q35" s="366"/>
      <c r="R35" s="366"/>
    </row>
    <row r="36" spans="1:24" ht="14.1" customHeight="1">
      <c r="B36" s="21"/>
      <c r="C36" s="85" t="s">
        <v>5</v>
      </c>
      <c r="D36" s="88">
        <f t="shared" ref="D36:I36" si="3">ABS(D34-D35)</f>
        <v>1154.5100000000002</v>
      </c>
      <c r="E36" s="88">
        <f t="shared" si="3"/>
        <v>1733.3100000000013</v>
      </c>
      <c r="F36" s="88">
        <f t="shared" si="3"/>
        <v>0</v>
      </c>
      <c r="G36" s="88">
        <f t="shared" si="3"/>
        <v>2344.0999999999995</v>
      </c>
      <c r="H36" s="88">
        <f t="shared" si="3"/>
        <v>383.39999999999964</v>
      </c>
      <c r="I36" s="88">
        <f t="shared" si="3"/>
        <v>0</v>
      </c>
      <c r="J36" s="1"/>
      <c r="K36" s="363"/>
      <c r="L36" s="363"/>
      <c r="M36" s="363"/>
      <c r="N36" s="363"/>
      <c r="O36" s="366"/>
      <c r="P36" s="366"/>
      <c r="Q36" s="366"/>
      <c r="R36" s="366"/>
    </row>
    <row r="37" spans="1:24" ht="14.1" customHeight="1">
      <c r="B37" s="21"/>
      <c r="C37" s="700" t="s">
        <v>233</v>
      </c>
      <c r="D37" s="89">
        <f t="shared" ref="D37:I37" si="4">ROUND(D36*1%,2)</f>
        <v>11.55</v>
      </c>
      <c r="E37" s="89">
        <f t="shared" si="4"/>
        <v>17.329999999999998</v>
      </c>
      <c r="F37" s="89">
        <f t="shared" si="4"/>
        <v>0</v>
      </c>
      <c r="G37" s="89">
        <f t="shared" si="4"/>
        <v>23.44</v>
      </c>
      <c r="H37" s="89">
        <f>ROUND(H36*1%,2)</f>
        <v>3.83</v>
      </c>
      <c r="I37" s="89">
        <f t="shared" si="4"/>
        <v>0</v>
      </c>
      <c r="J37" s="1"/>
      <c r="K37" s="363"/>
      <c r="L37" s="363"/>
      <c r="M37" s="363"/>
      <c r="N37" s="363"/>
      <c r="O37" s="366"/>
      <c r="P37" s="366"/>
      <c r="Q37" s="366"/>
      <c r="R37" s="366"/>
    </row>
    <row r="38" spans="1:24" ht="14.1" customHeight="1">
      <c r="B38" s="21"/>
      <c r="C38" s="699" t="s">
        <v>234</v>
      </c>
      <c r="D38" s="89">
        <f>ROUND(3%*D35,2)</f>
        <v>359.95</v>
      </c>
      <c r="E38" s="89">
        <f t="shared" ref="E38:I38" si="5">ROUND(3%*E35,2)</f>
        <v>414.91</v>
      </c>
      <c r="F38" s="89">
        <f t="shared" si="5"/>
        <v>0</v>
      </c>
      <c r="G38" s="89">
        <f t="shared" si="5"/>
        <v>157.34</v>
      </c>
      <c r="H38" s="89">
        <f t="shared" si="5"/>
        <v>273.38</v>
      </c>
      <c r="I38" s="89">
        <f t="shared" si="5"/>
        <v>0</v>
      </c>
      <c r="J38" s="1"/>
      <c r="K38" s="145"/>
      <c r="L38" s="145"/>
      <c r="M38" s="366"/>
      <c r="N38" s="363"/>
      <c r="O38" s="366"/>
      <c r="P38" s="366"/>
      <c r="Q38" s="366"/>
      <c r="R38" s="366"/>
    </row>
    <row r="39" spans="1:24" ht="14.1" hidden="1" customHeight="1">
      <c r="B39" s="21"/>
      <c r="C39" s="85" t="s">
        <v>7</v>
      </c>
      <c r="D39" s="87">
        <v>50</v>
      </c>
      <c r="E39" s="87">
        <v>50</v>
      </c>
      <c r="F39" s="87"/>
      <c r="G39" s="87"/>
      <c r="H39" s="87">
        <v>40</v>
      </c>
      <c r="I39" s="472"/>
      <c r="J39" s="12"/>
      <c r="K39" s="145"/>
      <c r="L39" s="366"/>
      <c r="M39" s="366"/>
      <c r="N39" s="363"/>
      <c r="O39" s="366"/>
      <c r="P39" s="366"/>
      <c r="Q39" s="366"/>
      <c r="R39" s="366"/>
    </row>
    <row r="40" spans="1:24" ht="14.1" customHeight="1">
      <c r="B40" s="21"/>
      <c r="C40" s="85" t="s">
        <v>14</v>
      </c>
      <c r="D40" s="87">
        <f>ROUND(20*D33,2)</f>
        <v>300</v>
      </c>
      <c r="E40" s="87">
        <f>ROUND(20*E33,2)</f>
        <v>320</v>
      </c>
      <c r="F40" s="87"/>
      <c r="G40" s="87">
        <f>ROUND(25*G33,2)</f>
        <v>375</v>
      </c>
      <c r="H40" s="88">
        <f>ROUND(25*H33,2)</f>
        <v>400</v>
      </c>
      <c r="I40" s="88">
        <f>ROUND(25*I33,2)</f>
        <v>0</v>
      </c>
      <c r="J40" s="8"/>
      <c r="K40" s="283"/>
      <c r="L40" s="145"/>
      <c r="M40" s="145"/>
      <c r="N40" s="363"/>
      <c r="O40" s="366"/>
      <c r="P40" s="366"/>
      <c r="Q40" s="366"/>
      <c r="R40" s="366"/>
    </row>
    <row r="41" spans="1:24" ht="14.1" hidden="1" customHeight="1">
      <c r="B41" s="31"/>
      <c r="C41" s="239" t="s">
        <v>94</v>
      </c>
      <c r="D41" s="18">
        <v>337.71</v>
      </c>
      <c r="E41" s="241">
        <v>180.88</v>
      </c>
      <c r="F41" s="87"/>
      <c r="G41" s="87"/>
      <c r="H41" s="87">
        <v>257.08999999999997</v>
      </c>
      <c r="I41" s="87"/>
      <c r="K41" s="145"/>
      <c r="L41" s="366"/>
      <c r="M41" s="366"/>
      <c r="N41" s="363"/>
      <c r="O41" s="366"/>
      <c r="P41" s="366"/>
      <c r="Q41" s="366"/>
      <c r="R41" s="366"/>
    </row>
    <row r="42" spans="1:24" ht="14.1" customHeight="1">
      <c r="B42" s="21"/>
      <c r="C42" s="242" t="s">
        <v>48</v>
      </c>
      <c r="D42" s="243"/>
      <c r="E42" s="240">
        <v>100</v>
      </c>
      <c r="F42" s="87"/>
      <c r="G42" s="87">
        <v>450</v>
      </c>
      <c r="H42" s="87"/>
      <c r="I42" s="87"/>
      <c r="J42" s="8"/>
      <c r="K42" s="283"/>
      <c r="L42" s="145"/>
      <c r="M42" s="366"/>
      <c r="N42" s="366"/>
      <c r="O42" s="366"/>
      <c r="P42" s="366"/>
      <c r="Q42" s="366"/>
      <c r="R42" s="366"/>
    </row>
    <row r="43" spans="1:24" ht="12" hidden="1" customHeight="1">
      <c r="B43" s="21"/>
      <c r="C43" s="756"/>
      <c r="D43" s="243"/>
      <c r="E43" s="240"/>
      <c r="F43" s="87"/>
      <c r="G43" s="87"/>
      <c r="H43" s="87"/>
      <c r="I43" s="87"/>
      <c r="J43" s="8"/>
      <c r="K43" s="283"/>
      <c r="L43" s="145"/>
      <c r="M43" s="366"/>
      <c r="N43" s="366"/>
      <c r="O43" s="366"/>
      <c r="P43" s="366"/>
      <c r="Q43" s="366"/>
      <c r="R43" s="366"/>
    </row>
    <row r="44" spans="1:24" ht="14.1" customHeight="1">
      <c r="B44" s="21"/>
      <c r="C44" s="245" t="s">
        <v>77</v>
      </c>
      <c r="D44" s="455">
        <f>D37+D38+D39+D40-D41</f>
        <v>383.79</v>
      </c>
      <c r="E44" s="455">
        <f>E37+E38+E39+E40-E41-E42</f>
        <v>521.36</v>
      </c>
      <c r="F44" s="455">
        <f>F37+F38+F40</f>
        <v>0</v>
      </c>
      <c r="G44" s="455">
        <f>G37+G38+G40-G42</f>
        <v>105.77999999999997</v>
      </c>
      <c r="H44" s="455">
        <f>H37+H38+H39+H40-H41</f>
        <v>460.12000000000006</v>
      </c>
      <c r="I44" s="455">
        <f>I37+I38+I40</f>
        <v>0</v>
      </c>
      <c r="J44" s="8"/>
      <c r="K44" s="145"/>
      <c r="L44" s="145"/>
      <c r="M44" s="366"/>
      <c r="N44" s="366"/>
      <c r="O44" s="366"/>
      <c r="P44" s="366"/>
      <c r="Q44" s="366"/>
      <c r="R44" s="366"/>
    </row>
    <row r="45" spans="1:24" ht="14.1" customHeight="1">
      <c r="B45" s="21"/>
      <c r="C45" s="286" t="s">
        <v>45</v>
      </c>
      <c r="D45" s="287">
        <f>D37+D38+D39+D40</f>
        <v>721.5</v>
      </c>
      <c r="E45" s="287">
        <f>E37+E38+E39+E40</f>
        <v>802.24</v>
      </c>
      <c r="F45" s="287">
        <f>F37+F38+F39+F40</f>
        <v>0</v>
      </c>
      <c r="G45" s="287">
        <f>G37+G38+G40</f>
        <v>555.78</v>
      </c>
      <c r="H45" s="287">
        <f>H37+H38+H39+H40</f>
        <v>717.21</v>
      </c>
      <c r="I45" s="287">
        <f>I37+I38+I40</f>
        <v>0</v>
      </c>
      <c r="J45" s="8"/>
      <c r="K45" s="461"/>
      <c r="L45" s="366"/>
      <c r="M45" s="366"/>
      <c r="N45" s="366"/>
      <c r="O45" s="366"/>
      <c r="P45" s="366"/>
      <c r="Q45" s="366"/>
      <c r="R45" s="366"/>
      <c r="S45" s="1"/>
      <c r="T45" s="1"/>
      <c r="U45" s="1"/>
      <c r="V45" s="1"/>
      <c r="W45" s="1"/>
      <c r="X45" s="1"/>
    </row>
    <row r="46" spans="1:24" ht="14.1" customHeight="1">
      <c r="B46" s="21"/>
      <c r="C46" s="169"/>
      <c r="D46" s="364"/>
      <c r="E46" s="461"/>
      <c r="F46" s="8">
        <f>E39+E37+E38+E40</f>
        <v>802.24</v>
      </c>
      <c r="G46" s="8"/>
      <c r="H46" s="8"/>
      <c r="I46" s="8"/>
      <c r="J46" s="8"/>
      <c r="K46" s="283"/>
      <c r="L46" s="366"/>
      <c r="M46" s="366"/>
      <c r="N46" s="366"/>
      <c r="O46" s="366"/>
      <c r="P46" s="366"/>
      <c r="Q46" s="366"/>
      <c r="R46" s="366"/>
      <c r="S46" s="1"/>
      <c r="T46" s="1"/>
      <c r="U46" s="1"/>
      <c r="V46" s="1"/>
      <c r="W46" s="1"/>
      <c r="X46" s="1"/>
    </row>
    <row r="47" spans="1:24" s="86" customFormat="1" ht="12.95" customHeight="1">
      <c r="A47" s="168"/>
      <c r="B47" s="474"/>
      <c r="C47" s="1204"/>
      <c r="D47" s="1204"/>
      <c r="E47" s="1204"/>
      <c r="F47" s="1204"/>
      <c r="G47" s="1204"/>
      <c r="H47" s="1204"/>
      <c r="I47" s="887"/>
      <c r="J47" s="168"/>
      <c r="K47" s="68"/>
      <c r="L47" s="145"/>
      <c r="M47" s="366"/>
      <c r="N47" s="366"/>
      <c r="O47" s="145"/>
      <c r="P47" s="366"/>
      <c r="Q47" s="366"/>
      <c r="R47" s="366"/>
      <c r="S47" s="366"/>
      <c r="T47" s="366"/>
      <c r="U47" s="366"/>
      <c r="V47" s="366"/>
      <c r="W47" s="366"/>
      <c r="X47" s="366"/>
    </row>
    <row r="48" spans="1:24" s="86" customFormat="1" ht="12.95" customHeight="1">
      <c r="A48" s="168"/>
      <c r="B48" s="474"/>
      <c r="C48" s="366"/>
      <c r="D48" s="145"/>
      <c r="E48" s="145" t="s">
        <v>352</v>
      </c>
      <c r="F48" s="168"/>
      <c r="G48" s="168"/>
      <c r="H48" s="168"/>
      <c r="I48" s="168">
        <f>D44+E44</f>
        <v>905.15000000000009</v>
      </c>
      <c r="J48" s="168"/>
      <c r="K48" s="72"/>
      <c r="L48" s="366"/>
      <c r="M48" s="366"/>
      <c r="N48" s="366"/>
      <c r="O48" s="145"/>
      <c r="P48" s="366"/>
      <c r="Q48" s="366"/>
      <c r="R48" s="366"/>
      <c r="S48" s="366"/>
      <c r="T48" s="366"/>
      <c r="U48" s="366"/>
      <c r="V48" s="366"/>
      <c r="W48" s="366"/>
      <c r="X48" s="366"/>
    </row>
    <row r="49" spans="1:24" ht="12.95" customHeight="1">
      <c r="B49" s="32"/>
      <c r="C49" s="1"/>
      <c r="D49" s="1"/>
      <c r="E49" s="127"/>
      <c r="F49" s="8"/>
      <c r="H49" s="8"/>
      <c r="I49" s="8"/>
      <c r="J49" s="207"/>
      <c r="K49" s="68"/>
      <c r="L49" s="366"/>
      <c r="M49" s="366"/>
      <c r="N49" s="366"/>
      <c r="O49" s="366"/>
      <c r="P49" s="366"/>
      <c r="Q49" s="366"/>
      <c r="R49" s="366"/>
      <c r="S49" s="1"/>
      <c r="T49" s="1"/>
      <c r="U49" s="1"/>
      <c r="V49" s="1"/>
      <c r="W49" s="1"/>
      <c r="X49" s="1"/>
    </row>
    <row r="50" spans="1:24" s="86" customFormat="1" ht="12.95" customHeight="1">
      <c r="B50" s="501"/>
      <c r="C50" s="502"/>
      <c r="D50" s="502"/>
      <c r="E50" s="502"/>
      <c r="F50" s="502"/>
      <c r="G50" s="524">
        <f>G45+H44</f>
        <v>1015.9000000000001</v>
      </c>
      <c r="H50" s="502"/>
      <c r="I50" s="502"/>
      <c r="J50" s="503"/>
      <c r="K50" s="893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</row>
    <row r="51" spans="1:24" s="86" customFormat="1" ht="12.95" customHeight="1">
      <c r="C51" s="502"/>
      <c r="D51" s="502"/>
      <c r="E51" s="524"/>
      <c r="F51" s="524"/>
      <c r="G51" s="524"/>
      <c r="H51" s="502"/>
      <c r="I51" s="502"/>
      <c r="J51" s="168"/>
      <c r="K51" s="525"/>
      <c r="L51" s="502"/>
      <c r="M51" s="502"/>
      <c r="N51" s="366"/>
      <c r="O51" s="366"/>
      <c r="P51" s="366"/>
      <c r="Q51" s="366"/>
      <c r="R51" s="366"/>
      <c r="S51" s="366"/>
      <c r="T51" s="366"/>
      <c r="U51" s="366"/>
      <c r="V51" s="366"/>
      <c r="W51" s="366"/>
      <c r="X51" s="366"/>
    </row>
    <row r="52" spans="1:24" s="86" customFormat="1" ht="12" customHeight="1">
      <c r="A52" s="366"/>
      <c r="B52" s="366"/>
      <c r="C52" s="502"/>
      <c r="D52" s="502"/>
      <c r="E52" s="524"/>
      <c r="F52" s="524"/>
      <c r="G52" s="524"/>
      <c r="H52" s="502"/>
      <c r="I52" s="502"/>
      <c r="J52" s="503"/>
      <c r="K52" s="502"/>
      <c r="L52" s="502"/>
      <c r="M52" s="502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</row>
    <row r="53" spans="1:24" s="86" customFormat="1" ht="18.75">
      <c r="A53" s="366"/>
      <c r="B53" s="366"/>
      <c r="C53" s="366"/>
      <c r="D53" s="366"/>
      <c r="E53" s="144"/>
      <c r="J53" s="503"/>
      <c r="K53" s="502"/>
      <c r="L53" s="502"/>
      <c r="M53" s="502"/>
      <c r="N53" s="366"/>
      <c r="O53" s="366"/>
      <c r="P53" s="366"/>
      <c r="Q53" s="366"/>
      <c r="R53" s="366"/>
      <c r="S53" s="366"/>
      <c r="T53" s="366"/>
      <c r="U53" s="366"/>
      <c r="V53" s="366"/>
      <c r="W53" s="366"/>
      <c r="X53" s="366"/>
    </row>
    <row r="54" spans="1:24" s="86" customFormat="1">
      <c r="A54" s="366"/>
      <c r="B54" s="366"/>
      <c r="C54" s="366"/>
      <c r="D54" s="366"/>
      <c r="E54" s="144"/>
      <c r="K54" s="143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</row>
    <row r="55" spans="1:24" s="86" customFormat="1" ht="15" customHeight="1">
      <c r="A55" s="366"/>
      <c r="B55" s="366"/>
      <c r="C55" s="366"/>
      <c r="D55" s="366"/>
      <c r="E55" s="144"/>
      <c r="J55" s="524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</row>
    <row r="56" spans="1:24" s="86" customFormat="1" ht="15" customHeight="1">
      <c r="A56" s="366"/>
      <c r="B56" s="366"/>
      <c r="C56" s="366"/>
      <c r="D56" s="366"/>
      <c r="E56" s="144"/>
      <c r="J56" s="524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  <c r="W56" s="366"/>
      <c r="X56" s="366"/>
    </row>
    <row r="57" spans="1:24" s="86" customFormat="1" ht="15" customHeight="1">
      <c r="A57" s="366"/>
      <c r="B57" s="366"/>
      <c r="C57" s="366"/>
      <c r="D57" s="366"/>
      <c r="E57" s="144"/>
      <c r="J57" s="524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</row>
    <row r="58" spans="1:24" s="86" customFormat="1">
      <c r="A58" s="366"/>
      <c r="B58" s="366"/>
      <c r="C58" s="366"/>
      <c r="D58" s="366"/>
      <c r="E58" s="144"/>
      <c r="J58" s="168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</row>
    <row r="59" spans="1:24" s="86" customFormat="1">
      <c r="A59" s="366"/>
      <c r="B59" s="366"/>
      <c r="C59" s="366"/>
      <c r="D59" s="366"/>
      <c r="E59" s="144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  <c r="W59" s="366"/>
      <c r="X59" s="366"/>
    </row>
    <row r="60" spans="1:24" s="86" customFormat="1">
      <c r="A60" s="366"/>
      <c r="B60" s="366"/>
      <c r="C60" s="366"/>
      <c r="D60" s="366"/>
      <c r="E60" s="144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  <c r="W60" s="366"/>
      <c r="X60" s="366"/>
    </row>
    <row r="61" spans="1:24" s="86" customFormat="1">
      <c r="A61" s="366"/>
      <c r="B61" s="366"/>
      <c r="C61" s="366"/>
      <c r="D61" s="366"/>
      <c r="E61" s="144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  <c r="W61" s="366"/>
      <c r="X61" s="366"/>
    </row>
    <row r="62" spans="1:24" s="86" customFormat="1">
      <c r="A62" s="366"/>
      <c r="B62" s="366"/>
      <c r="C62" s="366"/>
      <c r="D62" s="366"/>
      <c r="E62" s="144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  <c r="X62" s="366"/>
    </row>
    <row r="63" spans="1:24">
      <c r="A63" s="1"/>
      <c r="B63" s="1"/>
      <c r="C63" s="1"/>
      <c r="D63" s="1"/>
      <c r="E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1"/>
      <c r="D67" s="1"/>
      <c r="E67" s="11"/>
    </row>
    <row r="68" spans="1:24">
      <c r="A68" s="1"/>
      <c r="B68" s="1"/>
      <c r="C68" s="1"/>
      <c r="D68" s="1"/>
      <c r="E68" s="11"/>
    </row>
    <row r="69" spans="1:24">
      <c r="A69" s="1"/>
      <c r="B69" s="1"/>
      <c r="C69" s="1"/>
      <c r="D69" s="1"/>
      <c r="E69" s="11"/>
    </row>
    <row r="70" spans="1:24">
      <c r="A70" s="1"/>
      <c r="B70" s="1"/>
      <c r="C70" s="1"/>
      <c r="D70" s="1"/>
      <c r="E70" s="11"/>
    </row>
    <row r="71" spans="1:24">
      <c r="A71" s="1"/>
      <c r="B71" s="1"/>
      <c r="C71" s="1"/>
      <c r="D71" s="1"/>
      <c r="E71" s="11"/>
    </row>
    <row r="72" spans="1:24">
      <c r="A72" s="1"/>
      <c r="B72" s="1"/>
      <c r="C72" s="1"/>
      <c r="D72" s="1"/>
      <c r="E72" s="11"/>
    </row>
    <row r="73" spans="1:24">
      <c r="A73" s="1"/>
      <c r="B73" s="1"/>
      <c r="C73" s="1"/>
      <c r="D73" s="1"/>
      <c r="E73" s="11"/>
    </row>
    <row r="74" spans="1:24">
      <c r="A74" s="1"/>
      <c r="B74" s="1"/>
      <c r="C74" s="1"/>
      <c r="D74" s="1"/>
      <c r="E74" s="11"/>
    </row>
    <row r="75" spans="1:24">
      <c r="A75" s="1"/>
      <c r="B75" s="1"/>
      <c r="C75" s="1"/>
      <c r="D75" s="1"/>
      <c r="E75" s="11"/>
    </row>
    <row r="76" spans="1:24">
      <c r="A76" s="1"/>
      <c r="B76" s="1"/>
      <c r="C76" s="1"/>
      <c r="D76" s="1"/>
      <c r="E76" s="11"/>
    </row>
    <row r="77" spans="1:24">
      <c r="A77" s="1"/>
      <c r="B77" s="1"/>
      <c r="C77" s="1"/>
      <c r="D77" s="1"/>
      <c r="E77" s="11"/>
    </row>
    <row r="78" spans="1:24">
      <c r="A78" s="1"/>
      <c r="B78" s="1"/>
      <c r="C78" s="1"/>
      <c r="D78" s="1"/>
      <c r="E78" s="11"/>
    </row>
    <row r="79" spans="1:24">
      <c r="A79" s="1"/>
      <c r="B79" s="1"/>
      <c r="C79" s="1"/>
      <c r="D79" s="1"/>
      <c r="E79" s="11"/>
    </row>
    <row r="80" spans="1:24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A93" s="1"/>
      <c r="B93" s="1"/>
      <c r="E93" s="2"/>
    </row>
    <row r="94" spans="1:5">
      <c r="B94" s="1"/>
      <c r="E94" s="2"/>
    </row>
    <row r="95" spans="1:5">
      <c r="B95" s="1"/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mergeCells count="1">
    <mergeCell ref="C47:H47"/>
  </mergeCells>
  <conditionalFormatting sqref="B2:I32">
    <cfRule type="expression" dxfId="45" priority="1">
      <formula>$B2=7</formula>
    </cfRule>
    <cfRule type="expression" dxfId="44" priority="2">
      <formula>$B2=6</formula>
    </cfRule>
  </conditionalFormatting>
  <pageMargins left="0.7" right="0.7" top="0.75" bottom="0.75" header="0.3" footer="0.3"/>
  <pageSetup paperSize="11" scale="5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6"/>
  <sheetViews>
    <sheetView topLeftCell="A43" zoomScale="85" zoomScaleNormal="85" zoomScaleSheetLayoutView="70" zoomScalePageLayoutView="70" workbookViewId="0">
      <selection activeCell="A15" sqref="A15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384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916"/>
      <c r="O2" s="914"/>
      <c r="P2" s="914"/>
      <c r="Q2" s="914"/>
      <c r="R2" s="366"/>
      <c r="S2" s="914"/>
      <c r="T2" s="914"/>
      <c r="U2" s="914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916"/>
      <c r="O3" s="366"/>
      <c r="P3" s="366"/>
      <c r="Q3" s="366"/>
      <c r="R3" s="366"/>
      <c r="S3" s="366"/>
      <c r="T3" s="366"/>
      <c r="U3" s="366"/>
      <c r="V3" s="914"/>
      <c r="W3" s="914"/>
      <c r="X3" s="366"/>
      <c r="Y3" s="914"/>
      <c r="Z3" s="629"/>
      <c r="AA3" s="366"/>
      <c r="AB3" s="366"/>
      <c r="AC3" s="366"/>
      <c r="AD3" s="914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912" t="s">
        <v>34</v>
      </c>
      <c r="C4" s="36" t="s">
        <v>35</v>
      </c>
      <c r="D4" s="36" t="s">
        <v>38</v>
      </c>
      <c r="E4" s="36" t="s">
        <v>42</v>
      </c>
      <c r="F4" s="912" t="s">
        <v>36</v>
      </c>
      <c r="G4" s="100" t="s">
        <v>173</v>
      </c>
      <c r="H4" s="676" t="s">
        <v>2</v>
      </c>
      <c r="I4" s="1285" t="s">
        <v>34</v>
      </c>
      <c r="J4" s="1285"/>
      <c r="K4" s="918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>
        <v>44077</v>
      </c>
      <c r="B5" s="307" t="s">
        <v>221</v>
      </c>
      <c r="C5" s="275">
        <v>279.14</v>
      </c>
      <c r="D5" s="275">
        <v>279.14</v>
      </c>
      <c r="E5" s="542" t="str">
        <f t="shared" ref="E5:E19" si="0">IF(C5-D5=0,"",C5-D5)</f>
        <v/>
      </c>
      <c r="F5" s="162" t="str">
        <f t="shared" ref="F5:F19" si="1">IF(C5=0,"",IF(C5-D5=0,"оплачено","ОЖИДАЕТСЯ оплата"))</f>
        <v>оплачено</v>
      </c>
      <c r="G5" s="162"/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>
        <v>44096</v>
      </c>
      <c r="B6" s="161" t="s">
        <v>325</v>
      </c>
      <c r="C6" s="275">
        <v>641.59</v>
      </c>
      <c r="D6" s="275">
        <v>641.59</v>
      </c>
      <c r="E6" s="542" t="str">
        <f t="shared" si="0"/>
        <v/>
      </c>
      <c r="F6" s="162" t="str">
        <f t="shared" si="1"/>
        <v>оплачено</v>
      </c>
      <c r="G6" s="162" t="s">
        <v>131</v>
      </c>
      <c r="H6" s="678"/>
      <c r="I6" s="1288"/>
      <c r="J6" s="1289"/>
      <c r="K6" s="480"/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>
        <v>44083</v>
      </c>
      <c r="B7" s="161" t="s">
        <v>353</v>
      </c>
      <c r="C7" s="275">
        <v>349.2</v>
      </c>
      <c r="D7" s="275">
        <v>349.2</v>
      </c>
      <c r="E7" s="542" t="str">
        <f t="shared" si="0"/>
        <v/>
      </c>
      <c r="F7" s="162" t="str">
        <f t="shared" si="1"/>
        <v>оплачено</v>
      </c>
      <c r="G7" s="162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44076</v>
      </c>
      <c r="B8" s="161" t="s">
        <v>257</v>
      </c>
      <c r="C8" s="275">
        <v>301.8</v>
      </c>
      <c r="D8" s="275">
        <v>301.8</v>
      </c>
      <c r="E8" s="542" t="str">
        <f t="shared" si="0"/>
        <v/>
      </c>
      <c r="F8" s="162" t="str">
        <f t="shared" si="1"/>
        <v>оплачено</v>
      </c>
      <c r="G8" s="276" t="s">
        <v>219</v>
      </c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44076</v>
      </c>
      <c r="B9" s="161" t="s">
        <v>205</v>
      </c>
      <c r="C9" s="275">
        <v>39.58</v>
      </c>
      <c r="D9" s="275">
        <v>39.58</v>
      </c>
      <c r="E9" s="542" t="str">
        <f t="shared" si="0"/>
        <v/>
      </c>
      <c r="F9" s="162" t="str">
        <f t="shared" si="1"/>
        <v>оплачено</v>
      </c>
      <c r="G9" s="276" t="s">
        <v>219</v>
      </c>
      <c r="H9" s="678"/>
      <c r="I9" s="1288"/>
      <c r="J9" s="1289"/>
      <c r="K9" s="480"/>
      <c r="L9" s="1290"/>
      <c r="M9" s="1291"/>
      <c r="N9" s="766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ht="18.75" customHeight="1">
      <c r="A10" s="325">
        <v>44076</v>
      </c>
      <c r="B10" s="161" t="s">
        <v>353</v>
      </c>
      <c r="C10" s="275">
        <v>554.08000000000004</v>
      </c>
      <c r="D10" s="275">
        <v>554.08000000000004</v>
      </c>
      <c r="E10" s="542" t="str">
        <f t="shared" si="0"/>
        <v/>
      </c>
      <c r="F10" s="162" t="str">
        <f t="shared" si="1"/>
        <v>оплачено</v>
      </c>
      <c r="G10" s="276" t="s">
        <v>219</v>
      </c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5.75" customHeight="1">
      <c r="A11" s="325">
        <v>44095</v>
      </c>
      <c r="B11" s="161" t="s">
        <v>155</v>
      </c>
      <c r="C11" s="630">
        <v>214.5</v>
      </c>
      <c r="D11" s="275">
        <v>214.5</v>
      </c>
      <c r="E11" s="542" t="str">
        <f t="shared" si="0"/>
        <v/>
      </c>
      <c r="F11" s="162" t="str">
        <f t="shared" si="1"/>
        <v>оплачено</v>
      </c>
      <c r="G11" s="161"/>
      <c r="H11" s="678"/>
      <c r="I11" s="1288"/>
      <c r="J11" s="1289"/>
      <c r="K11" s="480"/>
      <c r="L11" s="1191"/>
      <c r="M11" s="1292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4.25" customHeight="1">
      <c r="A12" s="325"/>
      <c r="B12" s="161"/>
      <c r="C12" s="275"/>
      <c r="D12" s="275"/>
      <c r="E12" s="542" t="str">
        <f t="shared" si="0"/>
        <v/>
      </c>
      <c r="F12" s="162" t="str">
        <f t="shared" si="1"/>
        <v/>
      </c>
      <c r="G12" s="161"/>
      <c r="H12" s="678"/>
      <c r="I12" s="1288"/>
      <c r="J12" s="1289"/>
      <c r="K12" s="480"/>
      <c r="L12" s="1191"/>
      <c r="M12" s="1292"/>
      <c r="N12" s="766"/>
      <c r="O12" s="447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 ht="17.25" customHeight="1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1"/>
      <c r="H13" s="678"/>
      <c r="I13" s="1288"/>
      <c r="J13" s="1289"/>
      <c r="K13" s="480"/>
      <c r="L13" s="1191"/>
      <c r="M13" s="1292"/>
      <c r="N13" s="766"/>
      <c r="O13" s="936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0"/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935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2379.89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915" t="s">
        <v>21</v>
      </c>
      <c r="K22" s="915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447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>M30-I31-J31-K31+L31</f>
        <v>75409.000000000015</v>
      </c>
      <c r="N31" s="1"/>
      <c r="O31" s="44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>M31-I32-J32-K32+L32</f>
        <v>68068.100000000006</v>
      </c>
      <c r="N32" s="1"/>
      <c r="O32" s="44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>M32-I33-J33-K33+L33</f>
        <v>69125.030000000013</v>
      </c>
      <c r="N33" s="1"/>
      <c r="O33" s="447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20</v>
      </c>
      <c r="I34" s="689">
        <v>28716.309999999994</v>
      </c>
      <c r="J34" s="438">
        <v>4480.1000000000004</v>
      </c>
      <c r="K34" s="607">
        <f>741.01+462.85</f>
        <v>1203.8600000000001</v>
      </c>
      <c r="L34" s="607">
        <v>40057.5</v>
      </c>
      <c r="M34" s="104">
        <f>M33-I34-J34-K34+L34</f>
        <v>74782.260000000009</v>
      </c>
      <c r="N34" s="1"/>
      <c r="O34" s="44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 thickBot="1">
      <c r="A35" s="339"/>
      <c r="B35" s="199"/>
      <c r="C35" s="1"/>
      <c r="D35" s="273"/>
      <c r="E35" s="366"/>
      <c r="F35" s="366"/>
      <c r="G35" s="366"/>
      <c r="H35" s="608" t="s">
        <v>148</v>
      </c>
      <c r="I35" s="622">
        <v>26800.16</v>
      </c>
      <c r="J35" s="610">
        <f>4+53+32.5+311.5+375+214+61.3+1914+130.5+597.5+16.8+2.5+2148.5+28+491+24</f>
        <v>6404.1</v>
      </c>
      <c r="K35" s="611">
        <f>835.3+489.85</f>
        <v>1325.15</v>
      </c>
      <c r="L35" s="941">
        <f>3255+623+28+192+21+427+2680+9605+4070+1513+315+1563.5+1878+808.5+417+35+1146+2886+540+1020+66+1156+773.5+396+2643.5+1976+588+375+1850.5</f>
        <v>42847.5</v>
      </c>
      <c r="M35" s="104">
        <f>M34-I35-J35-K35+L35</f>
        <v>83100.350000000006</v>
      </c>
      <c r="N35" s="1"/>
      <c r="O35" s="44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 thickTop="1">
      <c r="A36" s="339"/>
      <c r="B36" s="199"/>
      <c r="C36" s="1"/>
      <c r="D36" s="273"/>
      <c r="E36" s="84"/>
      <c r="F36" s="366"/>
      <c r="G36" s="366"/>
      <c r="H36" s="1148" t="s">
        <v>36</v>
      </c>
      <c r="I36" s="1150" t="s">
        <v>178</v>
      </c>
      <c r="J36" s="1151"/>
      <c r="K36" s="1152"/>
      <c r="L36" s="1156" t="s">
        <v>159</v>
      </c>
      <c r="M36" s="1156"/>
      <c r="N36" s="747" t="s">
        <v>341</v>
      </c>
      <c r="O36" s="447"/>
      <c r="P36" s="84"/>
      <c r="Q36" s="145"/>
      <c r="R36" s="145"/>
      <c r="S36" s="86"/>
      <c r="T36" s="86"/>
      <c r="U36" s="86"/>
      <c r="V36" s="86"/>
      <c r="W36" s="86"/>
      <c r="X36" s="86"/>
      <c r="Y36" s="366"/>
      <c r="Z36" s="366"/>
    </row>
    <row r="37" spans="1:26" ht="13.5" customHeight="1">
      <c r="A37" s="339"/>
      <c r="B37" s="199"/>
      <c r="C37" s="284"/>
      <c r="D37" s="273"/>
      <c r="E37" s="284"/>
      <c r="F37" s="366"/>
      <c r="G37" s="378"/>
      <c r="H37" s="1149"/>
      <c r="I37" s="1153"/>
      <c r="J37" s="1154"/>
      <c r="K37" s="1155"/>
      <c r="L37" s="1158"/>
      <c r="M37" s="1158"/>
      <c r="N37" s="748" t="s">
        <v>189</v>
      </c>
      <c r="O37" s="447"/>
      <c r="P37" s="84"/>
      <c r="Q37" s="145"/>
      <c r="R37" s="84"/>
      <c r="S37" s="86"/>
      <c r="T37" s="86"/>
      <c r="U37" s="86"/>
      <c r="V37" s="294"/>
      <c r="W37" s="86"/>
      <c r="X37" s="86"/>
      <c r="Y37" s="366"/>
      <c r="Z37" s="366"/>
    </row>
    <row r="38" spans="1:26" ht="15.75" customHeight="1">
      <c r="A38" s="339"/>
      <c r="B38" s="199"/>
      <c r="C38" s="199"/>
      <c r="D38" s="273"/>
      <c r="E38" s="199"/>
      <c r="F38" s="366"/>
      <c r="G38" s="378"/>
      <c r="H38" s="512" t="s">
        <v>374</v>
      </c>
      <c r="I38" s="1278" t="s">
        <v>47</v>
      </c>
      <c r="J38" s="1278"/>
      <c r="K38" s="918">
        <v>328.13</v>
      </c>
      <c r="L38" s="282">
        <v>44089</v>
      </c>
      <c r="M38" s="1" t="s">
        <v>383</v>
      </c>
      <c r="N38" s="749">
        <v>132</v>
      </c>
      <c r="O38" s="447"/>
      <c r="P38" s="84"/>
      <c r="Q38" s="145"/>
      <c r="R38" s="84"/>
      <c r="S38" s="86"/>
      <c r="T38" s="86"/>
      <c r="U38" s="86"/>
      <c r="V38" s="294"/>
      <c r="W38" s="86"/>
      <c r="X38" s="86"/>
      <c r="Y38" s="366"/>
      <c r="Z38" s="366"/>
    </row>
    <row r="39" spans="1:26">
      <c r="A39" s="339"/>
      <c r="B39" s="366"/>
      <c r="C39" s="274"/>
      <c r="D39" s="273"/>
      <c r="E39" s="274"/>
      <c r="F39" s="366"/>
      <c r="G39" s="366"/>
      <c r="H39" s="512" t="s">
        <v>374</v>
      </c>
      <c r="I39" s="1262" t="s">
        <v>51</v>
      </c>
      <c r="J39" s="1262"/>
      <c r="K39" s="917">
        <v>71.83</v>
      </c>
      <c r="L39" s="282">
        <v>44027</v>
      </c>
      <c r="M39" s="1" t="s">
        <v>383</v>
      </c>
      <c r="N39" s="750">
        <v>40</v>
      </c>
      <c r="O39" s="447"/>
      <c r="P39" s="84"/>
      <c r="Q39" s="145"/>
      <c r="R39" s="273"/>
      <c r="S39" s="366"/>
      <c r="T39" s="86"/>
      <c r="U39" s="86"/>
      <c r="V39" s="294"/>
      <c r="W39" s="294"/>
      <c r="X39" s="294"/>
      <c r="Y39" s="366"/>
    </row>
    <row r="40" spans="1:26">
      <c r="A40" s="340"/>
      <c r="B40" s="366"/>
      <c r="C40" s="366"/>
      <c r="D40" s="273"/>
      <c r="E40" s="199"/>
      <c r="F40" s="366"/>
      <c r="G40" s="366"/>
      <c r="H40" s="512" t="s">
        <v>374</v>
      </c>
      <c r="I40" s="1262" t="s">
        <v>52</v>
      </c>
      <c r="J40" s="1262"/>
      <c r="K40" s="917">
        <v>5.63</v>
      </c>
      <c r="L40" s="282">
        <v>44027</v>
      </c>
      <c r="M40" s="1" t="s">
        <v>383</v>
      </c>
      <c r="N40" s="750">
        <v>3</v>
      </c>
      <c r="O40" s="447"/>
      <c r="P40" s="84"/>
      <c r="Q40" s="145"/>
      <c r="R40" s="273"/>
      <c r="S40" s="366"/>
      <c r="T40" s="294"/>
      <c r="U40" s="86"/>
      <c r="V40" s="366"/>
      <c r="W40" s="294"/>
      <c r="X40" s="294"/>
      <c r="Y40" s="366"/>
    </row>
    <row r="41" spans="1:26">
      <c r="A41" s="340"/>
      <c r="B41" s="366"/>
      <c r="C41" s="366"/>
      <c r="D41" s="273"/>
      <c r="E41" s="366"/>
      <c r="F41" s="366"/>
      <c r="G41" s="366"/>
      <c r="H41" s="512" t="s">
        <v>374</v>
      </c>
      <c r="I41" s="1262" t="s">
        <v>49</v>
      </c>
      <c r="J41" s="1290"/>
      <c r="K41" s="939">
        <v>314</v>
      </c>
      <c r="L41" s="294">
        <v>44094</v>
      </c>
      <c r="M41" s="1" t="s">
        <v>382</v>
      </c>
      <c r="N41" s="749">
        <v>200</v>
      </c>
      <c r="O41" s="447"/>
      <c r="P41" s="907"/>
      <c r="Q41" s="366"/>
      <c r="R41" s="914"/>
      <c r="S41" s="366"/>
      <c r="T41" s="294"/>
      <c r="U41" s="86"/>
      <c r="V41" s="294"/>
      <c r="W41" s="294"/>
      <c r="X41" s="294"/>
      <c r="Y41" s="366"/>
    </row>
    <row r="42" spans="1:26">
      <c r="A42" s="340"/>
      <c r="B42" s="366"/>
      <c r="C42" s="366"/>
      <c r="D42" s="273"/>
      <c r="E42" s="366"/>
      <c r="F42" s="366"/>
      <c r="G42" s="366"/>
      <c r="H42" s="512" t="s">
        <v>374</v>
      </c>
      <c r="I42" s="1263" t="s">
        <v>59</v>
      </c>
      <c r="J42" s="1264"/>
      <c r="K42" s="454">
        <v>506.85</v>
      </c>
      <c r="L42" s="302" t="s">
        <v>177</v>
      </c>
      <c r="M42" s="1" t="s">
        <v>383</v>
      </c>
      <c r="N42" s="751">
        <v>102.73</v>
      </c>
      <c r="O42" s="447"/>
      <c r="P42" s="646"/>
      <c r="Q42" s="448"/>
      <c r="R42" s="540"/>
      <c r="S42" s="366"/>
      <c r="T42" s="294"/>
      <c r="U42" s="86"/>
      <c r="V42" s="294"/>
      <c r="W42" s="366"/>
      <c r="X42" s="366"/>
      <c r="Y42" s="366"/>
    </row>
    <row r="43" spans="1:26">
      <c r="A43" s="340"/>
      <c r="B43" s="199"/>
      <c r="C43" s="199"/>
      <c r="D43" s="273"/>
      <c r="E43" s="199"/>
      <c r="F43" s="366"/>
      <c r="G43" s="366"/>
      <c r="H43" s="512" t="s">
        <v>374</v>
      </c>
      <c r="I43" s="1264" t="s">
        <v>68</v>
      </c>
      <c r="J43" s="1315"/>
      <c r="K43" s="939">
        <v>250.35</v>
      </c>
      <c r="L43" s="282">
        <v>44094</v>
      </c>
      <c r="M43" s="1" t="s">
        <v>383</v>
      </c>
      <c r="N43" s="751">
        <f>K43/2</f>
        <v>125.175</v>
      </c>
      <c r="O43" s="447"/>
      <c r="P43" s="643"/>
      <c r="Q43" s="914"/>
      <c r="R43" s="914"/>
      <c r="S43" s="366"/>
      <c r="T43" s="366"/>
      <c r="U43" s="294"/>
      <c r="V43" s="294"/>
      <c r="W43" s="294"/>
      <c r="X43" s="294"/>
      <c r="Y43" s="366"/>
    </row>
    <row r="44" spans="1:26">
      <c r="A44" s="340"/>
      <c r="B44" s="199"/>
      <c r="C44" s="366"/>
      <c r="D44" s="273"/>
      <c r="E44" s="199"/>
      <c r="F44" s="366"/>
      <c r="G44" s="366"/>
      <c r="H44" s="512" t="s">
        <v>374</v>
      </c>
      <c r="I44" s="919" t="s">
        <v>174</v>
      </c>
      <c r="J44" s="942"/>
      <c r="K44" s="475">
        <f>337.71+180.88</f>
        <v>518.58999999999992</v>
      </c>
      <c r="L44" s="282">
        <v>44089</v>
      </c>
      <c r="M44" s="1" t="s">
        <v>383</v>
      </c>
      <c r="N44" s="752">
        <f>K44</f>
        <v>518.58999999999992</v>
      </c>
      <c r="O44" s="12"/>
      <c r="P44" s="643"/>
      <c r="Q44" s="914"/>
      <c r="R44" s="365"/>
      <c r="S44" s="366"/>
      <c r="T44" s="294"/>
      <c r="U44" s="294"/>
      <c r="V44" s="294"/>
      <c r="W44" s="294"/>
      <c r="X44" s="294"/>
      <c r="Y44" s="366"/>
    </row>
    <row r="45" spans="1:26">
      <c r="A45" s="340"/>
      <c r="B45" s="199"/>
      <c r="C45" s="366"/>
      <c r="D45" s="273"/>
      <c r="E45" s="199"/>
      <c r="F45" s="366"/>
      <c r="G45" s="366"/>
      <c r="H45" s="512" t="s">
        <v>356</v>
      </c>
      <c r="I45" s="919" t="s">
        <v>176</v>
      </c>
      <c r="J45" s="942"/>
      <c r="K45" s="454" t="s">
        <v>356</v>
      </c>
      <c r="L45" s="282">
        <v>44094</v>
      </c>
      <c r="M45" s="1" t="s">
        <v>383</v>
      </c>
      <c r="N45" s="750" t="str">
        <f>K45</f>
        <v>НЕТ</v>
      </c>
      <c r="O45" s="127"/>
      <c r="P45" s="448"/>
      <c r="Q45" s="914"/>
      <c r="R45" s="365"/>
      <c r="S45" s="366"/>
      <c r="T45" s="294"/>
      <c r="U45" s="294"/>
      <c r="V45" s="294"/>
      <c r="W45" s="294"/>
      <c r="X45" s="294"/>
      <c r="Y45" s="366"/>
    </row>
    <row r="46" spans="1:26">
      <c r="A46" s="340"/>
      <c r="B46" s="199"/>
      <c r="C46" s="366"/>
      <c r="D46" s="273"/>
      <c r="E46" s="232"/>
      <c r="F46" s="366"/>
      <c r="G46" s="366"/>
      <c r="H46" s="512" t="s">
        <v>374</v>
      </c>
      <c r="I46" s="1264" t="s">
        <v>81</v>
      </c>
      <c r="J46" s="1265"/>
      <c r="K46" s="917">
        <v>1582.2</v>
      </c>
      <c r="L46" s="282">
        <v>44089</v>
      </c>
      <c r="M46" s="1" t="s">
        <v>383</v>
      </c>
      <c r="N46" s="750">
        <f>K46/2</f>
        <v>791.1</v>
      </c>
      <c r="O46" s="145"/>
      <c r="P46" s="84"/>
      <c r="Q46" s="84"/>
      <c r="R46" s="84"/>
      <c r="S46" s="84"/>
      <c r="T46" s="294"/>
      <c r="U46" s="366"/>
      <c r="V46" s="294"/>
      <c r="W46" s="294"/>
      <c r="X46" s="294"/>
      <c r="Y46" s="366"/>
    </row>
    <row r="47" spans="1:26">
      <c r="A47" s="340"/>
      <c r="B47" s="199"/>
      <c r="C47" s="366"/>
      <c r="D47" s="273"/>
      <c r="E47" s="232"/>
      <c r="F47" s="366"/>
      <c r="G47" s="366"/>
      <c r="H47" s="512" t="s">
        <v>381</v>
      </c>
      <c r="I47" s="1264" t="s">
        <v>181</v>
      </c>
      <c r="J47" s="1265"/>
      <c r="K47" s="917">
        <v>10</v>
      </c>
      <c r="L47" s="282">
        <v>44089</v>
      </c>
      <c r="M47" s="1" t="s">
        <v>383</v>
      </c>
      <c r="N47" s="752">
        <f>K47</f>
        <v>10</v>
      </c>
      <c r="O47" s="127"/>
      <c r="P47" s="145"/>
      <c r="Q47" s="914"/>
      <c r="R47" s="366"/>
      <c r="S47" s="366"/>
      <c r="T47" s="294"/>
      <c r="U47" s="294"/>
      <c r="V47" s="366"/>
      <c r="W47" s="294"/>
      <c r="X47" s="294"/>
      <c r="Y47" s="366"/>
    </row>
    <row r="48" spans="1:26">
      <c r="A48" s="340" t="s">
        <v>314</v>
      </c>
      <c r="B48" s="199"/>
      <c r="C48" s="366"/>
      <c r="D48" s="273"/>
      <c r="E48" s="232"/>
      <c r="F48" s="366"/>
      <c r="G48" s="366"/>
      <c r="H48" s="512" t="s">
        <v>374</v>
      </c>
      <c r="I48" s="1145" t="s">
        <v>61</v>
      </c>
      <c r="J48" s="1145"/>
      <c r="K48" s="481">
        <v>1191.3800000000001</v>
      </c>
      <c r="L48" s="282">
        <v>44094</v>
      </c>
      <c r="M48" s="1" t="s">
        <v>383</v>
      </c>
      <c r="N48" s="750"/>
      <c r="P48" s="448"/>
      <c r="Q48" s="365"/>
      <c r="R48" s="365"/>
      <c r="S48" s="366"/>
      <c r="T48" s="294"/>
      <c r="U48" s="294"/>
      <c r="V48" s="366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374</v>
      </c>
      <c r="I49" s="1145" t="s">
        <v>274</v>
      </c>
      <c r="J49" s="1145"/>
      <c r="K49" s="93">
        <v>73</v>
      </c>
      <c r="L49" s="282">
        <v>44094</v>
      </c>
      <c r="M49" s="1" t="s">
        <v>383</v>
      </c>
      <c r="N49" s="749">
        <v>40</v>
      </c>
      <c r="P49" s="145"/>
      <c r="Q49" s="365"/>
      <c r="R49" s="365"/>
      <c r="S49" s="366"/>
      <c r="T49" s="294"/>
      <c r="U49" s="294"/>
      <c r="V49" s="366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374</v>
      </c>
      <c r="I50" s="1145" t="s">
        <v>275</v>
      </c>
      <c r="J50" s="1145"/>
      <c r="K50" s="93">
        <v>50</v>
      </c>
      <c r="L50" s="282">
        <v>44089</v>
      </c>
      <c r="M50" s="1" t="s">
        <v>383</v>
      </c>
      <c r="N50" s="750">
        <v>50</v>
      </c>
      <c r="P50" s="145"/>
      <c r="Q50" s="273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374</v>
      </c>
      <c r="I51" s="1145" t="s">
        <v>276</v>
      </c>
      <c r="J51" s="1145"/>
      <c r="K51" s="93">
        <v>150</v>
      </c>
      <c r="L51" s="282">
        <v>44104</v>
      </c>
      <c r="M51" s="1" t="s">
        <v>383</v>
      </c>
      <c r="N51" s="750">
        <v>150</v>
      </c>
      <c r="O51" s="12"/>
      <c r="P51" s="145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>
      <c r="A52" s="340"/>
      <c r="B52" s="199"/>
      <c r="C52" s="366"/>
      <c r="D52" s="273"/>
      <c r="E52" s="232"/>
      <c r="F52" s="366"/>
      <c r="G52" s="366"/>
      <c r="H52" s="512" t="s">
        <v>374</v>
      </c>
      <c r="I52" s="1145" t="s">
        <v>296</v>
      </c>
      <c r="J52" s="1145"/>
      <c r="K52" s="93">
        <v>18</v>
      </c>
      <c r="L52" s="282">
        <v>44089</v>
      </c>
      <c r="M52" s="1" t="s">
        <v>383</v>
      </c>
      <c r="N52" s="751">
        <v>9</v>
      </c>
      <c r="O52" s="150"/>
      <c r="P52" s="145"/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374</v>
      </c>
      <c r="I53" s="1143" t="s">
        <v>345</v>
      </c>
      <c r="J53" s="1144"/>
      <c r="K53" s="145">
        <v>972.2</v>
      </c>
      <c r="L53" s="282">
        <v>44104</v>
      </c>
      <c r="M53" s="1" t="s">
        <v>383</v>
      </c>
      <c r="N53" s="771">
        <f>K53</f>
        <v>972.2</v>
      </c>
      <c r="O53" s="150"/>
      <c r="P53" s="145"/>
      <c r="Q53" s="365"/>
      <c r="R53" s="365"/>
      <c r="S53" s="366"/>
      <c r="T53" s="294"/>
      <c r="U53" s="294"/>
      <c r="V53" s="366"/>
      <c r="W53" s="294"/>
      <c r="X53" s="294"/>
      <c r="Y53" s="366"/>
    </row>
    <row r="54" spans="1:25" ht="15.75" thickBot="1">
      <c r="A54" s="341"/>
      <c r="B54" s="330"/>
      <c r="C54" s="331"/>
      <c r="D54" s="342"/>
      <c r="E54" s="330"/>
      <c r="F54" s="331"/>
      <c r="G54" s="331"/>
      <c r="H54" s="1300" t="s">
        <v>179</v>
      </c>
      <c r="I54" s="1281"/>
      <c r="J54" s="361">
        <f>SUM(K38:K53)</f>
        <v>6042.16</v>
      </c>
      <c r="K54" s="1146" t="s">
        <v>180</v>
      </c>
      <c r="L54" s="1146"/>
      <c r="M54" s="746">
        <v>0</v>
      </c>
      <c r="N54" s="753">
        <f>SUM(N38:N53)</f>
        <v>3143.7950000000001</v>
      </c>
      <c r="P54" s="448"/>
      <c r="Q54" s="365"/>
      <c r="R54" s="366"/>
      <c r="S54" s="366"/>
      <c r="T54" s="294"/>
      <c r="U54" s="366"/>
      <c r="V54" s="366"/>
      <c r="W54" s="366"/>
      <c r="X54" s="366"/>
      <c r="Y54" s="366"/>
    </row>
    <row r="55" spans="1:25" ht="15.75" thickTop="1">
      <c r="A55" s="366"/>
      <c r="B55" s="366"/>
      <c r="C55" s="366"/>
      <c r="D55" s="366"/>
      <c r="E55" s="366"/>
      <c r="F55" s="366"/>
      <c r="G55" s="366"/>
      <c r="H55" s="1162"/>
      <c r="I55" s="1162"/>
      <c r="J55" s="1162"/>
      <c r="K55" s="1162"/>
      <c r="L55" s="366"/>
      <c r="M55" s="441"/>
      <c r="N55" s="1"/>
      <c r="P55" s="448"/>
      <c r="Q55" s="365"/>
      <c r="R55" s="366"/>
      <c r="S55" s="366"/>
      <c r="T55" s="366"/>
      <c r="U55" s="366"/>
      <c r="V55" s="366"/>
      <c r="W55" s="366"/>
      <c r="X55" s="366"/>
      <c r="Y55" s="366"/>
    </row>
    <row r="56" spans="1:25" ht="15" customHeight="1">
      <c r="A56" s="1163" t="s">
        <v>385</v>
      </c>
      <c r="B56" s="1163"/>
      <c r="C56" s="1163"/>
      <c r="D56" s="1163"/>
      <c r="E56" s="1163"/>
      <c r="F56" s="1163"/>
      <c r="G56" s="1163"/>
      <c r="H56" s="1163"/>
      <c r="I56" s="1163"/>
      <c r="J56" s="1163"/>
      <c r="K56" s="1163"/>
      <c r="L56" s="1163"/>
      <c r="M56" s="1163"/>
      <c r="N56" s="1"/>
      <c r="O56" s="150"/>
      <c r="P56" s="448"/>
      <c r="Q56" s="365"/>
      <c r="R56" s="366"/>
      <c r="S56" s="366"/>
      <c r="T56" s="366"/>
      <c r="U56" s="366"/>
      <c r="V56" s="366"/>
      <c r="W56" s="366"/>
      <c r="X56" s="366"/>
    </row>
    <row r="57" spans="1:25" ht="15.75" customHeight="1" thickBot="1">
      <c r="A57" s="1164"/>
      <c r="B57" s="1164"/>
      <c r="C57" s="1164"/>
      <c r="D57" s="1164"/>
      <c r="E57" s="1164"/>
      <c r="F57" s="1164"/>
      <c r="G57" s="1164"/>
      <c r="H57" s="1164"/>
      <c r="I57" s="1164"/>
      <c r="J57" s="1164"/>
      <c r="K57" s="1164"/>
      <c r="L57" s="1164"/>
      <c r="M57" s="1164"/>
      <c r="N57" s="1"/>
      <c r="P57" s="448"/>
      <c r="Q57" s="365"/>
      <c r="R57" s="365"/>
      <c r="S57" s="914"/>
      <c r="T57" s="366"/>
      <c r="U57" s="366"/>
      <c r="V57" s="366"/>
      <c r="W57" s="366"/>
      <c r="X57" s="366"/>
    </row>
    <row r="58" spans="1:25" ht="15.75" thickTop="1">
      <c r="A58" s="1266" t="s">
        <v>317</v>
      </c>
      <c r="B58" s="1166"/>
      <c r="C58" s="1166"/>
      <c r="D58" s="1166"/>
      <c r="E58" s="1166"/>
      <c r="F58" s="1166"/>
      <c r="G58" s="1167"/>
      <c r="H58" s="1282" t="s">
        <v>316</v>
      </c>
      <c r="I58" s="1283"/>
      <c r="J58" s="1283"/>
      <c r="K58" s="1283"/>
      <c r="L58" s="1283"/>
      <c r="M58" s="1284"/>
      <c r="N58" s="1"/>
      <c r="P58" s="448"/>
      <c r="Q58" s="366"/>
      <c r="S58" s="274"/>
      <c r="T58" s="366"/>
      <c r="U58" s="366"/>
      <c r="V58" s="366"/>
      <c r="W58" s="366"/>
      <c r="X58" s="366"/>
    </row>
    <row r="59" spans="1:25">
      <c r="A59" s="324" t="s">
        <v>2</v>
      </c>
      <c r="B59" s="912" t="s">
        <v>34</v>
      </c>
      <c r="C59" s="36" t="s">
        <v>35</v>
      </c>
      <c r="D59" s="36" t="s">
        <v>38</v>
      </c>
      <c r="E59" s="36" t="s">
        <v>42</v>
      </c>
      <c r="F59" s="912" t="s">
        <v>36</v>
      </c>
      <c r="G59" s="100" t="s">
        <v>173</v>
      </c>
      <c r="H59" s="676" t="s">
        <v>2</v>
      </c>
      <c r="I59" s="1285" t="s">
        <v>34</v>
      </c>
      <c r="J59" s="1285"/>
      <c r="K59" s="918" t="s">
        <v>35</v>
      </c>
      <c r="L59" s="1286" t="s">
        <v>173</v>
      </c>
      <c r="M59" s="1287"/>
      <c r="N59" s="1"/>
      <c r="P59" s="448"/>
      <c r="Q59" s="366"/>
      <c r="S59" s="274"/>
      <c r="T59" s="366"/>
      <c r="U59" s="366"/>
      <c r="V59" s="366"/>
      <c r="W59" s="366"/>
      <c r="X59" s="366"/>
    </row>
    <row r="60" spans="1:25">
      <c r="A60" s="325">
        <v>44067</v>
      </c>
      <c r="B60" s="161" t="s">
        <v>263</v>
      </c>
      <c r="C60" s="275">
        <v>410.07</v>
      </c>
      <c r="D60" s="275">
        <f>200+210.07</f>
        <v>410.07</v>
      </c>
      <c r="E60" s="966" t="str">
        <f t="shared" ref="E60:E75" si="3">IF(C60-D60=0,"",C60-D60)</f>
        <v/>
      </c>
      <c r="F60" s="162" t="str">
        <f t="shared" ref="F60:F75" si="4">IF(C60=0,"",IF(C60-D60=0,"оплачено","ОЖИДАЕТСЯ оплата"))</f>
        <v>оплачено</v>
      </c>
      <c r="G60" s="162"/>
      <c r="H60" s="325"/>
      <c r="I60" s="1288"/>
      <c r="J60" s="1289"/>
      <c r="K60" s="480"/>
      <c r="L60" s="1293"/>
      <c r="M60" s="1294"/>
      <c r="N60" s="1"/>
      <c r="P60" s="448"/>
      <c r="Q60" s="366"/>
      <c r="S60" s="366"/>
      <c r="T60" s="84"/>
      <c r="U60" s="366"/>
      <c r="W60" s="366"/>
      <c r="X60" s="366"/>
    </row>
    <row r="61" spans="1:25">
      <c r="A61" s="325">
        <v>44075</v>
      </c>
      <c r="B61" s="161" t="s">
        <v>367</v>
      </c>
      <c r="C61" s="275">
        <v>962.08</v>
      </c>
      <c r="D61" s="275">
        <v>962.08</v>
      </c>
      <c r="E61" s="542" t="str">
        <f t="shared" si="3"/>
        <v/>
      </c>
      <c r="F61" s="162" t="str">
        <f t="shared" si="4"/>
        <v>оплачено</v>
      </c>
      <c r="G61" s="162"/>
      <c r="H61" s="678"/>
      <c r="I61" s="1288"/>
      <c r="J61" s="1289"/>
      <c r="K61" s="480"/>
      <c r="L61" s="1293"/>
      <c r="M61" s="1294"/>
      <c r="N61" s="1"/>
      <c r="P61" s="448"/>
      <c r="Q61" s="366"/>
      <c r="S61" s="366"/>
      <c r="T61" s="366"/>
      <c r="U61" s="366"/>
      <c r="W61" s="366"/>
      <c r="X61" s="366"/>
    </row>
    <row r="62" spans="1:25">
      <c r="A62" s="325">
        <v>44091</v>
      </c>
      <c r="B62" s="161" t="s">
        <v>367</v>
      </c>
      <c r="C62" s="275">
        <v>848.68</v>
      </c>
      <c r="D62" s="275">
        <v>848.68</v>
      </c>
      <c r="E62" s="542" t="str">
        <f t="shared" si="3"/>
        <v/>
      </c>
      <c r="F62" s="162" t="str">
        <f t="shared" si="4"/>
        <v>оплачено</v>
      </c>
      <c r="G62" s="162"/>
      <c r="H62" s="678"/>
      <c r="I62" s="1288"/>
      <c r="J62" s="1289"/>
      <c r="K62" s="480"/>
      <c r="L62" s="1290"/>
      <c r="M62" s="1291"/>
      <c r="N62" s="1"/>
      <c r="P62" s="448"/>
      <c r="T62" s="366"/>
      <c r="U62" s="366"/>
    </row>
    <row r="63" spans="1:25">
      <c r="A63" s="937">
        <v>44091</v>
      </c>
      <c r="B63" s="276" t="s">
        <v>307</v>
      </c>
      <c r="C63" s="630">
        <v>280.25</v>
      </c>
      <c r="D63" s="630">
        <v>280.25</v>
      </c>
      <c r="E63" s="938" t="str">
        <f t="shared" si="3"/>
        <v/>
      </c>
      <c r="F63" s="276" t="str">
        <f t="shared" si="4"/>
        <v>оплачено</v>
      </c>
      <c r="G63" s="276" t="s">
        <v>395</v>
      </c>
      <c r="H63" s="678"/>
      <c r="I63" s="1288"/>
      <c r="J63" s="1289"/>
      <c r="K63" s="480"/>
      <c r="L63" s="1290"/>
      <c r="M63" s="1291"/>
      <c r="N63" s="1"/>
      <c r="P63" s="448"/>
      <c r="U63" s="366"/>
    </row>
    <row r="64" spans="1:25">
      <c r="A64" s="325">
        <v>44097</v>
      </c>
      <c r="B64" s="161" t="s">
        <v>212</v>
      </c>
      <c r="C64" s="1009">
        <v>439.24</v>
      </c>
      <c r="D64" s="513">
        <v>439.24</v>
      </c>
      <c r="E64" s="542" t="str">
        <f t="shared" si="3"/>
        <v/>
      </c>
      <c r="F64" s="162" t="str">
        <f t="shared" si="4"/>
        <v>оплачено</v>
      </c>
      <c r="G64" s="162"/>
      <c r="H64" s="678"/>
      <c r="I64" s="1288"/>
      <c r="J64" s="1289"/>
      <c r="K64" s="480"/>
      <c r="L64" s="1290"/>
      <c r="M64" s="1291"/>
      <c r="N64" s="1"/>
      <c r="P64" s="541"/>
      <c r="U64" s="366"/>
    </row>
    <row r="65" spans="1:21">
      <c r="A65" s="325">
        <v>44095</v>
      </c>
      <c r="B65" s="161" t="s">
        <v>155</v>
      </c>
      <c r="C65" s="275">
        <v>58.5</v>
      </c>
      <c r="D65" s="275">
        <v>58.5</v>
      </c>
      <c r="E65" s="542" t="str">
        <f t="shared" si="3"/>
        <v/>
      </c>
      <c r="F65" s="162" t="str">
        <f t="shared" si="4"/>
        <v>оплачено</v>
      </c>
      <c r="G65" s="162"/>
      <c r="H65" s="678"/>
      <c r="I65" s="1288"/>
      <c r="J65" s="1289"/>
      <c r="K65" s="480"/>
      <c r="L65" s="1290"/>
      <c r="M65" s="1291"/>
      <c r="N65" s="1"/>
      <c r="P65" s="86"/>
      <c r="U65" s="366"/>
    </row>
    <row r="66" spans="1:21" ht="14.45" customHeight="1">
      <c r="A66" s="325">
        <v>44097</v>
      </c>
      <c r="B66" s="307" t="s">
        <v>221</v>
      </c>
      <c r="C66" s="911">
        <v>346.09</v>
      </c>
      <c r="D66" s="911">
        <v>346.09</v>
      </c>
      <c r="E66" s="542" t="str">
        <f t="shared" si="3"/>
        <v/>
      </c>
      <c r="F66" s="162" t="str">
        <f t="shared" si="4"/>
        <v>оплачено</v>
      </c>
      <c r="G66" s="162"/>
      <c r="H66" s="678"/>
      <c r="I66" s="1288"/>
      <c r="J66" s="1289"/>
      <c r="K66" s="480"/>
      <c r="L66" s="1191"/>
      <c r="M66" s="1292"/>
      <c r="N66" s="1"/>
      <c r="P66" s="86"/>
    </row>
    <row r="67" spans="1:21" ht="14.45" customHeight="1">
      <c r="A67" s="325">
        <v>44102</v>
      </c>
      <c r="B67" s="161" t="s">
        <v>307</v>
      </c>
      <c r="C67" s="630">
        <v>531.75</v>
      </c>
      <c r="D67" s="275">
        <v>531.75</v>
      </c>
      <c r="E67" s="542" t="str">
        <f t="shared" si="3"/>
        <v/>
      </c>
      <c r="F67" s="162" t="str">
        <f t="shared" si="4"/>
        <v>оплачено</v>
      </c>
      <c r="G67" s="162"/>
      <c r="H67" s="678" t="str">
        <f t="shared" ref="H67:I75" si="5">IF(S11="","",S11)</f>
        <v/>
      </c>
      <c r="I67" s="1288"/>
      <c r="J67" s="1289"/>
      <c r="K67" s="480"/>
      <c r="L67" s="1191"/>
      <c r="M67" s="1292"/>
      <c r="N67" s="1"/>
    </row>
    <row r="68" spans="1:21" ht="14.45" customHeight="1">
      <c r="A68" s="325">
        <v>44098</v>
      </c>
      <c r="B68" s="161" t="s">
        <v>353</v>
      </c>
      <c r="C68" s="630">
        <v>489.38</v>
      </c>
      <c r="D68" s="275">
        <v>489.38</v>
      </c>
      <c r="E68" s="542" t="str">
        <f t="shared" si="3"/>
        <v/>
      </c>
      <c r="F68" s="162" t="str">
        <f t="shared" si="4"/>
        <v>оплачено</v>
      </c>
      <c r="G68" s="162"/>
      <c r="H68" s="678" t="str">
        <f t="shared" si="5"/>
        <v/>
      </c>
      <c r="I68" s="1288" t="str">
        <f t="shared" si="5"/>
        <v/>
      </c>
      <c r="J68" s="1289"/>
      <c r="K68" s="480" t="str">
        <f t="shared" ref="K68:K75" si="6">IF(U12="","",U12)</f>
        <v/>
      </c>
      <c r="L68" s="1191"/>
      <c r="M68" s="1292"/>
      <c r="N68" s="1"/>
      <c r="O68" s="366"/>
    </row>
    <row r="69" spans="1:21">
      <c r="A69" s="325">
        <v>44096</v>
      </c>
      <c r="B69" s="161" t="s">
        <v>353</v>
      </c>
      <c r="C69" s="630">
        <v>233.93</v>
      </c>
      <c r="D69" s="275">
        <v>233.93</v>
      </c>
      <c r="E69" s="542" t="str">
        <f t="shared" si="3"/>
        <v/>
      </c>
      <c r="F69" s="162" t="str">
        <f t="shared" si="4"/>
        <v>оплачено</v>
      </c>
      <c r="G69" s="162"/>
      <c r="H69" s="678" t="str">
        <f t="shared" si="5"/>
        <v/>
      </c>
      <c r="I69" s="1288" t="str">
        <f t="shared" si="5"/>
        <v/>
      </c>
      <c r="J69" s="1289"/>
      <c r="K69" s="480" t="str">
        <f t="shared" si="6"/>
        <v/>
      </c>
      <c r="L69" s="1191"/>
      <c r="M69" s="1292"/>
      <c r="N69" s="150"/>
      <c r="O69" s="366"/>
    </row>
    <row r="70" spans="1:21" s="86" customFormat="1">
      <c r="A70" s="325"/>
      <c r="B70" s="161"/>
      <c r="C70" s="275"/>
      <c r="D70" s="275"/>
      <c r="E70" s="542" t="str">
        <f t="shared" si="3"/>
        <v/>
      </c>
      <c r="F70" s="162" t="str">
        <f t="shared" si="4"/>
        <v/>
      </c>
      <c r="G70" s="162"/>
      <c r="H70" s="678" t="str">
        <f t="shared" si="5"/>
        <v/>
      </c>
      <c r="I70" s="1288" t="str">
        <f t="shared" si="5"/>
        <v/>
      </c>
      <c r="J70" s="1289"/>
      <c r="K70" s="480" t="str">
        <f t="shared" si="6"/>
        <v/>
      </c>
      <c r="L70" s="1290"/>
      <c r="M70" s="1291"/>
      <c r="N70" s="366"/>
      <c r="O70" s="84"/>
      <c r="P70" s="1"/>
      <c r="Q70" s="35"/>
      <c r="T70" s="35"/>
      <c r="U70" s="35"/>
    </row>
    <row r="71" spans="1:21">
      <c r="A71" s="325"/>
      <c r="B71" s="161"/>
      <c r="C71" s="275"/>
      <c r="D71" s="934"/>
      <c r="E71" s="542" t="str">
        <f t="shared" si="3"/>
        <v/>
      </c>
      <c r="F71" s="162" t="str">
        <f t="shared" si="4"/>
        <v/>
      </c>
      <c r="G71" s="162"/>
      <c r="H71" s="678" t="str">
        <f t="shared" si="5"/>
        <v/>
      </c>
      <c r="I71" s="1288" t="str">
        <f t="shared" si="5"/>
        <v/>
      </c>
      <c r="J71" s="1289"/>
      <c r="K71" s="480" t="str">
        <f t="shared" si="6"/>
        <v/>
      </c>
      <c r="L71" s="1191"/>
      <c r="M71" s="1292"/>
      <c r="N71" s="150"/>
      <c r="O71" s="366"/>
      <c r="P71" s="1"/>
      <c r="T71" s="86"/>
    </row>
    <row r="72" spans="1:21">
      <c r="A72" s="325"/>
      <c r="B72" s="161"/>
      <c r="C72" s="275"/>
      <c r="D72" s="275"/>
      <c r="E72" s="542" t="str">
        <f t="shared" si="3"/>
        <v/>
      </c>
      <c r="F72" s="162" t="str">
        <f t="shared" si="4"/>
        <v/>
      </c>
      <c r="G72" s="162"/>
      <c r="H72" s="678" t="str">
        <f t="shared" si="5"/>
        <v/>
      </c>
      <c r="I72" s="1288" t="str">
        <f t="shared" si="5"/>
        <v/>
      </c>
      <c r="J72" s="1289"/>
      <c r="K72" s="480" t="str">
        <f t="shared" si="6"/>
        <v/>
      </c>
      <c r="L72" s="1191"/>
      <c r="M72" s="1292"/>
      <c r="N72" s="1"/>
      <c r="O72" s="84"/>
      <c r="P72" s="366"/>
    </row>
    <row r="73" spans="1:21">
      <c r="A73" s="325"/>
      <c r="B73" s="161"/>
      <c r="C73" s="275"/>
      <c r="D73" s="275"/>
      <c r="E73" s="542" t="str">
        <f t="shared" si="3"/>
        <v/>
      </c>
      <c r="F73" s="162" t="str">
        <f t="shared" si="4"/>
        <v/>
      </c>
      <c r="G73" s="162"/>
      <c r="H73" s="678" t="str">
        <f t="shared" si="5"/>
        <v/>
      </c>
      <c r="I73" s="1288" t="str">
        <f t="shared" si="5"/>
        <v/>
      </c>
      <c r="J73" s="1289"/>
      <c r="K73" s="480" t="str">
        <f t="shared" si="6"/>
        <v/>
      </c>
      <c r="L73" s="1191"/>
      <c r="M73" s="1292"/>
      <c r="N73" s="1"/>
      <c r="O73" s="84"/>
      <c r="P73" s="150"/>
    </row>
    <row r="74" spans="1:21">
      <c r="A74" s="325"/>
      <c r="B74" s="161"/>
      <c r="C74" s="275"/>
      <c r="D74" s="275"/>
      <c r="E74" s="542" t="str">
        <f t="shared" si="3"/>
        <v/>
      </c>
      <c r="F74" s="162" t="str">
        <f t="shared" si="4"/>
        <v/>
      </c>
      <c r="G74" s="162"/>
      <c r="H74" s="678" t="str">
        <f t="shared" si="5"/>
        <v/>
      </c>
      <c r="I74" s="1288" t="str">
        <f t="shared" si="5"/>
        <v/>
      </c>
      <c r="J74" s="1289"/>
      <c r="K74" s="480" t="str">
        <f t="shared" si="6"/>
        <v/>
      </c>
      <c r="L74" s="1191"/>
      <c r="M74" s="1292"/>
      <c r="N74" s="1"/>
      <c r="O74" s="366"/>
      <c r="P74" s="1"/>
      <c r="Q74" s="86"/>
    </row>
    <row r="75" spans="1:21">
      <c r="A75" s="325"/>
      <c r="B75" s="161"/>
      <c r="C75" s="275"/>
      <c r="D75" s="275"/>
      <c r="E75" s="542" t="str">
        <f t="shared" si="3"/>
        <v/>
      </c>
      <c r="F75" s="162" t="str">
        <f t="shared" si="4"/>
        <v/>
      </c>
      <c r="G75" s="162"/>
      <c r="H75" s="678" t="str">
        <f t="shared" si="5"/>
        <v/>
      </c>
      <c r="I75" s="1288" t="str">
        <f t="shared" si="5"/>
        <v/>
      </c>
      <c r="J75" s="1289"/>
      <c r="K75" s="480" t="str">
        <f t="shared" si="6"/>
        <v/>
      </c>
      <c r="L75" s="1191"/>
      <c r="M75" s="1292"/>
      <c r="N75" s="1"/>
      <c r="O75" s="84"/>
    </row>
    <row r="76" spans="1:21" ht="15.75" thickBot="1">
      <c r="A76" s="1272" t="s">
        <v>259</v>
      </c>
      <c r="B76" s="1273"/>
      <c r="C76" s="358">
        <f>SUM(C60:C75)</f>
        <v>4599.97</v>
      </c>
      <c r="D76" s="358"/>
      <c r="E76" s="542">
        <f>SUM(E60:E75)</f>
        <v>0</v>
      </c>
      <c r="F76" s="162"/>
      <c r="G76" s="450"/>
      <c r="H76" s="1295" t="s">
        <v>259</v>
      </c>
      <c r="I76" s="1296"/>
      <c r="J76" s="1297"/>
      <c r="K76" s="677">
        <f>SUM(K60:K75)</f>
        <v>0</v>
      </c>
      <c r="L76" s="1298"/>
      <c r="M76" s="1299"/>
      <c r="N76" s="1"/>
      <c r="O76" s="366"/>
      <c r="P76" s="84"/>
      <c r="U76" s="86"/>
    </row>
    <row r="77" spans="1:21" ht="15.75" thickTop="1">
      <c r="A77" s="351"/>
      <c r="B77" s="352"/>
      <c r="C77" s="353"/>
      <c r="D77" s="353"/>
      <c r="E77" s="354"/>
      <c r="F77" s="352"/>
      <c r="G77" s="376"/>
      <c r="H77" s="1171" t="s">
        <v>16</v>
      </c>
      <c r="I77" s="1173" t="s">
        <v>17</v>
      </c>
      <c r="J77" s="1173" t="s">
        <v>21</v>
      </c>
      <c r="K77" s="1173"/>
      <c r="L77" s="1175" t="s">
        <v>93</v>
      </c>
      <c r="M77" s="1177" t="s">
        <v>95</v>
      </c>
      <c r="N77" s="1"/>
      <c r="O77" s="84"/>
      <c r="P77" s="84"/>
    </row>
    <row r="78" spans="1:21" ht="24">
      <c r="A78" s="355"/>
      <c r="B78" s="201"/>
      <c r="C78" s="201"/>
      <c r="D78" s="201"/>
      <c r="E78" s="216"/>
      <c r="F78" s="201"/>
      <c r="G78" s="201"/>
      <c r="H78" s="1172"/>
      <c r="I78" s="1174"/>
      <c r="J78" s="915" t="s">
        <v>21</v>
      </c>
      <c r="K78" s="915" t="s">
        <v>25</v>
      </c>
      <c r="L78" s="1176"/>
      <c r="M78" s="1178"/>
      <c r="N78" s="1"/>
      <c r="O78" s="366"/>
      <c r="P78" s="84"/>
    </row>
    <row r="79" spans="1:21">
      <c r="A79" s="338"/>
      <c r="B79" s="199"/>
      <c r="C79" s="288"/>
      <c r="D79" s="232"/>
      <c r="E79" s="84"/>
      <c r="F79" s="199"/>
      <c r="G79" s="199"/>
      <c r="H79" s="347" t="s">
        <v>163</v>
      </c>
      <c r="I79" s="94">
        <v>2420.3999999999996</v>
      </c>
      <c r="J79" s="94">
        <v>115.5</v>
      </c>
      <c r="K79" s="916">
        <v>132.61000000000001</v>
      </c>
      <c r="L79" s="96">
        <v>22665.5</v>
      </c>
      <c r="M79" s="104">
        <f>L79-I79-J79-K79</f>
        <v>19996.989999999998</v>
      </c>
      <c r="N79" s="150"/>
      <c r="O79" s="448"/>
      <c r="P79" s="439"/>
      <c r="R79" s="86"/>
    </row>
    <row r="80" spans="1:21">
      <c r="A80" s="339"/>
      <c r="B80" s="199"/>
      <c r="C80" s="199"/>
      <c r="D80" s="273"/>
      <c r="E80" s="366"/>
      <c r="F80" s="84"/>
      <c r="G80" s="366"/>
      <c r="H80" s="347" t="s">
        <v>192</v>
      </c>
      <c r="I80" s="94">
        <v>7629.69</v>
      </c>
      <c r="J80" s="94">
        <v>352.29</v>
      </c>
      <c r="K80" s="94">
        <v>193.85000000000002</v>
      </c>
      <c r="L80" s="96">
        <v>10342</v>
      </c>
      <c r="M80" s="104">
        <f>M79-I80-J80-K80+L80</f>
        <v>22163.159999999996</v>
      </c>
      <c r="N80" s="1"/>
      <c r="O80" s="448"/>
      <c r="P80" s="439"/>
      <c r="R80" s="86"/>
    </row>
    <row r="81" spans="1:26">
      <c r="A81" s="339"/>
      <c r="B81" s="366"/>
      <c r="C81" s="199"/>
      <c r="D81" s="273"/>
      <c r="E81" s="366"/>
      <c r="F81" s="366"/>
      <c r="G81" s="366"/>
      <c r="H81" s="347" t="s">
        <v>199</v>
      </c>
      <c r="I81" s="298">
        <v>8423.6400000000012</v>
      </c>
      <c r="J81" s="94">
        <v>921.3</v>
      </c>
      <c r="K81" s="299">
        <v>312.46000000000004</v>
      </c>
      <c r="L81" s="299">
        <v>16668</v>
      </c>
      <c r="M81" s="104">
        <f>M80-I81-J81-K81+L81</f>
        <v>29173.759999999995</v>
      </c>
      <c r="N81" s="1"/>
      <c r="O81" s="448"/>
      <c r="P81" s="436"/>
      <c r="R81" s="86"/>
    </row>
    <row r="82" spans="1:26">
      <c r="A82" s="339"/>
      <c r="B82" s="1"/>
      <c r="C82" s="284"/>
      <c r="D82" s="273"/>
      <c r="E82" s="366"/>
      <c r="F82" s="366"/>
      <c r="G82" s="84"/>
      <c r="H82" s="347" t="s">
        <v>209</v>
      </c>
      <c r="I82" s="299">
        <v>8639.7199999999993</v>
      </c>
      <c r="J82" s="300">
        <v>749.49</v>
      </c>
      <c r="K82" s="526">
        <v>435.1</v>
      </c>
      <c r="L82" s="299">
        <v>17824.919999999998</v>
      </c>
      <c r="M82" s="104">
        <f>M81-I82-J82-K82+L82</f>
        <v>37174.369999999995</v>
      </c>
      <c r="N82" s="92" t="s">
        <v>284</v>
      </c>
      <c r="O82" s="619"/>
      <c r="P82" s="724"/>
      <c r="R82" s="86"/>
    </row>
    <row r="83" spans="1:26">
      <c r="A83" s="339"/>
      <c r="B83" s="199"/>
      <c r="C83" s="1"/>
      <c r="D83" s="273"/>
      <c r="E83" s="366"/>
      <c r="F83" s="366"/>
      <c r="G83" s="366"/>
      <c r="H83" s="348" t="s">
        <v>210</v>
      </c>
      <c r="I83" s="300">
        <v>12605.26</v>
      </c>
      <c r="J83" s="299">
        <v>600.5</v>
      </c>
      <c r="K83" s="300">
        <v>491.64</v>
      </c>
      <c r="L83" s="299">
        <v>15183.9</v>
      </c>
      <c r="M83" s="104">
        <v>36025.39</v>
      </c>
      <c r="N83" s="618">
        <v>38660.869999999995</v>
      </c>
      <c r="O83" s="145"/>
      <c r="P83" s="437"/>
      <c r="Q83" s="86"/>
      <c r="R83" s="86"/>
    </row>
    <row r="84" spans="1:26">
      <c r="A84" s="339"/>
      <c r="B84" s="199"/>
      <c r="C84" s="1"/>
      <c r="D84" s="273"/>
      <c r="E84" s="366"/>
      <c r="F84" s="366"/>
      <c r="G84" s="366"/>
      <c r="H84" s="379" t="s">
        <v>211</v>
      </c>
      <c r="I84" s="689">
        <v>11425.189999999999</v>
      </c>
      <c r="J84" s="438">
        <v>232.2</v>
      </c>
      <c r="K84" s="694">
        <v>262</v>
      </c>
      <c r="L84" s="606">
        <v>11864.4</v>
      </c>
      <c r="M84" s="104">
        <f>M83-I84-J84-K84+L84</f>
        <v>35970.400000000001</v>
      </c>
      <c r="N84" s="1"/>
      <c r="O84" s="366"/>
      <c r="P84" s="437"/>
      <c r="Q84" s="86"/>
      <c r="R84" s="86"/>
      <c r="V84" s="1"/>
    </row>
    <row r="85" spans="1:26">
      <c r="A85" s="339"/>
      <c r="B85" s="199"/>
      <c r="C85" s="1"/>
      <c r="D85" s="273"/>
      <c r="E85" s="366"/>
      <c r="F85" s="366"/>
      <c r="G85" s="366"/>
      <c r="H85" s="347" t="s">
        <v>9</v>
      </c>
      <c r="I85" s="689">
        <v>13612.520000000002</v>
      </c>
      <c r="J85" s="438">
        <f>19+42+25.5+33+4+25+7.5+18+170+1+9+37.5+2+1.4</f>
        <v>394.9</v>
      </c>
      <c r="K85" s="694">
        <f>112.8+296.38+33.5</f>
        <v>442.68</v>
      </c>
      <c r="L85" s="607">
        <f>14352+1353+311+316+73+278</f>
        <v>16683</v>
      </c>
      <c r="M85" s="738">
        <v>37929.35</v>
      </c>
      <c r="N85" s="722" t="s">
        <v>326</v>
      </c>
      <c r="O85" s="723"/>
      <c r="P85" s="437"/>
      <c r="Q85" s="703"/>
      <c r="R85" s="86"/>
      <c r="V85" s="1"/>
    </row>
    <row r="86" spans="1:26">
      <c r="A86" s="339"/>
      <c r="B86" s="199"/>
      <c r="C86" s="1"/>
      <c r="D86" s="273"/>
      <c r="E86" s="366"/>
      <c r="F86" s="366"/>
      <c r="G86" s="366"/>
      <c r="H86" s="347" t="s">
        <v>18</v>
      </c>
      <c r="I86" s="689">
        <v>14474.099999999999</v>
      </c>
      <c r="J86" s="438">
        <v>947.5</v>
      </c>
      <c r="K86" s="694">
        <v>526.15</v>
      </c>
      <c r="L86" s="607">
        <v>19238.8</v>
      </c>
      <c r="M86" s="104">
        <f>M85-I86-J86-K86+L86</f>
        <v>41220.399999999994</v>
      </c>
      <c r="N86" s="84"/>
      <c r="O86" s="366"/>
      <c r="P86" s="437"/>
      <c r="Q86" s="703"/>
      <c r="R86" s="86"/>
      <c r="V86" s="1"/>
    </row>
    <row r="87" spans="1:26">
      <c r="A87" s="339"/>
      <c r="B87" s="199"/>
      <c r="C87" s="1"/>
      <c r="D87" s="273"/>
      <c r="E87" s="366"/>
      <c r="F87" s="366"/>
      <c r="G87" s="366"/>
      <c r="H87" s="379" t="s">
        <v>19</v>
      </c>
      <c r="I87" s="621">
        <v>17170.439999999999</v>
      </c>
      <c r="J87" s="432">
        <v>3911.3</v>
      </c>
      <c r="K87" s="648">
        <f>21.5+122.1+41.6+353.89+95.92+8.2</f>
        <v>643.20999999999992</v>
      </c>
      <c r="L87" s="621">
        <f>660+513.5+514+683.5+535+212+2085+763+334+208+378+75+60+44+972+347+1461+81+303+363+12+44+73+133+667+281+234+225+789+767+1661+682+2828+477.5+365+873.5+390+553</f>
        <v>21647</v>
      </c>
      <c r="M87" s="104">
        <f>M86-I87-J87-K87+L87</f>
        <v>41142.449999999997</v>
      </c>
      <c r="N87" s="84"/>
      <c r="O87" s="366"/>
      <c r="P87" s="437"/>
      <c r="Q87" s="703"/>
      <c r="R87" s="86"/>
      <c r="V87" s="1"/>
    </row>
    <row r="88" spans="1:26">
      <c r="A88" s="339"/>
      <c r="B88" s="199"/>
      <c r="C88" s="1"/>
      <c r="D88" s="273"/>
      <c r="E88" s="366"/>
      <c r="F88" s="366"/>
      <c r="G88" s="366"/>
      <c r="H88" s="347" t="s">
        <v>20</v>
      </c>
      <c r="I88" s="689">
        <v>17084.789999999997</v>
      </c>
      <c r="J88" s="438">
        <v>1384.5</v>
      </c>
      <c r="K88" s="694">
        <f>231.74+381.32</f>
        <v>613.05999999999995</v>
      </c>
      <c r="L88" s="689">
        <f>861.5+275+194+301.5+390+1883.5+794+563+1402.5+380+670+229.5+35+275+150.5+18+76+68+310+1078+448+706+130+132+120+2048+130.5+296+608+1835+355+214.5+280+60+684+606</f>
        <v>18608</v>
      </c>
      <c r="M88" s="733">
        <v>43441.55</v>
      </c>
      <c r="N88" s="84"/>
      <c r="O88" s="366"/>
      <c r="P88" s="646"/>
      <c r="Q88" s="703"/>
      <c r="R88" s="86">
        <v>2</v>
      </c>
      <c r="T88" s="35">
        <v>3</v>
      </c>
      <c r="V88" s="1"/>
    </row>
    <row r="89" spans="1:26" ht="15.75" thickBot="1">
      <c r="A89" s="339"/>
      <c r="B89" s="199"/>
      <c r="C89" s="1"/>
      <c r="D89" s="273"/>
      <c r="E89" s="366"/>
      <c r="F89" s="366"/>
      <c r="G89" s="366"/>
      <c r="H89" s="379" t="s">
        <v>148</v>
      </c>
      <c r="I89" s="621">
        <v>16010.099999999999</v>
      </c>
      <c r="J89" s="432">
        <f>16+65+35+15+24+192+4.6+315+19+6+29+4+35+35+15+160</f>
        <v>969.6</v>
      </c>
      <c r="K89" s="648">
        <f>318.55+297.05</f>
        <v>615.6</v>
      </c>
      <c r="L89" s="621">
        <f>2329.5+560+1456+491+2680+2008+1170+1743+283+1122+2144+623+348+597.5+612+1914+48.5+1270+194+20+375+514.5+108+1502+669+441+33+712+828+1156+829+50</f>
        <v>28831</v>
      </c>
      <c r="M89" s="382">
        <f>M88-I89-J89-K89+L89</f>
        <v>54677.250000000007</v>
      </c>
      <c r="N89" s="84"/>
      <c r="O89" s="366"/>
      <c r="P89" s="646"/>
      <c r="Q89" s="703"/>
      <c r="R89" s="86"/>
      <c r="V89" s="1"/>
    </row>
    <row r="90" spans="1:26" ht="14.25" customHeight="1">
      <c r="A90" s="339"/>
      <c r="B90" s="199"/>
      <c r="C90" s="1"/>
      <c r="D90" s="273"/>
      <c r="E90" s="84"/>
      <c r="F90" s="366"/>
      <c r="G90" s="366"/>
      <c r="H90" s="1307" t="s">
        <v>36</v>
      </c>
      <c r="I90" s="1309" t="s">
        <v>178</v>
      </c>
      <c r="J90" s="1310"/>
      <c r="K90" s="1311"/>
      <c r="L90" s="1312" t="s">
        <v>159</v>
      </c>
      <c r="M90" s="1313"/>
      <c r="N90" s="1"/>
      <c r="O90" s="84"/>
      <c r="P90" s="437"/>
      <c r="Q90" s="86"/>
      <c r="R90" s="86" t="s">
        <v>375</v>
      </c>
      <c r="T90" s="35" t="s">
        <v>378</v>
      </c>
      <c r="V90" s="1"/>
    </row>
    <row r="91" spans="1:26">
      <c r="A91" s="339"/>
      <c r="B91" s="199"/>
      <c r="C91" s="284"/>
      <c r="D91" s="273"/>
      <c r="E91" s="284"/>
      <c r="F91" s="366"/>
      <c r="G91" s="378"/>
      <c r="H91" s="1308"/>
      <c r="I91" s="1153"/>
      <c r="J91" s="1154"/>
      <c r="K91" s="1155"/>
      <c r="L91" s="1158"/>
      <c r="M91" s="1314"/>
      <c r="N91" s="1"/>
      <c r="O91" s="84"/>
      <c r="P91" s="646"/>
      <c r="Q91" s="86"/>
      <c r="R91" s="366" t="s">
        <v>376</v>
      </c>
      <c r="S91" s="1"/>
      <c r="T91" s="35" t="s">
        <v>379</v>
      </c>
      <c r="V91" s="1"/>
      <c r="W91" s="1"/>
      <c r="X91" s="1"/>
      <c r="Y91" s="1"/>
    </row>
    <row r="92" spans="1:26">
      <c r="A92" s="339"/>
      <c r="B92" s="199"/>
      <c r="C92" s="199"/>
      <c r="D92" s="273"/>
      <c r="E92" s="199"/>
      <c r="F92" s="366"/>
      <c r="G92" s="378"/>
      <c r="H92" s="956" t="s">
        <v>91</v>
      </c>
      <c r="I92" s="1160" t="s">
        <v>47</v>
      </c>
      <c r="J92" s="1160"/>
      <c r="K92" s="953">
        <v>32.81</v>
      </c>
      <c r="L92" s="282">
        <v>44058</v>
      </c>
      <c r="M92" s="111" t="s">
        <v>104</v>
      </c>
      <c r="O92" s="366"/>
      <c r="P92" s="646"/>
      <c r="Q92" s="86"/>
      <c r="R92" s="366" t="s">
        <v>377</v>
      </c>
      <c r="S92" s="1"/>
      <c r="T92" s="1" t="s">
        <v>380</v>
      </c>
      <c r="V92" s="282"/>
      <c r="W92" s="1"/>
      <c r="X92" s="1"/>
      <c r="Y92" s="1"/>
    </row>
    <row r="93" spans="1:26">
      <c r="A93" s="339"/>
      <c r="B93" s="366"/>
      <c r="C93" s="274"/>
      <c r="D93" s="273"/>
      <c r="E93" s="274"/>
      <c r="F93" s="366"/>
      <c r="G93" s="366"/>
      <c r="H93" s="956" t="s">
        <v>381</v>
      </c>
      <c r="I93" s="1161" t="s">
        <v>51</v>
      </c>
      <c r="J93" s="1161"/>
      <c r="K93" s="952">
        <v>0</v>
      </c>
      <c r="L93" s="282">
        <v>44058</v>
      </c>
      <c r="M93" s="111" t="s">
        <v>104</v>
      </c>
      <c r="N93" s="490"/>
      <c r="O93" s="366"/>
      <c r="P93" s="646"/>
      <c r="Q93" s="541"/>
      <c r="R93" s="86"/>
      <c r="S93" s="1"/>
      <c r="T93" s="1"/>
      <c r="V93" s="282"/>
      <c r="W93" s="1"/>
      <c r="X93" s="1"/>
      <c r="Y93" s="1"/>
    </row>
    <row r="94" spans="1:26">
      <c r="A94" s="340"/>
      <c r="B94" s="366"/>
      <c r="C94" s="366"/>
      <c r="D94" s="273"/>
      <c r="E94" s="199"/>
      <c r="F94" s="366"/>
      <c r="G94" s="366"/>
      <c r="H94" s="956" t="s">
        <v>91</v>
      </c>
      <c r="I94" s="1161" t="s">
        <v>52</v>
      </c>
      <c r="J94" s="1161"/>
      <c r="K94" s="952">
        <v>0.56000000000000005</v>
      </c>
      <c r="L94" s="282">
        <v>44058</v>
      </c>
      <c r="M94" s="111" t="s">
        <v>104</v>
      </c>
      <c r="O94" s="366"/>
      <c r="P94" s="646"/>
      <c r="Q94" s="86"/>
      <c r="R94" s="914"/>
      <c r="S94" s="1"/>
      <c r="T94" s="1"/>
      <c r="V94" s="282"/>
      <c r="W94" s="282"/>
      <c r="X94" s="282"/>
      <c r="Y94" s="1"/>
      <c r="Z94" s="1"/>
    </row>
    <row r="95" spans="1:26">
      <c r="A95" s="340"/>
      <c r="B95" s="366"/>
      <c r="C95" s="366"/>
      <c r="D95" s="273"/>
      <c r="E95" s="366"/>
      <c r="F95" s="366"/>
      <c r="G95" s="366"/>
      <c r="H95" s="956" t="s">
        <v>91</v>
      </c>
      <c r="I95" s="1262" t="s">
        <v>49</v>
      </c>
      <c r="J95" s="1262"/>
      <c r="K95" s="952">
        <v>89</v>
      </c>
      <c r="L95" s="294"/>
      <c r="M95" s="111" t="s">
        <v>160</v>
      </c>
      <c r="N95" s="35" t="s">
        <v>358</v>
      </c>
      <c r="O95" s="84"/>
      <c r="P95" s="646"/>
      <c r="Q95" s="366"/>
      <c r="R95" s="86"/>
      <c r="S95" s="1"/>
      <c r="T95" s="282"/>
      <c r="U95" s="1"/>
      <c r="V95" s="282"/>
      <c r="W95" s="282"/>
      <c r="X95" s="282"/>
      <c r="Y95" s="1"/>
      <c r="Z95" s="1"/>
    </row>
    <row r="96" spans="1:26">
      <c r="A96" s="340"/>
      <c r="B96" s="366"/>
      <c r="C96" s="366"/>
      <c r="D96" s="273"/>
      <c r="E96" s="366"/>
      <c r="F96" s="366"/>
      <c r="G96" s="366"/>
      <c r="H96" s="956" t="s">
        <v>91</v>
      </c>
      <c r="I96" s="1276" t="s">
        <v>59</v>
      </c>
      <c r="J96" s="1276"/>
      <c r="K96" s="954">
        <v>710.68</v>
      </c>
      <c r="L96" s="302" t="s">
        <v>177</v>
      </c>
      <c r="M96" s="111" t="s">
        <v>104</v>
      </c>
      <c r="N96" s="490"/>
      <c r="O96" s="84" t="s">
        <v>359</v>
      </c>
      <c r="P96" s="646"/>
      <c r="Q96" s="479"/>
      <c r="R96" s="914"/>
      <c r="S96" s="1"/>
      <c r="T96" s="282"/>
      <c r="U96" s="1"/>
      <c r="V96" s="1"/>
      <c r="W96" s="282"/>
      <c r="X96" s="282"/>
      <c r="Y96" s="1"/>
      <c r="Z96" s="1"/>
    </row>
    <row r="97" spans="1:26">
      <c r="A97" s="340"/>
      <c r="B97" s="199"/>
      <c r="C97" s="199"/>
      <c r="D97" s="273"/>
      <c r="E97" s="199"/>
      <c r="F97" s="366"/>
      <c r="G97" s="366"/>
      <c r="H97" s="956" t="s">
        <v>91</v>
      </c>
      <c r="I97" s="1264" t="s">
        <v>68</v>
      </c>
      <c r="J97" s="1265"/>
      <c r="K97" s="952">
        <v>55.94</v>
      </c>
      <c r="L97" s="282">
        <v>44063</v>
      </c>
      <c r="M97" s="111" t="s">
        <v>104</v>
      </c>
      <c r="O97" s="366"/>
      <c r="P97" s="437"/>
      <c r="Q97" s="366"/>
      <c r="R97" s="914"/>
      <c r="S97" s="1"/>
      <c r="T97" s="282"/>
      <c r="U97" s="1"/>
      <c r="V97" s="282"/>
      <c r="W97" s="282"/>
      <c r="X97" s="282"/>
      <c r="Y97" s="1"/>
      <c r="Z97" s="1"/>
    </row>
    <row r="98" spans="1:26">
      <c r="A98" s="340"/>
      <c r="B98" s="199"/>
      <c r="C98" s="366"/>
      <c r="D98" s="273"/>
      <c r="E98" s="199"/>
      <c r="F98" s="366"/>
      <c r="G98" s="366"/>
      <c r="H98" s="956" t="s">
        <v>381</v>
      </c>
      <c r="I98" s="1264" t="s">
        <v>174</v>
      </c>
      <c r="J98" s="1265"/>
      <c r="K98" s="952">
        <v>257.08999999999997</v>
      </c>
      <c r="L98" s="282">
        <v>44058</v>
      </c>
      <c r="M98" s="111" t="s">
        <v>104</v>
      </c>
      <c r="O98" s="84"/>
      <c r="P98" s="86"/>
      <c r="Q98" s="366"/>
      <c r="R98" s="914"/>
      <c r="S98" s="914"/>
      <c r="T98" s="282"/>
      <c r="U98" s="282"/>
      <c r="V98" s="282"/>
      <c r="W98" s="1"/>
      <c r="X98" s="1"/>
      <c r="Y98" s="1"/>
      <c r="Z98" s="1"/>
    </row>
    <row r="99" spans="1:26">
      <c r="A99" s="340"/>
      <c r="B99" s="199"/>
      <c r="C99" s="366"/>
      <c r="D99" s="273"/>
      <c r="E99" s="199"/>
      <c r="F99" s="366"/>
      <c r="G99" s="366"/>
      <c r="H99" s="957" t="s">
        <v>241</v>
      </c>
      <c r="I99" s="945" t="s">
        <v>176</v>
      </c>
      <c r="J99" s="946"/>
      <c r="K99" s="952" t="s">
        <v>258</v>
      </c>
      <c r="L99" s="282">
        <v>44063</v>
      </c>
      <c r="M99" s="111" t="s">
        <v>104</v>
      </c>
      <c r="O99" s="84"/>
      <c r="P99" s="86"/>
      <c r="Q99" s="366"/>
      <c r="R99" s="483">
        <v>861.5</v>
      </c>
      <c r="S99" s="150"/>
      <c r="T99" s="1"/>
      <c r="U99" s="282"/>
      <c r="V99" s="282"/>
      <c r="W99" s="282"/>
      <c r="X99" s="282"/>
      <c r="Y99" s="1"/>
      <c r="Z99" s="1"/>
    </row>
    <row r="100" spans="1:26">
      <c r="A100" s="340"/>
      <c r="B100" s="199"/>
      <c r="C100" s="366"/>
      <c r="D100" s="273"/>
      <c r="E100" s="232"/>
      <c r="F100" s="366"/>
      <c r="G100" s="366"/>
      <c r="H100" s="956" t="s">
        <v>91</v>
      </c>
      <c r="I100" s="1264" t="s">
        <v>81</v>
      </c>
      <c r="J100" s="1265"/>
      <c r="K100" s="952">
        <v>791.7</v>
      </c>
      <c r="L100" s="282">
        <v>44053</v>
      </c>
      <c r="M100" s="111" t="s">
        <v>104</v>
      </c>
      <c r="O100" s="84"/>
      <c r="P100" s="86"/>
      <c r="Q100" s="483"/>
      <c r="R100" s="365">
        <v>275</v>
      </c>
      <c r="S100" s="150"/>
      <c r="T100" s="282"/>
      <c r="U100" s="282"/>
      <c r="V100" s="282"/>
      <c r="W100" s="282"/>
      <c r="X100" s="282"/>
      <c r="Y100" s="366"/>
      <c r="Z100" s="1"/>
    </row>
    <row r="101" spans="1:26">
      <c r="A101" s="340"/>
      <c r="B101" s="199"/>
      <c r="C101" s="366"/>
      <c r="D101" s="273"/>
      <c r="E101" s="232"/>
      <c r="F101" s="366"/>
      <c r="G101" s="366"/>
      <c r="H101" s="956" t="s">
        <v>381</v>
      </c>
      <c r="I101" s="1264" t="s">
        <v>53</v>
      </c>
      <c r="J101" s="1265"/>
      <c r="K101" s="454">
        <v>10</v>
      </c>
      <c r="L101" s="282">
        <v>44058</v>
      </c>
      <c r="M101" s="111" t="s">
        <v>104</v>
      </c>
      <c r="N101" s="490"/>
      <c r="O101" s="84"/>
      <c r="P101" s="86"/>
      <c r="Q101" s="914"/>
      <c r="R101" s="86">
        <v>194</v>
      </c>
      <c r="S101" s="1"/>
      <c r="T101" s="282"/>
      <c r="U101" s="282"/>
      <c r="V101" s="282"/>
      <c r="W101" s="282"/>
      <c r="X101" s="282"/>
      <c r="Y101" s="366"/>
      <c r="Z101" s="1"/>
    </row>
    <row r="102" spans="1:26">
      <c r="A102" s="340"/>
      <c r="B102" s="199"/>
      <c r="C102" s="366"/>
      <c r="D102" s="273"/>
      <c r="E102" s="232"/>
      <c r="F102" s="366"/>
      <c r="G102" s="366"/>
      <c r="H102" s="956" t="s">
        <v>91</v>
      </c>
      <c r="I102" s="1263" t="s">
        <v>276</v>
      </c>
      <c r="J102" s="1263"/>
      <c r="K102" s="637">
        <v>100</v>
      </c>
      <c r="L102" s="282">
        <v>44073</v>
      </c>
      <c r="M102" s="111" t="s">
        <v>104</v>
      </c>
      <c r="O102" s="84"/>
      <c r="P102" s="86"/>
      <c r="Q102" s="914"/>
      <c r="R102" s="86">
        <v>301.5</v>
      </c>
      <c r="S102" s="366"/>
      <c r="T102" s="282"/>
      <c r="U102" s="282"/>
      <c r="V102" s="282"/>
      <c r="W102" s="282"/>
      <c r="X102" s="282"/>
      <c r="Y102" s="1"/>
      <c r="Z102" s="1"/>
    </row>
    <row r="103" spans="1:26">
      <c r="A103" s="340"/>
      <c r="B103" s="199"/>
      <c r="C103" s="366"/>
      <c r="D103" s="273"/>
      <c r="E103" s="232"/>
      <c r="F103" s="366"/>
      <c r="G103" s="366"/>
      <c r="H103" s="956" t="s">
        <v>91</v>
      </c>
      <c r="I103" s="1263" t="s">
        <v>296</v>
      </c>
      <c r="J103" s="1263"/>
      <c r="K103" s="637">
        <v>9</v>
      </c>
      <c r="L103" s="282">
        <v>44058</v>
      </c>
      <c r="M103" s="111" t="s">
        <v>104</v>
      </c>
      <c r="O103" s="84"/>
      <c r="P103" s="86"/>
      <c r="Q103" s="914"/>
      <c r="R103" s="86">
        <v>390</v>
      </c>
      <c r="S103" s="366"/>
      <c r="T103" s="282"/>
      <c r="U103" s="282"/>
      <c r="V103" s="282"/>
      <c r="W103" s="282"/>
      <c r="X103" s="282"/>
      <c r="Y103" s="1"/>
      <c r="Z103" s="1"/>
    </row>
    <row r="104" spans="1:26">
      <c r="A104" s="340"/>
      <c r="B104" s="199"/>
      <c r="C104" s="366"/>
      <c r="D104" s="273"/>
      <c r="E104" s="232"/>
      <c r="F104" s="366"/>
      <c r="G104" s="366"/>
      <c r="H104" s="956" t="s">
        <v>91</v>
      </c>
      <c r="I104" s="1143" t="s">
        <v>345</v>
      </c>
      <c r="J104" s="1144"/>
      <c r="K104" s="637">
        <f>1263.09-K98</f>
        <v>1006</v>
      </c>
      <c r="L104" s="282">
        <v>44073</v>
      </c>
      <c r="M104" s="111" t="s">
        <v>104</v>
      </c>
      <c r="O104" s="84"/>
      <c r="P104" s="86"/>
      <c r="Q104" s="914"/>
      <c r="R104" s="86">
        <v>1883.5</v>
      </c>
      <c r="S104" s="366"/>
      <c r="T104" s="282"/>
      <c r="U104" s="282"/>
      <c r="V104" s="282"/>
      <c r="W104" s="282"/>
      <c r="X104" s="282"/>
      <c r="Y104" s="1"/>
      <c r="Z104" s="1"/>
    </row>
    <row r="105" spans="1:26" ht="15.75" thickBot="1">
      <c r="A105" s="341"/>
      <c r="B105" s="330"/>
      <c r="C105" s="331"/>
      <c r="D105" s="342"/>
      <c r="E105" s="330"/>
      <c r="F105" s="331"/>
      <c r="G105" s="331"/>
      <c r="H105" s="1304" t="s">
        <v>179</v>
      </c>
      <c r="I105" s="1305"/>
      <c r="J105" s="958">
        <f>SUM(K92:K104)</f>
        <v>3062.7799999999997</v>
      </c>
      <c r="K105" s="1306" t="s">
        <v>180</v>
      </c>
      <c r="L105" s="1306"/>
      <c r="M105" s="959">
        <v>0</v>
      </c>
      <c r="O105" s="84"/>
      <c r="P105" s="86"/>
      <c r="Q105" s="914"/>
      <c r="R105" s="365">
        <v>794</v>
      </c>
      <c r="S105" s="366"/>
      <c r="T105" s="282"/>
      <c r="U105" s="282"/>
      <c r="V105" s="1"/>
      <c r="W105" s="282"/>
      <c r="X105" s="282"/>
      <c r="Y105" s="1"/>
      <c r="Z105" s="1"/>
    </row>
    <row r="106" spans="1:26" ht="15.75" thickTop="1">
      <c r="C106" s="491"/>
      <c r="D106" s="491"/>
      <c r="O106" s="84"/>
      <c r="P106" s="86"/>
      <c r="Q106" s="914"/>
      <c r="R106" s="365">
        <v>563</v>
      </c>
      <c r="S106" s="366"/>
      <c r="T106" s="282"/>
      <c r="U106" s="282"/>
      <c r="V106" s="1"/>
      <c r="W106" s="282"/>
      <c r="X106" s="282"/>
      <c r="Y106" s="1"/>
      <c r="Z106" s="1"/>
    </row>
    <row r="107" spans="1:26" ht="15" customHeight="1">
      <c r="A107" s="1163" t="s">
        <v>386</v>
      </c>
      <c r="B107" s="1163"/>
      <c r="C107" s="1163"/>
      <c r="D107" s="1163"/>
      <c r="E107" s="1163"/>
      <c r="F107" s="1163"/>
      <c r="G107" s="1163"/>
      <c r="H107" s="1163"/>
      <c r="I107" s="1163"/>
      <c r="J107" s="1163"/>
      <c r="K107" s="1163"/>
      <c r="L107" s="1163"/>
      <c r="M107" s="1163"/>
      <c r="O107" s="84"/>
      <c r="P107" s="86"/>
      <c r="Q107" s="914"/>
      <c r="R107" s="366">
        <v>1402.5</v>
      </c>
      <c r="S107" s="1"/>
      <c r="T107" s="282"/>
      <c r="U107" s="282"/>
      <c r="V107" s="1"/>
      <c r="W107" s="1"/>
      <c r="X107" s="1"/>
      <c r="Y107" s="1"/>
      <c r="Z107" s="1"/>
    </row>
    <row r="108" spans="1:26" ht="15.75" customHeight="1" thickBot="1">
      <c r="A108" s="1164"/>
      <c r="B108" s="1164"/>
      <c r="C108" s="1164"/>
      <c r="D108" s="1164"/>
      <c r="E108" s="1164"/>
      <c r="F108" s="1164"/>
      <c r="G108" s="1164"/>
      <c r="H108" s="1164"/>
      <c r="I108" s="1164"/>
      <c r="J108" s="1164"/>
      <c r="K108" s="1164"/>
      <c r="L108" s="1164"/>
      <c r="M108" s="1164"/>
      <c r="O108" s="84"/>
      <c r="P108" s="86"/>
      <c r="Q108" s="914"/>
      <c r="R108" s="366">
        <v>380</v>
      </c>
      <c r="S108" s="1"/>
      <c r="T108" s="1"/>
      <c r="U108" s="282"/>
      <c r="V108" s="1"/>
      <c r="W108" s="1"/>
      <c r="X108" s="1"/>
      <c r="Y108" s="1"/>
      <c r="Z108" s="1"/>
    </row>
    <row r="109" spans="1:26" ht="15.75" thickTop="1">
      <c r="A109" s="1301" t="s">
        <v>43</v>
      </c>
      <c r="B109" s="1268"/>
      <c r="C109" s="1268"/>
      <c r="D109" s="1268"/>
      <c r="E109" s="1268"/>
      <c r="F109" s="1302"/>
      <c r="G109" s="323"/>
      <c r="O109" s="84"/>
      <c r="P109" s="86"/>
      <c r="Q109" s="647"/>
      <c r="R109" s="366">
        <v>670</v>
      </c>
      <c r="S109" s="1"/>
      <c r="T109" s="1"/>
      <c r="U109" s="282"/>
      <c r="V109" s="1"/>
      <c r="W109" s="1"/>
      <c r="X109" s="1"/>
      <c r="Y109" s="1"/>
      <c r="Z109" s="1"/>
    </row>
    <row r="110" spans="1:26">
      <c r="A110" s="1213" t="s">
        <v>342</v>
      </c>
      <c r="B110" s="1214"/>
      <c r="C110" s="913" t="s">
        <v>35</v>
      </c>
      <c r="D110" s="913" t="s">
        <v>38</v>
      </c>
      <c r="E110" s="913" t="s">
        <v>42</v>
      </c>
      <c r="F110" s="913" t="s">
        <v>44</v>
      </c>
      <c r="G110" s="1"/>
      <c r="O110" s="84"/>
      <c r="P110" s="86"/>
      <c r="Q110" s="914"/>
      <c r="R110" s="366">
        <v>229.5</v>
      </c>
      <c r="S110" s="1"/>
      <c r="T110" s="1"/>
      <c r="U110" s="1"/>
      <c r="W110" s="1"/>
      <c r="X110" s="1"/>
      <c r="Y110" s="1"/>
      <c r="Z110" s="1"/>
    </row>
    <row r="111" spans="1:26">
      <c r="A111" s="1290" t="s">
        <v>40</v>
      </c>
      <c r="B111" s="1271"/>
      <c r="C111" s="481">
        <v>1191.3800000000001</v>
      </c>
      <c r="D111" s="481">
        <v>1191.3800000000001</v>
      </c>
      <c r="E111" s="481">
        <v>0</v>
      </c>
      <c r="F111" s="3">
        <v>44095</v>
      </c>
      <c r="G111" s="1"/>
      <c r="O111" s="84"/>
      <c r="P111" s="86"/>
      <c r="Q111" s="914"/>
      <c r="R111" s="366">
        <v>35</v>
      </c>
      <c r="S111" s="1"/>
      <c r="T111" s="1"/>
      <c r="U111" s="1"/>
      <c r="W111" s="1"/>
      <c r="X111" s="1"/>
      <c r="Y111" s="1"/>
      <c r="Z111" s="1"/>
    </row>
    <row r="112" spans="1:26">
      <c r="A112" s="340"/>
      <c r="B112" s="366"/>
      <c r="C112" s="498">
        <f>SUM(C111:C111)</f>
        <v>1191.3800000000001</v>
      </c>
      <c r="D112" s="366"/>
      <c r="E112" s="84"/>
      <c r="F112" s="366" t="s">
        <v>394</v>
      </c>
      <c r="G112" s="1"/>
      <c r="K112" s="490"/>
      <c r="O112" s="84"/>
      <c r="P112" s="86"/>
      <c r="Q112" s="914"/>
      <c r="R112" s="366">
        <v>275</v>
      </c>
      <c r="T112" s="1"/>
      <c r="U112" s="1"/>
      <c r="Z112" s="1"/>
    </row>
    <row r="113" spans="1:26">
      <c r="A113" s="340"/>
      <c r="B113" s="366"/>
      <c r="C113" s="366"/>
      <c r="D113" s="366"/>
      <c r="E113" s="366"/>
      <c r="F113" s="366"/>
      <c r="G113" s="1"/>
      <c r="O113" s="84"/>
      <c r="P113" s="86"/>
      <c r="Q113" s="914"/>
      <c r="R113" s="366">
        <v>150.5</v>
      </c>
      <c r="U113" s="1"/>
      <c r="Z113" s="1"/>
    </row>
    <row r="114" spans="1:26">
      <c r="A114" s="340"/>
      <c r="B114" s="366"/>
      <c r="C114" s="366"/>
      <c r="D114" s="366"/>
      <c r="E114" s="366"/>
      <c r="F114" s="366"/>
      <c r="G114" s="1"/>
      <c r="M114" s="490"/>
      <c r="O114" s="84"/>
      <c r="P114" s="86"/>
      <c r="Q114" s="914"/>
      <c r="R114" s="366">
        <v>18</v>
      </c>
      <c r="U114" s="1"/>
      <c r="Z114" s="1"/>
    </row>
    <row r="115" spans="1:26">
      <c r="A115" s="340"/>
      <c r="B115" s="366"/>
      <c r="C115" s="366"/>
      <c r="D115" s="366"/>
      <c r="E115" s="366"/>
      <c r="F115" s="366"/>
      <c r="G115" s="1"/>
      <c r="O115" s="84"/>
      <c r="P115" s="86"/>
      <c r="Q115" s="914"/>
      <c r="R115" s="366">
        <v>76</v>
      </c>
      <c r="U115" s="1"/>
    </row>
    <row r="116" spans="1:26">
      <c r="A116" s="43"/>
      <c r="B116" s="1"/>
      <c r="C116" s="366"/>
      <c r="D116" s="1"/>
      <c r="E116" s="1"/>
      <c r="F116" s="1"/>
      <c r="G116" s="1"/>
      <c r="M116" s="1"/>
      <c r="O116" s="84"/>
      <c r="P116" s="86"/>
      <c r="Q116" s="914"/>
      <c r="R116" s="366">
        <v>68</v>
      </c>
    </row>
    <row r="117" spans="1:26">
      <c r="A117" s="43"/>
      <c r="B117" s="1"/>
      <c r="C117" s="366"/>
      <c r="D117" s="1"/>
      <c r="E117" s="1"/>
      <c r="F117" s="1"/>
      <c r="G117" s="1"/>
      <c r="M117" s="1"/>
      <c r="O117" s="84"/>
      <c r="P117" s="86"/>
      <c r="Q117" s="914"/>
      <c r="R117" s="366">
        <v>310</v>
      </c>
    </row>
    <row r="118" spans="1:26">
      <c r="A118" s="43"/>
      <c r="B118" s="1"/>
      <c r="C118" s="366"/>
      <c r="D118" s="1"/>
      <c r="E118" s="1"/>
      <c r="F118" s="1"/>
      <c r="G118" s="1"/>
      <c r="M118" s="1"/>
      <c r="O118" s="84"/>
      <c r="P118" s="86"/>
      <c r="Q118" s="914"/>
      <c r="R118" s="366">
        <v>1078</v>
      </c>
    </row>
    <row r="119" spans="1:26">
      <c r="A119" s="43"/>
      <c r="B119" s="1"/>
      <c r="C119" s="366"/>
      <c r="D119" s="1"/>
      <c r="E119" s="1"/>
      <c r="F119" s="1"/>
      <c r="G119" s="1"/>
      <c r="M119" s="366"/>
      <c r="O119" s="84"/>
      <c r="P119" s="86"/>
      <c r="Q119" s="914"/>
      <c r="R119" s="366">
        <v>448</v>
      </c>
    </row>
    <row r="120" spans="1:26">
      <c r="A120" s="43"/>
      <c r="B120" s="1"/>
      <c r="C120" s="366"/>
      <c r="D120" s="1"/>
      <c r="E120" s="1"/>
      <c r="F120" s="1"/>
      <c r="G120" s="1"/>
      <c r="M120" s="366"/>
      <c r="O120" s="84"/>
      <c r="P120" s="86"/>
      <c r="Q120" s="914"/>
      <c r="R120" s="366">
        <v>706</v>
      </c>
    </row>
    <row r="121" spans="1:26">
      <c r="A121" s="43"/>
      <c r="B121" s="1"/>
      <c r="C121" s="366"/>
      <c r="D121" s="1"/>
      <c r="E121" s="1"/>
      <c r="F121" s="1"/>
      <c r="G121" s="1"/>
      <c r="M121" s="1"/>
      <c r="O121" s="84"/>
      <c r="P121" s="86"/>
      <c r="Q121" s="914"/>
      <c r="R121" s="366">
        <v>130</v>
      </c>
    </row>
    <row r="122" spans="1:26">
      <c r="A122" s="43"/>
      <c r="B122" s="1"/>
      <c r="C122" s="366"/>
      <c r="D122" s="1"/>
      <c r="E122" s="1"/>
      <c r="F122" s="1"/>
      <c r="G122" s="1"/>
      <c r="M122" s="1"/>
      <c r="O122" s="84"/>
      <c r="P122" s="86"/>
      <c r="Q122" s="914"/>
      <c r="R122" s="366">
        <v>132</v>
      </c>
    </row>
    <row r="123" spans="1:26">
      <c r="A123" s="43"/>
      <c r="B123" s="1"/>
      <c r="C123" s="366"/>
      <c r="D123" s="1"/>
      <c r="E123" s="1"/>
      <c r="F123" s="1"/>
      <c r="G123" s="1"/>
      <c r="M123" s="1"/>
      <c r="O123" s="84"/>
      <c r="P123" s="86"/>
      <c r="Q123" s="86"/>
      <c r="R123" s="366">
        <v>120</v>
      </c>
    </row>
    <row r="124" spans="1:26">
      <c r="A124" s="43"/>
      <c r="B124" s="1"/>
      <c r="C124" s="366"/>
      <c r="D124" s="1"/>
      <c r="E124" s="1"/>
      <c r="F124" s="1"/>
      <c r="G124" s="1"/>
      <c r="M124" s="1"/>
      <c r="O124" s="84"/>
      <c r="P124" s="86"/>
      <c r="Q124" s="86"/>
      <c r="R124" s="366">
        <v>2048</v>
      </c>
    </row>
    <row r="125" spans="1:26">
      <c r="A125" s="43"/>
      <c r="B125" s="1"/>
      <c r="C125" s="366"/>
      <c r="D125" s="1"/>
      <c r="E125" s="1"/>
      <c r="F125" s="1"/>
      <c r="G125" s="1"/>
      <c r="O125" s="84"/>
      <c r="P125" s="86"/>
      <c r="Q125" s="86"/>
      <c r="R125" s="366">
        <v>130.5</v>
      </c>
    </row>
    <row r="126" spans="1:26">
      <c r="A126" s="43"/>
      <c r="B126" s="1"/>
      <c r="C126" s="366"/>
      <c r="D126" s="1"/>
      <c r="E126" s="1"/>
      <c r="F126" s="1"/>
      <c r="G126" s="1"/>
      <c r="O126" s="84"/>
      <c r="P126" s="86"/>
      <c r="Q126" s="86"/>
      <c r="R126" s="366">
        <v>296</v>
      </c>
    </row>
    <row r="127" spans="1:26">
      <c r="C127" s="446"/>
      <c r="O127" s="84"/>
      <c r="P127" s="86"/>
      <c r="Q127" s="86"/>
      <c r="R127" s="366">
        <v>608</v>
      </c>
    </row>
    <row r="128" spans="1:26">
      <c r="A128" s="12"/>
      <c r="C128" s="446"/>
      <c r="O128" s="84"/>
      <c r="P128" s="86"/>
      <c r="Q128" s="86"/>
      <c r="R128" s="366">
        <v>1835</v>
      </c>
    </row>
    <row r="129" spans="1:26">
      <c r="C129" s="446"/>
      <c r="O129" s="84"/>
      <c r="R129" s="366">
        <v>355</v>
      </c>
    </row>
    <row r="130" spans="1:26" s="1" customFormat="1" ht="12.75" customHeight="1">
      <c r="A130" s="448"/>
      <c r="B130" s="199"/>
      <c r="D130" s="273"/>
      <c r="E130" s="366"/>
      <c r="F130" s="366"/>
      <c r="G130" s="366"/>
      <c r="H130" s="538"/>
      <c r="I130" s="902"/>
      <c r="J130" s="437"/>
      <c r="K130" s="605"/>
      <c r="L130" s="605"/>
      <c r="M130" s="436"/>
      <c r="O130" s="84"/>
      <c r="P130" s="84"/>
      <c r="Q130" s="145"/>
      <c r="R130" s="84">
        <v>214.5</v>
      </c>
      <c r="S130" s="84"/>
      <c r="T130" s="366"/>
      <c r="U130" s="366"/>
      <c r="V130" s="366"/>
      <c r="W130" s="366"/>
      <c r="X130" s="366"/>
      <c r="Y130" s="366"/>
      <c r="Z130" s="366"/>
    </row>
    <row r="131" spans="1:26">
      <c r="C131" s="446"/>
      <c r="O131" s="84"/>
      <c r="R131" s="366">
        <v>280</v>
      </c>
    </row>
    <row r="132" spans="1:26">
      <c r="C132" s="446"/>
      <c r="O132" s="150"/>
      <c r="R132" s="366">
        <v>60</v>
      </c>
    </row>
    <row r="133" spans="1:26">
      <c r="C133" s="446"/>
      <c r="R133" s="366">
        <v>684</v>
      </c>
    </row>
    <row r="134" spans="1:26">
      <c r="C134" s="446"/>
      <c r="R134" s="366">
        <v>606</v>
      </c>
    </row>
    <row r="135" spans="1:26">
      <c r="C135" s="446"/>
      <c r="R135" s="910">
        <f>SUM(R99:R134)</f>
        <v>18608</v>
      </c>
    </row>
    <row r="136" spans="1:26">
      <c r="C136" s="446"/>
    </row>
  </sheetData>
  <mergeCells count="131"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H36:H37"/>
    <mergeCell ref="I36:K37"/>
    <mergeCell ref="L36:M37"/>
    <mergeCell ref="I38:J38"/>
    <mergeCell ref="I39:J39"/>
    <mergeCell ref="I40:J40"/>
    <mergeCell ref="A20:B20"/>
    <mergeCell ref="H20:J20"/>
    <mergeCell ref="L20:M20"/>
    <mergeCell ref="H21:H22"/>
    <mergeCell ref="I21:I22"/>
    <mergeCell ref="J21:K21"/>
    <mergeCell ref="L21:L22"/>
    <mergeCell ref="M21:M22"/>
    <mergeCell ref="I49:J49"/>
    <mergeCell ref="I50:J50"/>
    <mergeCell ref="I51:J51"/>
    <mergeCell ref="I52:J52"/>
    <mergeCell ref="I53:J53"/>
    <mergeCell ref="H54:I54"/>
    <mergeCell ref="I41:J41"/>
    <mergeCell ref="I42:J42"/>
    <mergeCell ref="I43:J43"/>
    <mergeCell ref="I46:J46"/>
    <mergeCell ref="I47:J47"/>
    <mergeCell ref="I48:J48"/>
    <mergeCell ref="I60:J60"/>
    <mergeCell ref="L60:M60"/>
    <mergeCell ref="I61:J61"/>
    <mergeCell ref="L61:M61"/>
    <mergeCell ref="I62:J62"/>
    <mergeCell ref="L62:M62"/>
    <mergeCell ref="K54:L54"/>
    <mergeCell ref="H55:K55"/>
    <mergeCell ref="A56:M57"/>
    <mergeCell ref="A58:G58"/>
    <mergeCell ref="H58:M58"/>
    <mergeCell ref="I59:J59"/>
    <mergeCell ref="L59:M59"/>
    <mergeCell ref="I66:J66"/>
    <mergeCell ref="L66:M66"/>
    <mergeCell ref="I67:J67"/>
    <mergeCell ref="L67:M67"/>
    <mergeCell ref="I68:J68"/>
    <mergeCell ref="L68:M68"/>
    <mergeCell ref="I63:J63"/>
    <mergeCell ref="L63:M63"/>
    <mergeCell ref="I64:J64"/>
    <mergeCell ref="L64:M64"/>
    <mergeCell ref="I65:J65"/>
    <mergeCell ref="L65:M65"/>
    <mergeCell ref="I72:J72"/>
    <mergeCell ref="L72:M72"/>
    <mergeCell ref="I73:J73"/>
    <mergeCell ref="L73:M73"/>
    <mergeCell ref="I74:J74"/>
    <mergeCell ref="L74:M74"/>
    <mergeCell ref="I69:J69"/>
    <mergeCell ref="L69:M69"/>
    <mergeCell ref="I70:J70"/>
    <mergeCell ref="L70:M70"/>
    <mergeCell ref="I71:J71"/>
    <mergeCell ref="L71:M71"/>
    <mergeCell ref="I75:J75"/>
    <mergeCell ref="L75:M75"/>
    <mergeCell ref="A76:B76"/>
    <mergeCell ref="H76:J76"/>
    <mergeCell ref="L76:M76"/>
    <mergeCell ref="H77:H78"/>
    <mergeCell ref="I77:I78"/>
    <mergeCell ref="J77:K77"/>
    <mergeCell ref="L77:L78"/>
    <mergeCell ref="M77:M78"/>
    <mergeCell ref="I95:J95"/>
    <mergeCell ref="I96:J96"/>
    <mergeCell ref="I97:J97"/>
    <mergeCell ref="I98:J98"/>
    <mergeCell ref="I100:J100"/>
    <mergeCell ref="I101:J101"/>
    <mergeCell ref="H90:H91"/>
    <mergeCell ref="I90:K91"/>
    <mergeCell ref="L90:M91"/>
    <mergeCell ref="I92:J92"/>
    <mergeCell ref="I93:J93"/>
    <mergeCell ref="I94:J94"/>
    <mergeCell ref="A109:F109"/>
    <mergeCell ref="A110:B110"/>
    <mergeCell ref="A111:B111"/>
    <mergeCell ref="I102:J102"/>
    <mergeCell ref="I103:J103"/>
    <mergeCell ref="I104:J104"/>
    <mergeCell ref="H105:I105"/>
    <mergeCell ref="K105:L105"/>
    <mergeCell ref="A107:M108"/>
  </mergeCells>
  <printOptions horizontalCentered="1" verticalCentered="1"/>
  <pageMargins left="0" right="0" top="0" bottom="0" header="0" footer="0"/>
  <pageSetup paperSize="9" scale="8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6"/>
  <sheetViews>
    <sheetView zoomScale="115" zoomScaleNormal="115" zoomScaleSheetLayoutView="115" zoomScalePageLayoutView="70" workbookViewId="0">
      <pane xSplit="1" ySplit="1" topLeftCell="B31" activePane="bottomRight" state="frozen"/>
      <selection pane="topRight" activeCell="B1" sqref="B1"/>
      <selection pane="bottomLeft" activeCell="A4" sqref="A4"/>
      <selection pane="bottomRight" activeCell="F51" sqref="F51"/>
    </sheetView>
  </sheetViews>
  <sheetFormatPr defaultColWidth="9.140625" defaultRowHeight="15"/>
  <cols>
    <col min="1" max="1" width="12.7109375" style="35" customWidth="1"/>
    <col min="2" max="2" width="6" style="35" customWidth="1"/>
    <col min="3" max="3" width="19" style="35" customWidth="1"/>
    <col min="4" max="4" width="15.28515625" style="35" customWidth="1"/>
    <col min="5" max="5" width="15.5703125" style="35" customWidth="1"/>
    <col min="6" max="6" width="16.7109375" style="35" customWidth="1"/>
    <col min="7" max="7" width="17.5703125" style="35" customWidth="1"/>
    <col min="8" max="13" width="18.7109375" style="35" customWidth="1"/>
    <col min="14" max="16384" width="9.140625" style="35"/>
  </cols>
  <sheetData>
    <row r="1" spans="1:16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15" t="s">
        <v>191</v>
      </c>
      <c r="I1" s="463" t="s">
        <v>240</v>
      </c>
      <c r="J1" s="463" t="s">
        <v>371</v>
      </c>
      <c r="K1" s="463"/>
      <c r="L1" s="463"/>
    </row>
    <row r="2" spans="1:16" ht="11.1" customHeight="1">
      <c r="B2" s="16">
        <f>IF(C2="","",WEEKDAY(C2,2))</f>
        <v>2</v>
      </c>
      <c r="C2" s="17">
        <v>44075</v>
      </c>
      <c r="D2" s="757">
        <v>503.4</v>
      </c>
      <c r="E2" s="739"/>
      <c r="F2" s="873"/>
      <c r="G2" s="873">
        <v>405.5</v>
      </c>
      <c r="H2" s="921"/>
      <c r="I2" s="669"/>
      <c r="J2" s="463"/>
      <c r="K2" s="463"/>
      <c r="L2" s="463"/>
    </row>
    <row r="3" spans="1:16" ht="11.1" customHeight="1">
      <c r="B3" s="16">
        <f t="shared" ref="B3:B31" si="0">IF(C3="","",WEEKDAY(C3,2))</f>
        <v>3</v>
      </c>
      <c r="C3" s="17">
        <v>44076</v>
      </c>
      <c r="D3" s="757">
        <v>1054.8</v>
      </c>
      <c r="E3" s="22"/>
      <c r="F3" s="873">
        <v>533.1</v>
      </c>
      <c r="G3" s="873"/>
      <c r="H3" s="921"/>
      <c r="I3" s="670"/>
      <c r="J3" s="463"/>
      <c r="K3" s="463"/>
      <c r="L3" s="463"/>
    </row>
    <row r="4" spans="1:16" ht="11.1" customHeight="1">
      <c r="B4" s="16">
        <f t="shared" si="0"/>
        <v>4</v>
      </c>
      <c r="C4" s="17">
        <v>44077</v>
      </c>
      <c r="D4" s="757"/>
      <c r="E4" s="22">
        <v>398.8</v>
      </c>
      <c r="F4" s="873">
        <v>472</v>
      </c>
      <c r="G4" s="873"/>
      <c r="H4" s="921"/>
      <c r="I4" s="670"/>
      <c r="J4" s="463"/>
      <c r="K4" s="463"/>
      <c r="L4" s="463"/>
    </row>
    <row r="5" spans="1:16" ht="11.1" customHeight="1">
      <c r="B5" s="16">
        <f t="shared" si="0"/>
        <v>5</v>
      </c>
      <c r="C5" s="17">
        <v>44078</v>
      </c>
      <c r="D5" s="757"/>
      <c r="E5" s="757">
        <v>447</v>
      </c>
      <c r="F5" s="873"/>
      <c r="G5" s="873">
        <v>618.29999999999995</v>
      </c>
      <c r="H5" s="922"/>
      <c r="I5" s="85"/>
      <c r="J5" s="463"/>
      <c r="K5" s="463"/>
      <c r="L5" s="463"/>
    </row>
    <row r="6" spans="1:16" ht="11.1" customHeight="1">
      <c r="B6" s="16">
        <f t="shared" si="0"/>
        <v>6</v>
      </c>
      <c r="C6" s="17">
        <v>44079</v>
      </c>
      <c r="D6" s="757">
        <v>284.25</v>
      </c>
      <c r="E6" s="757">
        <v>26</v>
      </c>
      <c r="F6" s="873"/>
      <c r="G6" s="873">
        <v>616.9</v>
      </c>
      <c r="H6" s="922"/>
      <c r="I6" s="85"/>
      <c r="J6" s="463"/>
      <c r="K6" s="463"/>
      <c r="L6" s="463"/>
    </row>
    <row r="7" spans="1:16" ht="11.1" customHeight="1">
      <c r="B7" s="16">
        <f t="shared" si="0"/>
        <v>7</v>
      </c>
      <c r="C7" s="17">
        <v>44080</v>
      </c>
      <c r="D7" s="757">
        <v>592.5</v>
      </c>
      <c r="E7" s="757"/>
      <c r="F7" s="873">
        <v>286.5</v>
      </c>
      <c r="G7" s="873"/>
      <c r="H7" s="875"/>
      <c r="I7" s="85"/>
      <c r="J7" s="463"/>
      <c r="K7" s="463"/>
      <c r="L7" s="463"/>
    </row>
    <row r="8" spans="1:16" ht="11.1" customHeight="1">
      <c r="B8" s="16">
        <f t="shared" si="0"/>
        <v>1</v>
      </c>
      <c r="C8" s="17">
        <v>44081</v>
      </c>
      <c r="D8" s="757"/>
      <c r="E8" s="757">
        <v>350.7</v>
      </c>
      <c r="F8" s="873">
        <v>216.5</v>
      </c>
      <c r="G8" s="873"/>
      <c r="H8" s="885"/>
      <c r="I8" s="726"/>
      <c r="J8" s="463"/>
      <c r="K8" s="463"/>
      <c r="L8" s="463"/>
    </row>
    <row r="9" spans="1:16" ht="11.1" customHeight="1">
      <c r="B9" s="16">
        <f t="shared" si="0"/>
        <v>2</v>
      </c>
      <c r="C9" s="17">
        <v>44082</v>
      </c>
      <c r="D9" s="757"/>
      <c r="E9" s="757">
        <v>1151.5999999999999</v>
      </c>
      <c r="F9" s="873"/>
      <c r="G9" s="873">
        <v>539.4</v>
      </c>
      <c r="H9" s="18"/>
      <c r="I9" s="726"/>
      <c r="J9" s="463"/>
      <c r="K9" s="463"/>
      <c r="L9" s="463"/>
    </row>
    <row r="10" spans="1:16" ht="11.1" customHeight="1">
      <c r="B10" s="16">
        <f t="shared" si="0"/>
        <v>3</v>
      </c>
      <c r="C10" s="17">
        <v>44083</v>
      </c>
      <c r="D10" s="757">
        <v>639.20000000000005</v>
      </c>
      <c r="E10" s="757"/>
      <c r="F10" s="873"/>
      <c r="G10" s="873">
        <v>373.95</v>
      </c>
      <c r="H10" s="431"/>
      <c r="I10" s="726"/>
      <c r="J10" s="463"/>
      <c r="K10" s="463"/>
      <c r="L10" s="463"/>
    </row>
    <row r="11" spans="1:16" ht="11.1" customHeight="1">
      <c r="B11" s="16">
        <f t="shared" si="0"/>
        <v>4</v>
      </c>
      <c r="C11" s="17">
        <v>44084</v>
      </c>
      <c r="D11" s="757">
        <v>900.61</v>
      </c>
      <c r="E11" s="757">
        <v>45</v>
      </c>
      <c r="F11" s="873">
        <v>354</v>
      </c>
      <c r="G11" s="873"/>
      <c r="H11" s="226"/>
      <c r="I11" s="922"/>
      <c r="J11" s="463"/>
      <c r="K11" s="465"/>
      <c r="L11" s="463"/>
      <c r="N11" s="86"/>
      <c r="O11" s="86"/>
      <c r="P11" s="86"/>
    </row>
    <row r="12" spans="1:16" ht="11.1" customHeight="1">
      <c r="B12" s="16">
        <f t="shared" si="0"/>
        <v>5</v>
      </c>
      <c r="C12" s="17">
        <v>44085</v>
      </c>
      <c r="D12" s="757"/>
      <c r="E12" s="757">
        <v>838.51</v>
      </c>
      <c r="F12" s="873">
        <v>351.5</v>
      </c>
      <c r="G12" s="873"/>
      <c r="H12" s="226"/>
      <c r="I12" s="726"/>
      <c r="J12" s="463"/>
      <c r="K12" s="465"/>
      <c r="L12" s="463"/>
      <c r="N12" s="86"/>
      <c r="O12" s="86"/>
      <c r="P12" s="86"/>
    </row>
    <row r="13" spans="1:16" ht="11.1" customHeight="1">
      <c r="B13" s="16">
        <f t="shared" si="0"/>
        <v>6</v>
      </c>
      <c r="C13" s="17">
        <v>44086</v>
      </c>
      <c r="D13" s="757"/>
      <c r="E13" s="757">
        <v>961.15</v>
      </c>
      <c r="F13" s="873"/>
      <c r="G13" s="873">
        <v>452.9</v>
      </c>
      <c r="H13" s="226"/>
      <c r="I13" s="726"/>
      <c r="J13" s="463"/>
      <c r="K13" s="465"/>
      <c r="L13" s="463"/>
      <c r="N13" s="86"/>
      <c r="O13" s="86"/>
      <c r="P13" s="86"/>
    </row>
    <row r="14" spans="1:16" ht="11.1" customHeight="1">
      <c r="B14" s="16">
        <f t="shared" si="0"/>
        <v>7</v>
      </c>
      <c r="C14" s="17">
        <v>44087</v>
      </c>
      <c r="D14" s="757">
        <v>825</v>
      </c>
      <c r="E14" s="757">
        <v>10</v>
      </c>
      <c r="F14" s="873"/>
      <c r="G14" s="873">
        <f>503.4+136.5</f>
        <v>639.9</v>
      </c>
      <c r="H14" s="226"/>
      <c r="I14" s="726"/>
      <c r="J14" s="463"/>
      <c r="K14" s="465"/>
      <c r="L14" s="463"/>
      <c r="N14" s="86"/>
      <c r="O14" s="86"/>
      <c r="P14" s="86"/>
    </row>
    <row r="15" spans="1:16" ht="11.25" customHeight="1">
      <c r="A15" s="86"/>
      <c r="B15" s="16">
        <f t="shared" si="0"/>
        <v>1</v>
      </c>
      <c r="C15" s="17">
        <v>44088</v>
      </c>
      <c r="D15" s="757">
        <v>831</v>
      </c>
      <c r="E15" s="757"/>
      <c r="F15" s="873">
        <v>516</v>
      </c>
      <c r="G15" s="873"/>
      <c r="H15" s="922"/>
      <c r="I15" s="14"/>
      <c r="J15" s="463"/>
      <c r="K15" s="465"/>
      <c r="L15" s="463"/>
      <c r="N15" s="86"/>
      <c r="O15" s="86"/>
      <c r="P15" s="86"/>
    </row>
    <row r="16" spans="1:16" ht="12.75" customHeight="1">
      <c r="A16" s="86"/>
      <c r="B16" s="16">
        <f t="shared" si="0"/>
        <v>2</v>
      </c>
      <c r="C16" s="17">
        <v>44089</v>
      </c>
      <c r="D16" s="757"/>
      <c r="E16" s="757">
        <v>1261.8</v>
      </c>
      <c r="F16" s="873">
        <v>884.8</v>
      </c>
      <c r="G16" s="873"/>
      <c r="H16" s="885"/>
      <c r="I16" s="726"/>
      <c r="J16" s="463"/>
      <c r="K16" s="465"/>
      <c r="L16" s="465"/>
      <c r="M16" s="86"/>
      <c r="N16" s="86"/>
      <c r="O16" s="86"/>
      <c r="P16" s="86"/>
    </row>
    <row r="17" spans="1:16" ht="11.1" customHeight="1">
      <c r="A17" s="86"/>
      <c r="B17" s="16">
        <f t="shared" si="0"/>
        <v>3</v>
      </c>
      <c r="C17" s="17">
        <v>44090</v>
      </c>
      <c r="D17" s="757"/>
      <c r="E17" s="757">
        <f>1225.9+33</f>
        <v>1258.9000000000001</v>
      </c>
      <c r="F17" s="873"/>
      <c r="G17" s="873">
        <v>452.9</v>
      </c>
      <c r="H17" s="14"/>
      <c r="I17" s="726"/>
      <c r="J17" s="463"/>
      <c r="K17" s="465"/>
      <c r="L17" s="467"/>
      <c r="M17" s="86"/>
      <c r="N17" s="86"/>
      <c r="O17" s="86"/>
      <c r="P17" s="86"/>
    </row>
    <row r="18" spans="1:16" ht="11.1" customHeight="1">
      <c r="A18" s="86"/>
      <c r="B18" s="16">
        <f t="shared" si="0"/>
        <v>4</v>
      </c>
      <c r="C18" s="17">
        <v>44091</v>
      </c>
      <c r="D18" s="757">
        <v>991.9</v>
      </c>
      <c r="E18" s="739"/>
      <c r="F18" s="873"/>
      <c r="G18" s="873">
        <v>474.9</v>
      </c>
      <c r="H18" s="226"/>
      <c r="I18" s="726"/>
      <c r="J18" s="463"/>
      <c r="K18" s="465"/>
      <c r="L18" s="465"/>
      <c r="M18" s="86"/>
      <c r="N18" s="86"/>
      <c r="O18" s="86"/>
      <c r="P18" s="86"/>
    </row>
    <row r="19" spans="1:16" ht="11.1" customHeight="1">
      <c r="A19" s="86"/>
      <c r="B19" s="16">
        <f t="shared" si="0"/>
        <v>5</v>
      </c>
      <c r="C19" s="17">
        <v>44092</v>
      </c>
      <c r="D19" s="22">
        <v>983.2</v>
      </c>
      <c r="E19" s="22"/>
      <c r="F19" s="873">
        <v>850</v>
      </c>
      <c r="G19" s="873"/>
      <c r="H19" s="14"/>
      <c r="I19" s="726"/>
      <c r="J19" s="463"/>
      <c r="K19" s="465"/>
      <c r="L19" s="465"/>
      <c r="M19" s="86"/>
      <c r="N19" s="86"/>
      <c r="O19" s="86"/>
      <c r="P19" s="86"/>
    </row>
    <row r="20" spans="1:16" s="86" customFormat="1" ht="11.1" customHeight="1">
      <c r="A20" s="474"/>
      <c r="B20" s="16">
        <f t="shared" si="0"/>
        <v>6</v>
      </c>
      <c r="C20" s="17">
        <v>44093</v>
      </c>
      <c r="D20" s="22"/>
      <c r="E20" s="22">
        <v>1339.4</v>
      </c>
      <c r="F20" s="873">
        <v>837.5</v>
      </c>
      <c r="G20" s="873"/>
      <c r="H20" s="22"/>
      <c r="I20" s="727"/>
      <c r="J20" s="465"/>
      <c r="K20" s="465"/>
      <c r="L20" s="465"/>
    </row>
    <row r="21" spans="1:16" s="86" customFormat="1" ht="11.1" customHeight="1">
      <c r="B21" s="16">
        <f t="shared" si="0"/>
        <v>7</v>
      </c>
      <c r="C21" s="17">
        <v>44094</v>
      </c>
      <c r="D21" s="22"/>
      <c r="E21" s="22">
        <v>744</v>
      </c>
      <c r="F21" s="873"/>
      <c r="G21" s="873">
        <v>500.5</v>
      </c>
      <c r="H21" s="226"/>
      <c r="I21" s="727"/>
      <c r="J21" s="465"/>
      <c r="K21" s="465"/>
      <c r="L21" s="465"/>
    </row>
    <row r="22" spans="1:16" s="86" customFormat="1" ht="11.1" customHeight="1">
      <c r="B22" s="16">
        <f t="shared" si="0"/>
        <v>1</v>
      </c>
      <c r="C22" s="17">
        <v>44095</v>
      </c>
      <c r="D22" s="22">
        <v>1330.4</v>
      </c>
      <c r="E22" s="22"/>
      <c r="F22" s="873"/>
      <c r="G22" s="873">
        <v>637.04999999999995</v>
      </c>
      <c r="H22" s="226"/>
      <c r="I22" s="727"/>
      <c r="J22" s="465"/>
      <c r="K22" s="465"/>
      <c r="L22" s="465"/>
    </row>
    <row r="23" spans="1:16" s="86" customFormat="1" ht="11.1" customHeight="1">
      <c r="A23" s="888"/>
      <c r="B23" s="16">
        <f t="shared" si="0"/>
        <v>2</v>
      </c>
      <c r="C23" s="17">
        <v>44096</v>
      </c>
      <c r="D23" s="22">
        <v>819</v>
      </c>
      <c r="E23" s="22"/>
      <c r="F23" s="873">
        <v>374</v>
      </c>
      <c r="G23" s="873"/>
      <c r="H23" s="475"/>
      <c r="I23" s="727"/>
      <c r="J23" s="465"/>
      <c r="K23" s="465"/>
      <c r="L23" s="465"/>
    </row>
    <row r="24" spans="1:16" s="86" customFormat="1" ht="10.5" customHeight="1">
      <c r="A24" s="888"/>
      <c r="B24" s="16">
        <f t="shared" si="0"/>
        <v>3</v>
      </c>
      <c r="C24" s="17">
        <v>44097</v>
      </c>
      <c r="D24" s="22"/>
      <c r="E24" s="22">
        <v>553.85</v>
      </c>
      <c r="F24" s="873">
        <v>636.9</v>
      </c>
      <c r="G24" s="873"/>
      <c r="H24" s="226"/>
      <c r="I24" s="727"/>
      <c r="J24" s="465"/>
      <c r="K24" s="704"/>
      <c r="L24" s="465"/>
    </row>
    <row r="25" spans="1:16" s="86" customFormat="1" ht="11.1" customHeight="1">
      <c r="B25" s="16">
        <f t="shared" si="0"/>
        <v>4</v>
      </c>
      <c r="C25" s="17">
        <v>44098</v>
      </c>
      <c r="D25" s="22"/>
      <c r="E25" s="22">
        <v>1632.92</v>
      </c>
      <c r="F25" s="873"/>
      <c r="G25" s="873">
        <v>176.1</v>
      </c>
      <c r="H25" s="226"/>
      <c r="I25" s="727"/>
      <c r="J25" s="465"/>
      <c r="K25" s="465"/>
      <c r="L25" s="476"/>
    </row>
    <row r="26" spans="1:16" s="86" customFormat="1" ht="11.1" customHeight="1">
      <c r="B26" s="16">
        <f t="shared" si="0"/>
        <v>5</v>
      </c>
      <c r="C26" s="17">
        <v>44099</v>
      </c>
      <c r="D26" s="22">
        <v>1342.6</v>
      </c>
      <c r="E26" s="22"/>
      <c r="F26" s="873"/>
      <c r="G26" s="873">
        <v>662.9</v>
      </c>
      <c r="H26" s="226"/>
      <c r="I26" s="727"/>
      <c r="J26" s="465"/>
      <c r="K26" s="465"/>
      <c r="L26" s="476"/>
    </row>
    <row r="27" spans="1:16" s="86" customFormat="1" ht="11.1" customHeight="1">
      <c r="B27" s="16">
        <f t="shared" si="0"/>
        <v>6</v>
      </c>
      <c r="C27" s="17">
        <v>44100</v>
      </c>
      <c r="D27" s="22">
        <v>1359.4</v>
      </c>
      <c r="E27" s="22">
        <v>28.5</v>
      </c>
      <c r="F27" s="873">
        <v>752.3</v>
      </c>
      <c r="G27" s="873"/>
      <c r="H27" s="226"/>
      <c r="I27" s="727"/>
      <c r="J27" s="468"/>
      <c r="K27" s="468"/>
      <c r="L27" s="468"/>
      <c r="M27" s="366"/>
      <c r="N27" s="366"/>
      <c r="O27" s="366"/>
      <c r="P27" s="366"/>
    </row>
    <row r="28" spans="1:16" s="86" customFormat="1" ht="10.5" customHeight="1">
      <c r="A28" s="474"/>
      <c r="B28" s="16">
        <f t="shared" si="0"/>
        <v>7</v>
      </c>
      <c r="C28" s="17">
        <v>44101</v>
      </c>
      <c r="D28" s="22"/>
      <c r="E28" s="22">
        <v>995.3</v>
      </c>
      <c r="F28" s="873">
        <v>993.2</v>
      </c>
      <c r="G28" s="873"/>
      <c r="H28" s="226"/>
      <c r="I28" s="727"/>
      <c r="J28" s="468"/>
      <c r="K28" s="468"/>
      <c r="L28" s="468"/>
      <c r="M28" s="366"/>
      <c r="N28" s="366"/>
      <c r="O28" s="366"/>
      <c r="P28" s="366"/>
    </row>
    <row r="29" spans="1:16" s="86" customFormat="1" ht="10.5" customHeight="1">
      <c r="B29" s="16">
        <f t="shared" si="0"/>
        <v>1</v>
      </c>
      <c r="C29" s="17">
        <v>44102</v>
      </c>
      <c r="D29" s="22"/>
      <c r="E29" s="22">
        <v>654.16999999999996</v>
      </c>
      <c r="F29" s="873"/>
      <c r="G29" s="873">
        <v>314.60000000000002</v>
      </c>
      <c r="H29" s="226"/>
      <c r="I29" s="727"/>
      <c r="J29" s="468"/>
      <c r="K29" s="466"/>
      <c r="L29" s="466"/>
      <c r="M29" s="366"/>
      <c r="N29" s="366"/>
      <c r="O29" s="366"/>
      <c r="P29" s="366"/>
    </row>
    <row r="30" spans="1:16" s="86" customFormat="1" ht="11.1" customHeight="1">
      <c r="B30" s="16">
        <f t="shared" si="0"/>
        <v>2</v>
      </c>
      <c r="C30" s="17">
        <v>44103</v>
      </c>
      <c r="D30" s="22">
        <v>716.9</v>
      </c>
      <c r="E30" s="22">
        <v>43.5</v>
      </c>
      <c r="F30" s="873"/>
      <c r="G30" s="873">
        <v>561.20000000000005</v>
      </c>
      <c r="H30" s="226"/>
      <c r="I30" s="727"/>
      <c r="J30" s="466"/>
      <c r="K30" s="468"/>
      <c r="L30" s="466"/>
      <c r="M30" s="366"/>
      <c r="N30" s="366"/>
      <c r="O30" s="366"/>
      <c r="P30" s="366"/>
    </row>
    <row r="31" spans="1:16" s="86" customFormat="1" ht="11.1" customHeight="1">
      <c r="A31" s="474"/>
      <c r="B31" s="24">
        <f t="shared" si="0"/>
        <v>3</v>
      </c>
      <c r="C31" s="925">
        <v>44104</v>
      </c>
      <c r="D31" s="228">
        <v>884.9</v>
      </c>
      <c r="E31" s="228"/>
      <c r="F31" s="926">
        <f>510.8+14</f>
        <v>524.79999999999995</v>
      </c>
      <c r="G31" s="926"/>
      <c r="H31" s="22"/>
      <c r="I31" s="728"/>
      <c r="J31" s="469"/>
      <c r="K31" s="469"/>
      <c r="L31" s="469"/>
      <c r="M31" s="366"/>
      <c r="N31" s="366"/>
      <c r="O31" s="366"/>
      <c r="P31" s="366"/>
    </row>
    <row r="32" spans="1:16" s="86" customFormat="1" ht="11.25" customHeight="1">
      <c r="A32" s="474"/>
      <c r="B32" s="28"/>
      <c r="C32" s="29"/>
      <c r="D32" s="927"/>
      <c r="E32" s="927"/>
      <c r="F32" s="928"/>
      <c r="G32" s="928"/>
      <c r="H32" s="366"/>
      <c r="I32" s="469"/>
      <c r="J32" s="469"/>
      <c r="K32" s="469"/>
      <c r="L32" s="469"/>
      <c r="M32" s="145"/>
      <c r="N32" s="366"/>
      <c r="O32" s="366"/>
      <c r="P32" s="366"/>
    </row>
    <row r="33" spans="1:22" ht="14.1" customHeight="1" thickBot="1">
      <c r="B33" s="21"/>
      <c r="C33" s="574" t="s">
        <v>225</v>
      </c>
      <c r="D33" s="85">
        <f>COUNT(D2:D32)</f>
        <v>16</v>
      </c>
      <c r="E33" s="85">
        <v>14</v>
      </c>
      <c r="F33" s="85">
        <f>COUNT(F2:F32)</f>
        <v>15</v>
      </c>
      <c r="G33" s="85">
        <f>COUNT(G2:G32)</f>
        <v>15</v>
      </c>
      <c r="I33" s="469"/>
      <c r="J33" s="469"/>
      <c r="K33" s="469"/>
      <c r="L33" s="469"/>
      <c r="M33" s="366"/>
      <c r="N33" s="366"/>
      <c r="O33" s="366"/>
      <c r="P33" s="366"/>
    </row>
    <row r="34" spans="1:22" ht="14.1" customHeight="1" thickBot="1">
      <c r="B34" s="21"/>
      <c r="C34" s="248" t="s">
        <v>73</v>
      </c>
      <c r="D34" s="929">
        <f>SUM(D2:D32)</f>
        <v>14059.06</v>
      </c>
      <c r="E34" s="929">
        <f>SUM(E2:E32)</f>
        <v>12741.099999999999</v>
      </c>
      <c r="F34" s="929">
        <f>SUM(F2:F32)</f>
        <v>8583.0999999999985</v>
      </c>
      <c r="G34" s="929">
        <f>SUM(G2:G32)</f>
        <v>7427</v>
      </c>
      <c r="H34" s="1"/>
      <c r="I34" s="253" t="s">
        <v>189</v>
      </c>
      <c r="J34" s="292" t="s">
        <v>190</v>
      </c>
      <c r="K34" s="452" t="s">
        <v>219</v>
      </c>
      <c r="L34" s="363"/>
      <c r="M34" s="366"/>
      <c r="N34" s="366"/>
      <c r="O34" s="366"/>
      <c r="P34" s="366"/>
    </row>
    <row r="35" spans="1:22" ht="14.1" customHeight="1" thickBot="1">
      <c r="B35" s="21"/>
      <c r="C35" s="85" t="s">
        <v>22</v>
      </c>
      <c r="D35" s="238">
        <v>13875.75</v>
      </c>
      <c r="E35" s="238">
        <v>12263.95</v>
      </c>
      <c r="F35" s="238">
        <v>8329.2999999999993</v>
      </c>
      <c r="G35" s="238">
        <v>7320.15</v>
      </c>
      <c r="H35" s="12"/>
      <c r="I35" s="292">
        <f>SUM(D2:E32)</f>
        <v>26800.16</v>
      </c>
      <c r="J35" s="292">
        <f>SUM(F2:G32)</f>
        <v>16010.099999999999</v>
      </c>
      <c r="K35" s="453">
        <f>SUM(I2:I32)</f>
        <v>0</v>
      </c>
      <c r="L35" s="363"/>
      <c r="M35" s="366"/>
      <c r="N35" s="366"/>
      <c r="O35" s="366"/>
      <c r="P35" s="366"/>
    </row>
    <row r="36" spans="1:22" ht="14.1" customHeight="1">
      <c r="B36" s="21"/>
      <c r="C36" s="85" t="s">
        <v>5</v>
      </c>
      <c r="D36" s="88">
        <f t="shared" ref="D36:G36" si="1">ABS(D34-D35)</f>
        <v>183.30999999999949</v>
      </c>
      <c r="E36" s="88">
        <f t="shared" si="1"/>
        <v>477.14999999999782</v>
      </c>
      <c r="F36" s="88">
        <f t="shared" si="1"/>
        <v>253.79999999999927</v>
      </c>
      <c r="G36" s="88">
        <f t="shared" si="1"/>
        <v>106.85000000000036</v>
      </c>
      <c r="H36" s="1"/>
      <c r="I36" s="363"/>
      <c r="J36" s="363"/>
      <c r="K36" s="363"/>
      <c r="L36" s="363"/>
      <c r="M36" s="366"/>
      <c r="N36" s="366"/>
      <c r="O36" s="366"/>
      <c r="P36" s="366"/>
    </row>
    <row r="37" spans="1:22" ht="14.1" customHeight="1">
      <c r="B37" s="21"/>
      <c r="C37" s="700" t="s">
        <v>233</v>
      </c>
      <c r="D37" s="89">
        <f t="shared" ref="D37:F37" si="2">ROUND(D36*1%,2)</f>
        <v>1.83</v>
      </c>
      <c r="E37" s="89">
        <f t="shared" si="2"/>
        <v>4.7699999999999996</v>
      </c>
      <c r="F37" s="89">
        <f t="shared" si="2"/>
        <v>2.54</v>
      </c>
      <c r="G37" s="89">
        <f>ROUND(G36*1%,2)</f>
        <v>1.07</v>
      </c>
      <c r="H37" s="1"/>
      <c r="I37" s="363"/>
      <c r="J37" s="363"/>
      <c r="K37" s="363"/>
      <c r="L37" s="363"/>
      <c r="M37" s="366"/>
      <c r="N37" s="366"/>
      <c r="O37" s="366"/>
      <c r="P37" s="366"/>
    </row>
    <row r="38" spans="1:22" ht="14.1" customHeight="1">
      <c r="B38" s="21"/>
      <c r="C38" s="699" t="s">
        <v>234</v>
      </c>
      <c r="D38" s="89">
        <f>ROUND(3%*D35,2)</f>
        <v>416.27</v>
      </c>
      <c r="E38" s="89">
        <f t="shared" ref="E38" si="3">ROUND(3%*E35,2)</f>
        <v>367.92</v>
      </c>
      <c r="F38" s="89">
        <f>ROUND(3%*F35,2)</f>
        <v>249.88</v>
      </c>
      <c r="G38" s="89">
        <f>ROUND(3%*G35,2)</f>
        <v>219.6</v>
      </c>
      <c r="H38" s="1"/>
      <c r="I38" s="145"/>
      <c r="J38" s="145"/>
      <c r="K38" s="366"/>
      <c r="L38" s="363"/>
      <c r="M38" s="366"/>
      <c r="N38" s="366"/>
      <c r="O38" s="366"/>
      <c r="P38" s="366"/>
    </row>
    <row r="39" spans="1:22" ht="14.1" customHeight="1">
      <c r="B39" s="21"/>
      <c r="C39" s="85" t="s">
        <v>7</v>
      </c>
      <c r="D39" s="87">
        <v>50</v>
      </c>
      <c r="E39" s="87">
        <v>50</v>
      </c>
      <c r="F39" s="87"/>
      <c r="G39" s="87">
        <v>40</v>
      </c>
      <c r="H39" s="12"/>
      <c r="I39" s="145"/>
      <c r="J39" s="366"/>
      <c r="K39" s="366"/>
      <c r="L39" s="363"/>
      <c r="M39" s="366"/>
      <c r="N39" s="366"/>
      <c r="O39" s="366"/>
      <c r="P39" s="366"/>
    </row>
    <row r="40" spans="1:22" ht="14.1" customHeight="1">
      <c r="B40" s="21"/>
      <c r="C40" s="85" t="s">
        <v>14</v>
      </c>
      <c r="D40" s="87">
        <f>ROUND(20*D33,2)</f>
        <v>320</v>
      </c>
      <c r="E40" s="87">
        <f>ROUND(20*E33,2)</f>
        <v>280</v>
      </c>
      <c r="F40" s="87">
        <f>ROUND(25*F33,2)</f>
        <v>375</v>
      </c>
      <c r="G40" s="88">
        <f>ROUND(25*G33,2)</f>
        <v>375</v>
      </c>
      <c r="H40" s="8"/>
      <c r="I40" s="283"/>
      <c r="J40" s="145"/>
      <c r="K40" s="145"/>
      <c r="L40" s="363"/>
      <c r="M40" s="366"/>
      <c r="N40" s="366"/>
      <c r="O40" s="366"/>
      <c r="P40" s="366"/>
    </row>
    <row r="41" spans="1:22" ht="14.1" customHeight="1" thickBot="1">
      <c r="B41" s="31"/>
      <c r="C41" s="239" t="s">
        <v>48</v>
      </c>
      <c r="D41" s="18">
        <v>337.71</v>
      </c>
      <c r="E41" s="241">
        <v>150</v>
      </c>
      <c r="F41" s="87">
        <v>300</v>
      </c>
      <c r="G41" s="87">
        <v>300</v>
      </c>
      <c r="I41" s="145"/>
      <c r="J41" s="366"/>
      <c r="K41" s="366"/>
      <c r="L41" s="363"/>
      <c r="M41" s="366"/>
      <c r="N41" s="366"/>
      <c r="O41" s="366"/>
      <c r="P41" s="366"/>
    </row>
    <row r="42" spans="1:22" ht="14.1" customHeight="1" thickBot="1">
      <c r="B42" s="21"/>
      <c r="C42" s="242" t="s">
        <v>94</v>
      </c>
      <c r="D42" s="243"/>
      <c r="E42" s="241">
        <v>180.88</v>
      </c>
      <c r="F42" s="87">
        <v>112</v>
      </c>
      <c r="G42" s="940">
        <v>38.5</v>
      </c>
      <c r="H42" s="292"/>
      <c r="I42" s="283"/>
      <c r="J42" s="145"/>
      <c r="K42" s="366"/>
      <c r="L42" s="366"/>
      <c r="M42" s="366"/>
      <c r="N42" s="366"/>
      <c r="O42" s="366"/>
      <c r="P42" s="366"/>
    </row>
    <row r="43" spans="1:22" ht="14.1" customHeight="1">
      <c r="B43" s="21"/>
      <c r="C43" s="245" t="s">
        <v>77</v>
      </c>
      <c r="D43" s="455">
        <f>D37+D38+D39+D40-D41</f>
        <v>450.38999999999993</v>
      </c>
      <c r="E43" s="455">
        <f>E37+E38+E39+E40-E41-E42</f>
        <v>371.81000000000006</v>
      </c>
      <c r="F43" s="455">
        <f>F37+F38+F40-F42-F41</f>
        <v>215.41999999999996</v>
      </c>
      <c r="G43" s="455">
        <f>G37+G38+G39+G40-G41-G42</f>
        <v>297.16999999999996</v>
      </c>
      <c r="H43" s="8"/>
      <c r="I43" s="145"/>
      <c r="J43" s="145"/>
      <c r="K43" s="366"/>
      <c r="L43" s="366"/>
      <c r="M43" s="366"/>
      <c r="N43" s="366"/>
      <c r="O43" s="366"/>
      <c r="P43" s="366"/>
    </row>
    <row r="44" spans="1:22" ht="14.1" customHeight="1">
      <c r="B44" s="21"/>
      <c r="C44" s="286" t="s">
        <v>45</v>
      </c>
      <c r="D44" s="287">
        <f>D37+D38+D39+D40</f>
        <v>788.09999999999991</v>
      </c>
      <c r="E44" s="287">
        <f>E37+E38+E39+E40</f>
        <v>702.69</v>
      </c>
      <c r="F44" s="287">
        <f>F37+F38+F40</f>
        <v>627.41999999999996</v>
      </c>
      <c r="G44" s="287">
        <f>G37+G38+G39+G40</f>
        <v>635.66999999999996</v>
      </c>
      <c r="H44" s="8">
        <f>G37+G38+G39+G40</f>
        <v>635.66999999999996</v>
      </c>
      <c r="I44" s="461"/>
      <c r="J44" s="366"/>
      <c r="K44" s="366"/>
      <c r="L44" s="366"/>
      <c r="M44" s="366"/>
      <c r="N44" s="366"/>
      <c r="O44" s="366"/>
      <c r="P44" s="366"/>
      <c r="Q44" s="1"/>
      <c r="R44" s="1"/>
      <c r="S44" s="1"/>
      <c r="T44" s="1"/>
      <c r="U44" s="1"/>
      <c r="V44" s="1"/>
    </row>
    <row r="45" spans="1:22" ht="14.1" customHeight="1">
      <c r="B45" s="21"/>
      <c r="C45" s="169"/>
      <c r="D45" s="364"/>
      <c r="E45" s="461"/>
      <c r="F45" s="8"/>
      <c r="G45" s="8"/>
      <c r="H45" s="8">
        <f>G37+G38+G39+G40-G41-G42</f>
        <v>297.16999999999996</v>
      </c>
      <c r="I45" s="283"/>
      <c r="J45" s="366"/>
      <c r="K45" s="366"/>
      <c r="L45" s="366"/>
      <c r="M45" s="366"/>
      <c r="N45" s="366"/>
      <c r="O45" s="366"/>
      <c r="P45" s="366"/>
      <c r="Q45" s="1"/>
      <c r="R45" s="1"/>
      <c r="S45" s="1"/>
      <c r="T45" s="1"/>
      <c r="U45" s="1"/>
      <c r="V45" s="1"/>
    </row>
    <row r="46" spans="1:22" s="86" customFormat="1" ht="14.1" customHeight="1">
      <c r="A46" s="168"/>
      <c r="B46" s="474"/>
      <c r="C46" s="1316"/>
      <c r="D46" s="1204"/>
      <c r="E46" s="1204"/>
      <c r="F46" s="1204"/>
      <c r="G46" s="1204"/>
      <c r="H46" s="168"/>
      <c r="I46" s="68"/>
      <c r="J46" s="145"/>
      <c r="K46" s="366"/>
      <c r="L46" s="366"/>
      <c r="M46" s="145"/>
      <c r="N46" s="366"/>
      <c r="O46" s="366"/>
      <c r="P46" s="366"/>
      <c r="Q46" s="366"/>
      <c r="R46" s="366"/>
      <c r="S46" s="366"/>
      <c r="T46" s="366"/>
      <c r="U46" s="366"/>
      <c r="V46" s="366"/>
    </row>
    <row r="47" spans="1:22" s="86" customFormat="1" ht="12.95" customHeight="1">
      <c r="A47" s="168"/>
      <c r="B47" s="474"/>
      <c r="C47" s="145"/>
      <c r="D47" s="145">
        <f>D43+E43+E41</f>
        <v>972.2</v>
      </c>
      <c r="E47" s="145"/>
      <c r="F47" s="168">
        <f>F44+G44</f>
        <v>1263.0899999999999</v>
      </c>
      <c r="G47" s="168">
        <f>F47</f>
        <v>1263.0899999999999</v>
      </c>
      <c r="H47" s="168"/>
      <c r="I47" s="72"/>
      <c r="J47" s="366"/>
      <c r="K47" s="366"/>
      <c r="L47" s="366"/>
      <c r="M47" s="145"/>
      <c r="N47" s="366"/>
      <c r="O47" s="366"/>
      <c r="P47" s="366"/>
      <c r="Q47" s="366"/>
      <c r="R47" s="366"/>
      <c r="S47" s="366"/>
      <c r="T47" s="366"/>
      <c r="U47" s="366"/>
      <c r="V47" s="366"/>
    </row>
    <row r="48" spans="1:22" ht="12.95" customHeight="1">
      <c r="B48" s="32"/>
      <c r="C48" s="1"/>
      <c r="D48" s="1"/>
      <c r="E48" s="127"/>
      <c r="G48" s="8"/>
      <c r="H48" s="207"/>
      <c r="I48" s="68"/>
      <c r="J48" s="366"/>
      <c r="K48" s="366"/>
      <c r="L48" s="366"/>
      <c r="M48" s="366"/>
      <c r="N48" s="366"/>
      <c r="O48" s="366"/>
      <c r="P48" s="366"/>
      <c r="Q48" s="1"/>
      <c r="R48" s="1"/>
      <c r="S48" s="1"/>
      <c r="T48" s="1"/>
      <c r="U48" s="1"/>
      <c r="V48" s="1"/>
    </row>
    <row r="49" spans="1:22" s="86" customFormat="1" ht="12.95" customHeight="1">
      <c r="B49" s="501"/>
      <c r="C49" s="502"/>
      <c r="D49" s="502"/>
      <c r="E49" s="502"/>
      <c r="F49" s="524"/>
      <c r="G49" s="502"/>
      <c r="H49" s="503"/>
      <c r="I49" s="920"/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366"/>
    </row>
    <row r="50" spans="1:22" s="86" customFormat="1" ht="12.95" customHeight="1">
      <c r="C50" s="502"/>
      <c r="D50" s="502"/>
      <c r="E50" s="524"/>
      <c r="F50" s="524"/>
      <c r="G50" s="502"/>
      <c r="H50" s="168"/>
      <c r="I50" s="525"/>
      <c r="J50" s="502"/>
      <c r="K50" s="502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</row>
    <row r="51" spans="1:22" s="86" customFormat="1" ht="12" customHeight="1">
      <c r="A51" s="366"/>
      <c r="B51" s="366"/>
      <c r="C51" s="502"/>
      <c r="D51" s="502"/>
      <c r="E51" s="524"/>
      <c r="F51" s="524"/>
      <c r="G51" s="502"/>
      <c r="H51" s="503"/>
      <c r="I51" s="502"/>
      <c r="J51" s="502"/>
      <c r="K51" s="502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</row>
    <row r="52" spans="1:22" s="86" customFormat="1" ht="18.75">
      <c r="A52" s="366"/>
      <c r="B52" s="366"/>
      <c r="C52" s="366"/>
      <c r="D52" s="366"/>
      <c r="E52" s="144"/>
      <c r="H52" s="503"/>
      <c r="I52" s="502"/>
      <c r="J52" s="502"/>
      <c r="K52" s="502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</row>
    <row r="53" spans="1:22" s="86" customFormat="1">
      <c r="A53" s="366"/>
      <c r="B53" s="366"/>
      <c r="C53" s="366"/>
      <c r="D53" s="366"/>
      <c r="E53" s="144"/>
      <c r="I53" s="143"/>
      <c r="J53" s="366"/>
      <c r="K53" s="366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</row>
    <row r="54" spans="1:22" s="86" customFormat="1" ht="15" customHeight="1">
      <c r="A54" s="366"/>
      <c r="B54" s="366"/>
      <c r="C54" s="366"/>
      <c r="D54" s="366"/>
      <c r="E54" s="144"/>
      <c r="H54" s="524"/>
      <c r="I54" s="366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5" customHeight="1">
      <c r="A55" s="366"/>
      <c r="B55" s="366"/>
      <c r="C55" s="366"/>
      <c r="D55" s="366"/>
      <c r="E55" s="144"/>
      <c r="H55" s="524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s="86" customFormat="1" ht="15" customHeight="1">
      <c r="A56" s="366"/>
      <c r="B56" s="366"/>
      <c r="C56" s="366"/>
      <c r="D56" s="366"/>
      <c r="E56" s="144"/>
      <c r="H56" s="524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</row>
    <row r="57" spans="1:22" s="86" customFormat="1">
      <c r="A57" s="366"/>
      <c r="B57" s="366"/>
      <c r="C57" s="366"/>
      <c r="D57" s="366"/>
      <c r="E57" s="144"/>
      <c r="H57" s="168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>
      <c r="A58" s="366"/>
      <c r="B58" s="366"/>
      <c r="C58" s="366"/>
      <c r="D58" s="366"/>
      <c r="E58" s="144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>
      <c r="A59" s="366"/>
      <c r="B59" s="366"/>
      <c r="C59" s="366"/>
      <c r="D59" s="366"/>
      <c r="E59" s="144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>
      <c r="A60" s="366"/>
      <c r="B60" s="366"/>
      <c r="C60" s="366"/>
      <c r="D60" s="366"/>
      <c r="E60" s="144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>
      <c r="A61" s="366"/>
      <c r="B61" s="366"/>
      <c r="C61" s="366"/>
      <c r="D61" s="366"/>
      <c r="E61" s="144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>
      <c r="A62" s="1"/>
      <c r="B62" s="1"/>
      <c r="C62" s="1"/>
      <c r="D62" s="1"/>
      <c r="E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1"/>
      <c r="D66" s="1"/>
      <c r="E66" s="11"/>
    </row>
    <row r="67" spans="1:22">
      <c r="A67" s="1"/>
      <c r="B67" s="1"/>
      <c r="C67" s="1"/>
      <c r="D67" s="1"/>
      <c r="E67" s="11"/>
    </row>
    <row r="68" spans="1:22">
      <c r="A68" s="1"/>
      <c r="B68" s="1"/>
      <c r="C68" s="1"/>
      <c r="D68" s="1"/>
      <c r="E68" s="11"/>
    </row>
    <row r="69" spans="1:22">
      <c r="A69" s="1"/>
      <c r="B69" s="1"/>
      <c r="C69" s="1"/>
      <c r="D69" s="1"/>
      <c r="E69" s="11"/>
    </row>
    <row r="70" spans="1:22">
      <c r="A70" s="1"/>
      <c r="B70" s="1"/>
      <c r="C70" s="1"/>
      <c r="D70" s="1"/>
      <c r="E70" s="11"/>
    </row>
    <row r="71" spans="1:22">
      <c r="A71" s="1"/>
      <c r="B71" s="1"/>
      <c r="C71" s="1"/>
      <c r="D71" s="1"/>
      <c r="E71" s="11"/>
    </row>
    <row r="72" spans="1:22">
      <c r="A72" s="1"/>
      <c r="B72" s="1"/>
      <c r="C72" s="1"/>
      <c r="D72" s="1"/>
      <c r="E72" s="11"/>
    </row>
    <row r="73" spans="1:22">
      <c r="A73" s="1"/>
      <c r="B73" s="1"/>
      <c r="C73" s="1"/>
      <c r="D73" s="1"/>
      <c r="E73" s="11"/>
    </row>
    <row r="74" spans="1:22">
      <c r="A74" s="1"/>
      <c r="B74" s="1"/>
      <c r="C74" s="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2"/>
    </row>
    <row r="89" spans="1:5">
      <c r="A89" s="1"/>
      <c r="B89" s="1"/>
      <c r="C89" s="1"/>
      <c r="D89" s="1"/>
      <c r="E89" s="2"/>
    </row>
    <row r="90" spans="1:5">
      <c r="A90" s="1"/>
      <c r="B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B93" s="1"/>
      <c r="E93" s="2"/>
    </row>
    <row r="94" spans="1:5">
      <c r="B94" s="1"/>
      <c r="E94" s="2"/>
    </row>
    <row r="95" spans="1:5"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</sheetData>
  <mergeCells count="1">
    <mergeCell ref="C46:G46"/>
  </mergeCells>
  <conditionalFormatting sqref="B2:G32">
    <cfRule type="expression" dxfId="43" priority="1">
      <formula>$B2=7</formula>
    </cfRule>
    <cfRule type="expression" dxfId="42" priority="2">
      <formula>$B2=6</formula>
    </cfRule>
  </conditionalFormatting>
  <pageMargins left="0.7" right="0.7" top="0.75" bottom="0.75" header="0.3" footer="0.3"/>
  <pageSetup paperSize="11" scale="9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opLeftCell="A43" zoomScale="85" zoomScaleNormal="85" zoomScaleSheetLayoutView="70" zoomScalePageLayoutView="70" workbookViewId="0">
      <selection activeCell="D68" sqref="D68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0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396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949"/>
      <c r="O2" s="950"/>
      <c r="P2" s="950"/>
      <c r="Q2" s="950"/>
      <c r="R2" s="366"/>
      <c r="S2" s="950"/>
      <c r="T2" s="950"/>
      <c r="U2" s="950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949"/>
      <c r="O3" s="366"/>
      <c r="P3" s="366"/>
      <c r="Q3" s="366"/>
      <c r="R3" s="366"/>
      <c r="S3" s="366"/>
      <c r="T3" s="366"/>
      <c r="U3" s="366"/>
      <c r="V3" s="950"/>
      <c r="W3" s="950"/>
      <c r="X3" s="366"/>
      <c r="Y3" s="950"/>
      <c r="Z3" s="629"/>
      <c r="AA3" s="366"/>
      <c r="AB3" s="366"/>
      <c r="AC3" s="366"/>
      <c r="AD3" s="950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943" t="s">
        <v>34</v>
      </c>
      <c r="C4" s="36" t="s">
        <v>35</v>
      </c>
      <c r="D4" s="36" t="s">
        <v>38</v>
      </c>
      <c r="E4" s="36" t="s">
        <v>42</v>
      </c>
      <c r="F4" s="943" t="s">
        <v>36</v>
      </c>
      <c r="G4" s="100" t="s">
        <v>173</v>
      </c>
      <c r="H4" s="676" t="s">
        <v>2</v>
      </c>
      <c r="I4" s="1285" t="s">
        <v>34</v>
      </c>
      <c r="J4" s="1285"/>
      <c r="K4" s="953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>
        <v>44110</v>
      </c>
      <c r="B5" s="161" t="s">
        <v>205</v>
      </c>
      <c r="C5" s="630">
        <v>113.19</v>
      </c>
      <c r="D5" s="275">
        <v>113.19</v>
      </c>
      <c r="E5" s="542" t="str">
        <f t="shared" ref="E5:E19" si="0">IF(C5-D5=0,"",C5-D5)</f>
        <v/>
      </c>
      <c r="F5" s="162" t="str">
        <f t="shared" ref="F5:F19" si="1">IF(C5=0,"",IF(C5-D5=0,"оплачено","ОЖИДАЕТСЯ оплата"))</f>
        <v>оплачено</v>
      </c>
      <c r="G5" s="161"/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>
        <v>44111</v>
      </c>
      <c r="B6" s="161" t="s">
        <v>222</v>
      </c>
      <c r="C6" s="630">
        <v>124.42</v>
      </c>
      <c r="D6" s="275">
        <v>124.42</v>
      </c>
      <c r="E6" s="542" t="str">
        <f t="shared" si="0"/>
        <v/>
      </c>
      <c r="F6" s="162" t="str">
        <f t="shared" si="1"/>
        <v>оплачено</v>
      </c>
      <c r="G6" s="162"/>
      <c r="H6" s="678"/>
      <c r="I6" s="1288"/>
      <c r="J6" s="1289"/>
      <c r="K6" s="480"/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/>
      <c r="B7" s="161"/>
      <c r="C7" s="275"/>
      <c r="D7" s="275"/>
      <c r="E7" s="542" t="str">
        <f t="shared" si="0"/>
        <v/>
      </c>
      <c r="F7" s="162" t="str">
        <f t="shared" si="1"/>
        <v/>
      </c>
      <c r="G7" s="161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/>
      <c r="B8" s="161"/>
      <c r="C8" s="275"/>
      <c r="D8" s="275"/>
      <c r="E8" s="542" t="str">
        <f t="shared" si="0"/>
        <v/>
      </c>
      <c r="F8" s="162" t="str">
        <f t="shared" si="1"/>
        <v/>
      </c>
      <c r="G8" s="161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/>
      <c r="B9" s="161"/>
      <c r="C9" s="275"/>
      <c r="D9" s="275"/>
      <c r="E9" s="542" t="str">
        <f t="shared" si="0"/>
        <v/>
      </c>
      <c r="F9" s="162" t="str">
        <f t="shared" si="1"/>
        <v/>
      </c>
      <c r="G9" s="161"/>
      <c r="H9" s="678"/>
      <c r="I9" s="1288"/>
      <c r="J9" s="1289"/>
      <c r="K9" s="480"/>
      <c r="L9" s="1290"/>
      <c r="M9" s="1291"/>
      <c r="N9" s="766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ht="18.75" customHeight="1">
      <c r="A10" s="325"/>
      <c r="B10" s="161"/>
      <c r="C10" s="275"/>
      <c r="D10" s="275"/>
      <c r="E10" s="542" t="str">
        <f t="shared" si="0"/>
        <v/>
      </c>
      <c r="F10" s="162" t="str">
        <f t="shared" si="1"/>
        <v/>
      </c>
      <c r="G10" s="161"/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5.75" customHeight="1">
      <c r="A11" s="325"/>
      <c r="B11" s="161"/>
      <c r="C11" s="275"/>
      <c r="D11" s="275"/>
      <c r="E11" s="542" t="str">
        <f t="shared" si="0"/>
        <v/>
      </c>
      <c r="F11" s="162" t="str">
        <f t="shared" si="1"/>
        <v/>
      </c>
      <c r="G11" s="161"/>
      <c r="H11" s="678"/>
      <c r="I11" s="1288"/>
      <c r="J11" s="1289"/>
      <c r="K11" s="480"/>
      <c r="L11" s="1191"/>
      <c r="M11" s="1292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4.25" customHeight="1">
      <c r="A12" s="325"/>
      <c r="B12" s="161"/>
      <c r="C12" s="275"/>
      <c r="D12" s="275"/>
      <c r="E12" s="542" t="str">
        <f t="shared" si="0"/>
        <v/>
      </c>
      <c r="F12" s="162" t="str">
        <f t="shared" si="1"/>
        <v/>
      </c>
      <c r="G12" s="161"/>
      <c r="H12" s="678"/>
      <c r="I12" s="1288"/>
      <c r="J12" s="1289"/>
      <c r="K12" s="480"/>
      <c r="L12" s="1191"/>
      <c r="M12" s="1292"/>
      <c r="N12" s="766"/>
      <c r="O12" s="447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 ht="17.25" customHeight="1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1"/>
      <c r="H13" s="678"/>
      <c r="I13" s="1288"/>
      <c r="J13" s="1289"/>
      <c r="K13" s="480"/>
      <c r="L13" s="1191"/>
      <c r="M13" s="1292"/>
      <c r="N13" s="766"/>
      <c r="O13" s="936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0"/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935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237.61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948" t="s">
        <v>21</v>
      </c>
      <c r="K22" s="948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/>
      <c r="P24" s="366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447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 t="shared" ref="M31:M36" si="3">M30-I31-J31-K31+L31</f>
        <v>75409.000000000015</v>
      </c>
      <c r="N31" s="1"/>
      <c r="O31" s="44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 t="shared" si="3"/>
        <v>68068.100000000006</v>
      </c>
      <c r="N32" s="1"/>
      <c r="O32" s="44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 t="shared" si="3"/>
        <v>69125.030000000013</v>
      </c>
      <c r="N33" s="1"/>
      <c r="O33" s="12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20</v>
      </c>
      <c r="I34" s="689">
        <v>28716.309999999994</v>
      </c>
      <c r="J34" s="438">
        <v>4480.1000000000004</v>
      </c>
      <c r="K34" s="607">
        <f>741.01+462.85</f>
        <v>1203.8600000000001</v>
      </c>
      <c r="L34" s="607">
        <v>40057.5</v>
      </c>
      <c r="M34" s="104">
        <f t="shared" si="3"/>
        <v>74782.260000000009</v>
      </c>
      <c r="N34" s="1"/>
      <c r="O34" s="44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>
      <c r="A35" s="339"/>
      <c r="B35" s="199"/>
      <c r="C35" s="1"/>
      <c r="D35" s="273"/>
      <c r="E35" s="366"/>
      <c r="F35" s="366"/>
      <c r="G35" s="366"/>
      <c r="H35" s="347" t="s">
        <v>148</v>
      </c>
      <c r="I35" s="689">
        <v>26800.16</v>
      </c>
      <c r="J35" s="438">
        <f>4+53+32.5+311.5+375+214+61.3+1914+130.5+597.5+16.8+2.5+2148.5+28+491+24</f>
        <v>6404.1</v>
      </c>
      <c r="K35" s="607">
        <f>835.3+489.85</f>
        <v>1325.15</v>
      </c>
      <c r="L35" s="960">
        <f>3255+623+28+192+21+427+2680+9605+4070+1513+315+1563.5+1878+808.5+417+35+1146+2886+540+1020+66+1156+773.5+396+2643.5+1976+588+375+1850.5</f>
        <v>42847.5</v>
      </c>
      <c r="M35" s="104">
        <f t="shared" si="3"/>
        <v>83100.350000000006</v>
      </c>
      <c r="N35" s="1"/>
      <c r="O35" s="44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 thickBot="1">
      <c r="A36" s="339"/>
      <c r="B36" s="199"/>
      <c r="C36" s="1"/>
      <c r="D36" s="273"/>
      <c r="E36" s="366"/>
      <c r="F36" s="366"/>
      <c r="G36" s="366"/>
      <c r="H36" s="608" t="s">
        <v>162</v>
      </c>
      <c r="I36" s="622">
        <v>25796.49</v>
      </c>
      <c r="J36" s="610">
        <f>2.2+22+11+100+1+324+64.2+163+106+6+211.5+238+369+166+327.5+1+30+198</f>
        <v>2340.4</v>
      </c>
      <c r="K36" s="611">
        <v>1417.21</v>
      </c>
      <c r="L36" s="941">
        <f>1442+786+491+108+201+501+256+1197+2570+42+883.5+330+192+1658+539+1550.5+1020.5+410+1497+230+17+879+290.5+569+1403.5+696+517+2100+1076.5+482+811</f>
        <v>24746</v>
      </c>
      <c r="M36" s="104">
        <f t="shared" si="3"/>
        <v>78292.25</v>
      </c>
      <c r="N36" s="1"/>
      <c r="O36" s="447"/>
      <c r="P36" s="84"/>
      <c r="Q36" s="145"/>
      <c r="R36" s="84"/>
      <c r="S36" s="541"/>
      <c r="T36" s="86"/>
      <c r="U36" s="86"/>
      <c r="V36" s="86"/>
      <c r="W36" s="86"/>
      <c r="X36" s="86"/>
      <c r="Y36" s="366"/>
      <c r="Z36" s="366"/>
    </row>
    <row r="37" spans="1:26" ht="12.75" customHeight="1" thickTop="1">
      <c r="A37" s="339"/>
      <c r="B37" s="199"/>
      <c r="C37" s="1"/>
      <c r="D37" s="273"/>
      <c r="E37" s="84"/>
      <c r="F37" s="366"/>
      <c r="G37" s="366"/>
      <c r="H37" s="1148" t="s">
        <v>36</v>
      </c>
      <c r="I37" s="1150" t="s">
        <v>178</v>
      </c>
      <c r="J37" s="1151"/>
      <c r="K37" s="1152"/>
      <c r="L37" s="1156" t="s">
        <v>159</v>
      </c>
      <c r="M37" s="1156"/>
      <c r="N37" s="747" t="s">
        <v>341</v>
      </c>
      <c r="O37" s="447"/>
      <c r="P37" s="84"/>
      <c r="Q37" s="145"/>
      <c r="R37" s="145"/>
      <c r="S37" s="86"/>
      <c r="T37" s="86"/>
      <c r="U37" s="86"/>
      <c r="V37" s="86"/>
      <c r="W37" s="86"/>
      <c r="X37" s="86"/>
      <c r="Y37" s="366"/>
      <c r="Z37" s="366"/>
    </row>
    <row r="38" spans="1:26" ht="13.5" customHeight="1">
      <c r="A38" s="339"/>
      <c r="B38" s="199"/>
      <c r="C38" s="284"/>
      <c r="D38" s="273"/>
      <c r="E38" s="284"/>
      <c r="F38" s="366"/>
      <c r="G38" s="378"/>
      <c r="H38" s="1149"/>
      <c r="I38" s="1153"/>
      <c r="J38" s="1154"/>
      <c r="K38" s="1155"/>
      <c r="L38" s="1158"/>
      <c r="M38" s="1158"/>
      <c r="N38" s="748" t="s">
        <v>189</v>
      </c>
      <c r="O38" s="447"/>
      <c r="P38" s="84"/>
      <c r="Q38" s="145"/>
      <c r="R38" s="84"/>
      <c r="S38" s="86"/>
      <c r="T38" s="86"/>
      <c r="U38" s="86"/>
      <c r="V38" s="294"/>
      <c r="W38" s="86"/>
      <c r="X38" s="86"/>
      <c r="Y38" s="366"/>
      <c r="Z38" s="366"/>
    </row>
    <row r="39" spans="1:26" ht="15.75" customHeight="1">
      <c r="A39" s="339"/>
      <c r="B39" s="199"/>
      <c r="C39" s="199"/>
      <c r="D39" s="273"/>
      <c r="E39" s="199"/>
      <c r="F39" s="366"/>
      <c r="G39" s="378"/>
      <c r="H39" s="512" t="s">
        <v>374</v>
      </c>
      <c r="I39" s="1278" t="s">
        <v>47</v>
      </c>
      <c r="J39" s="1278"/>
      <c r="K39" s="953">
        <v>328.13</v>
      </c>
      <c r="L39" s="282">
        <v>44119</v>
      </c>
      <c r="M39" s="1" t="s">
        <v>398</v>
      </c>
      <c r="N39" s="749">
        <v>132</v>
      </c>
      <c r="O39" s="447"/>
      <c r="P39" s="84"/>
      <c r="Q39" s="145"/>
      <c r="R39" s="84"/>
      <c r="S39" s="86"/>
      <c r="T39" s="86"/>
      <c r="U39" s="86"/>
      <c r="V39" s="294"/>
      <c r="W39" s="86"/>
      <c r="X39" s="86"/>
      <c r="Y39" s="366"/>
      <c r="Z39" s="366"/>
    </row>
    <row r="40" spans="1:26">
      <c r="A40" s="339"/>
      <c r="B40" s="366"/>
      <c r="C40" s="274"/>
      <c r="D40" s="273"/>
      <c r="E40" s="274"/>
      <c r="F40" s="366"/>
      <c r="G40" s="366"/>
      <c r="H40" s="512" t="s">
        <v>374</v>
      </c>
      <c r="I40" s="1262" t="s">
        <v>51</v>
      </c>
      <c r="J40" s="1262"/>
      <c r="K40" s="952">
        <v>71.83</v>
      </c>
      <c r="L40" s="282">
        <v>44119</v>
      </c>
      <c r="M40" s="1" t="s">
        <v>398</v>
      </c>
      <c r="N40" s="750">
        <v>40</v>
      </c>
      <c r="O40" s="447"/>
      <c r="P40" s="84"/>
      <c r="Q40" s="145"/>
      <c r="R40" s="273"/>
      <c r="S40" s="366"/>
      <c r="T40" s="86"/>
      <c r="U40" s="86"/>
      <c r="V40" s="294"/>
      <c r="W40" s="294"/>
      <c r="X40" s="294"/>
      <c r="Y40" s="366"/>
    </row>
    <row r="41" spans="1:26">
      <c r="A41" s="340"/>
      <c r="B41" s="366"/>
      <c r="C41" s="366"/>
      <c r="D41" s="273"/>
      <c r="E41" s="199"/>
      <c r="F41" s="366"/>
      <c r="G41" s="366"/>
      <c r="H41" s="512" t="s">
        <v>374</v>
      </c>
      <c r="I41" s="1262" t="s">
        <v>52</v>
      </c>
      <c r="J41" s="1262"/>
      <c r="K41" s="952">
        <v>5.63</v>
      </c>
      <c r="L41" s="282">
        <v>44119</v>
      </c>
      <c r="M41" s="1" t="s">
        <v>398</v>
      </c>
      <c r="N41" s="750">
        <v>3</v>
      </c>
      <c r="O41" s="447"/>
      <c r="P41" s="84"/>
      <c r="Q41" s="145"/>
      <c r="R41" s="273"/>
      <c r="S41" s="366"/>
      <c r="T41" s="294"/>
      <c r="U41" s="86"/>
      <c r="V41" s="366"/>
      <c r="W41" s="294"/>
      <c r="X41" s="294"/>
      <c r="Y41" s="366"/>
    </row>
    <row r="42" spans="1:26">
      <c r="A42" s="340"/>
      <c r="B42" s="366"/>
      <c r="C42" s="366"/>
      <c r="D42" s="273"/>
      <c r="E42" s="366"/>
      <c r="F42" s="366"/>
      <c r="G42" s="366"/>
      <c r="H42" s="512" t="s">
        <v>374</v>
      </c>
      <c r="I42" s="1262" t="s">
        <v>49</v>
      </c>
      <c r="J42" s="1290"/>
      <c r="K42" s="952">
        <v>314</v>
      </c>
      <c r="L42" s="294">
        <v>44124</v>
      </c>
      <c r="M42" s="1" t="s">
        <v>397</v>
      </c>
      <c r="N42" s="749">
        <v>200</v>
      </c>
      <c r="O42" s="447"/>
      <c r="P42" s="907"/>
      <c r="Q42" s="145"/>
      <c r="R42" s="950"/>
      <c r="S42" s="366"/>
      <c r="T42" s="294"/>
      <c r="U42" s="86"/>
      <c r="V42" s="294"/>
      <c r="W42" s="294"/>
      <c r="X42" s="294"/>
      <c r="Y42" s="366"/>
    </row>
    <row r="43" spans="1:26">
      <c r="A43" s="340"/>
      <c r="B43" s="366"/>
      <c r="C43" s="366"/>
      <c r="D43" s="273"/>
      <c r="E43" s="366"/>
      <c r="F43" s="366"/>
      <c r="G43" s="366"/>
      <c r="H43" s="512" t="s">
        <v>374</v>
      </c>
      <c r="I43" s="1263" t="s">
        <v>59</v>
      </c>
      <c r="J43" s="1264"/>
      <c r="K43" s="454">
        <v>414.85</v>
      </c>
      <c r="L43" s="302" t="s">
        <v>177</v>
      </c>
      <c r="M43" s="1" t="s">
        <v>398</v>
      </c>
      <c r="N43" s="751">
        <v>102.73</v>
      </c>
      <c r="O43" s="965"/>
      <c r="P43" s="902"/>
      <c r="Q43" s="145"/>
      <c r="R43" s="540"/>
      <c r="S43" s="366"/>
      <c r="T43" s="294"/>
      <c r="U43" s="86"/>
      <c r="V43" s="294"/>
      <c r="W43" s="366"/>
      <c r="X43" s="366"/>
      <c r="Y43" s="366"/>
    </row>
    <row r="44" spans="1:26">
      <c r="A44" s="340"/>
      <c r="B44" s="199"/>
      <c r="C44" s="199"/>
      <c r="D44" s="273"/>
      <c r="E44" s="199"/>
      <c r="F44" s="366"/>
      <c r="G44" s="366"/>
      <c r="H44" s="512" t="s">
        <v>374</v>
      </c>
      <c r="I44" s="1264" t="s">
        <v>68</v>
      </c>
      <c r="J44" s="1315"/>
      <c r="K44" s="952">
        <v>293.06</v>
      </c>
      <c r="L44" s="294">
        <v>44124</v>
      </c>
      <c r="M44" s="1" t="s">
        <v>398</v>
      </c>
      <c r="N44" s="751">
        <f>K44/2</f>
        <v>146.53</v>
      </c>
      <c r="O44" s="447"/>
      <c r="P44" s="443"/>
      <c r="Q44" s="363"/>
      <c r="R44" s="950"/>
      <c r="S44" s="366"/>
      <c r="T44" s="366"/>
      <c r="U44" s="294"/>
      <c r="V44" s="294"/>
      <c r="W44" s="294"/>
      <c r="X44" s="294"/>
      <c r="Y44" s="366"/>
    </row>
    <row r="45" spans="1:26">
      <c r="A45" s="340"/>
      <c r="B45" s="199"/>
      <c r="C45" s="366"/>
      <c r="D45" s="273"/>
      <c r="E45" s="199"/>
      <c r="F45" s="366"/>
      <c r="G45" s="366"/>
      <c r="H45" s="512" t="s">
        <v>374</v>
      </c>
      <c r="I45" s="951" t="s">
        <v>174</v>
      </c>
      <c r="J45" s="955"/>
      <c r="K45" s="475">
        <f>337.71+180.88</f>
        <v>518.58999999999992</v>
      </c>
      <c r="L45" s="282">
        <v>44119</v>
      </c>
      <c r="M45" s="1" t="s">
        <v>398</v>
      </c>
      <c r="N45" s="752">
        <f>K45</f>
        <v>518.58999999999992</v>
      </c>
      <c r="O45" s="12"/>
      <c r="P45" s="643"/>
      <c r="Q45" s="363"/>
      <c r="R45" s="365"/>
      <c r="S45" s="366"/>
      <c r="T45" s="294"/>
      <c r="U45" s="294"/>
      <c r="V45" s="294"/>
      <c r="W45" s="294"/>
      <c r="X45" s="294"/>
      <c r="Y45" s="366"/>
    </row>
    <row r="46" spans="1:26">
      <c r="A46" s="340"/>
      <c r="B46" s="199"/>
      <c r="C46" s="366"/>
      <c r="D46" s="273"/>
      <c r="E46" s="199"/>
      <c r="F46" s="366"/>
      <c r="G46" s="366"/>
      <c r="H46" s="512" t="s">
        <v>241</v>
      </c>
      <c r="I46" s="951" t="s">
        <v>176</v>
      </c>
      <c r="J46" s="955"/>
      <c r="K46" s="454" t="s">
        <v>356</v>
      </c>
      <c r="L46" s="294">
        <v>44124</v>
      </c>
      <c r="M46" s="1" t="s">
        <v>398</v>
      </c>
      <c r="N46" s="750" t="str">
        <f>K46</f>
        <v>НЕТ</v>
      </c>
      <c r="O46" s="127"/>
      <c r="P46" s="84"/>
      <c r="Q46" s="363"/>
      <c r="R46" s="365"/>
      <c r="S46" s="366"/>
      <c r="T46" s="294"/>
      <c r="U46" s="294"/>
      <c r="V46" s="294"/>
      <c r="W46" s="294"/>
      <c r="X46" s="294"/>
      <c r="Y46" s="366"/>
    </row>
    <row r="47" spans="1:26">
      <c r="A47" s="340"/>
      <c r="B47" s="199"/>
      <c r="C47" s="366"/>
      <c r="D47" s="273"/>
      <c r="E47" s="232"/>
      <c r="F47" s="366"/>
      <c r="G47" s="366"/>
      <c r="H47" s="512" t="s">
        <v>374</v>
      </c>
      <c r="I47" s="1264" t="s">
        <v>81</v>
      </c>
      <c r="J47" s="1265"/>
      <c r="K47" s="952">
        <v>1543</v>
      </c>
      <c r="L47" s="282">
        <v>44119</v>
      </c>
      <c r="M47" s="1" t="s">
        <v>398</v>
      </c>
      <c r="N47" s="750">
        <f>K47/2</f>
        <v>771.5</v>
      </c>
      <c r="O47" s="145"/>
      <c r="P47" s="84"/>
      <c r="Q47" s="84"/>
      <c r="R47" s="84"/>
      <c r="S47" s="84"/>
      <c r="T47" s="294"/>
      <c r="U47" s="366"/>
      <c r="V47" s="294"/>
      <c r="W47" s="294"/>
      <c r="X47" s="294"/>
      <c r="Y47" s="366"/>
    </row>
    <row r="48" spans="1:26">
      <c r="A48" s="340"/>
      <c r="B48" s="199"/>
      <c r="C48" s="366"/>
      <c r="D48" s="273"/>
      <c r="E48" s="232"/>
      <c r="F48" s="366"/>
      <c r="G48" s="366"/>
      <c r="H48" s="512" t="s">
        <v>374</v>
      </c>
      <c r="I48" s="1264" t="s">
        <v>181</v>
      </c>
      <c r="J48" s="1265"/>
      <c r="K48" s="952">
        <v>10</v>
      </c>
      <c r="L48" s="282">
        <v>44119</v>
      </c>
      <c r="M48" s="1" t="s">
        <v>398</v>
      </c>
      <c r="N48" s="752">
        <f>K48</f>
        <v>10</v>
      </c>
      <c r="O48" s="127"/>
      <c r="P48" s="145"/>
      <c r="Q48" s="363"/>
      <c r="R48" s="366"/>
      <c r="S48" s="366"/>
      <c r="T48" s="294"/>
      <c r="U48" s="294"/>
      <c r="V48" s="366"/>
      <c r="W48" s="294"/>
      <c r="X48" s="294"/>
      <c r="Y48" s="366"/>
    </row>
    <row r="49" spans="1:25">
      <c r="A49" s="340" t="s">
        <v>314</v>
      </c>
      <c r="B49" s="199"/>
      <c r="C49" s="366"/>
      <c r="D49" s="273"/>
      <c r="E49" s="232"/>
      <c r="F49" s="366"/>
      <c r="G49" s="366"/>
      <c r="H49" s="512" t="s">
        <v>374</v>
      </c>
      <c r="I49" s="1145" t="s">
        <v>61</v>
      </c>
      <c r="J49" s="1145"/>
      <c r="K49" s="967">
        <v>884.45</v>
      </c>
      <c r="L49" s="294">
        <v>44124</v>
      </c>
      <c r="M49" s="1" t="s">
        <v>398</v>
      </c>
      <c r="N49" s="750"/>
      <c r="P49" s="448"/>
      <c r="Q49" s="365"/>
      <c r="R49" s="365"/>
      <c r="S49" s="366"/>
      <c r="T49" s="294"/>
      <c r="U49" s="294"/>
      <c r="V49" s="366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374</v>
      </c>
      <c r="I50" s="1145" t="s">
        <v>274</v>
      </c>
      <c r="J50" s="1145"/>
      <c r="K50" s="93">
        <f>207.37-129.37</f>
        <v>78</v>
      </c>
      <c r="L50" s="294">
        <v>44124</v>
      </c>
      <c r="M50" s="1" t="s">
        <v>398</v>
      </c>
      <c r="N50" s="749">
        <v>40</v>
      </c>
      <c r="P50" s="145"/>
      <c r="Q50" s="365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374</v>
      </c>
      <c r="I51" s="1145" t="s">
        <v>275</v>
      </c>
      <c r="J51" s="1145"/>
      <c r="K51" s="93">
        <v>50</v>
      </c>
      <c r="L51" s="282">
        <v>44119</v>
      </c>
      <c r="M51" s="1" t="s">
        <v>398</v>
      </c>
      <c r="N51" s="750">
        <v>50</v>
      </c>
      <c r="P51" s="145"/>
      <c r="Q51" s="273"/>
      <c r="R51" s="365"/>
      <c r="S51" s="366"/>
      <c r="T51" s="294"/>
      <c r="U51" s="294"/>
      <c r="V51" s="366"/>
      <c r="W51" s="294"/>
      <c r="X51" s="294"/>
      <c r="Y51" s="366"/>
    </row>
    <row r="52" spans="1:25">
      <c r="A52" s="340"/>
      <c r="B52" s="199"/>
      <c r="C52" s="366"/>
      <c r="D52" s="273"/>
      <c r="E52" s="232"/>
      <c r="F52" s="366"/>
      <c r="G52" s="366"/>
      <c r="H52" s="512" t="s">
        <v>374</v>
      </c>
      <c r="I52" s="1145" t="s">
        <v>276</v>
      </c>
      <c r="J52" s="1145"/>
      <c r="K52" s="93">
        <v>150</v>
      </c>
      <c r="L52" s="282">
        <v>44134</v>
      </c>
      <c r="M52" s="1" t="s">
        <v>398</v>
      </c>
      <c r="N52" s="750">
        <v>150</v>
      </c>
      <c r="O52" s="12"/>
      <c r="P52" s="145"/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374</v>
      </c>
      <c r="I53" s="1145" t="s">
        <v>296</v>
      </c>
      <c r="J53" s="1145"/>
      <c r="K53" s="93">
        <v>18</v>
      </c>
      <c r="L53" s="282">
        <v>44119</v>
      </c>
      <c r="M53" s="1" t="s">
        <v>398</v>
      </c>
      <c r="N53" s="751">
        <v>9</v>
      </c>
      <c r="O53" s="150"/>
      <c r="P53" s="145"/>
      <c r="Q53" s="365"/>
      <c r="R53" s="365"/>
      <c r="S53" s="366"/>
      <c r="T53" s="294"/>
      <c r="U53" s="294"/>
      <c r="V53" s="366"/>
      <c r="W53" s="294"/>
      <c r="X53" s="294"/>
      <c r="Y53" s="366"/>
    </row>
    <row r="54" spans="1:25">
      <c r="A54" s="340"/>
      <c r="B54" s="199"/>
      <c r="C54" s="366"/>
      <c r="D54" s="273"/>
      <c r="E54" s="232"/>
      <c r="F54" s="366"/>
      <c r="G54" s="366"/>
      <c r="H54" s="512" t="s">
        <v>374</v>
      </c>
      <c r="I54" s="1143" t="s">
        <v>345</v>
      </c>
      <c r="J54" s="1144"/>
      <c r="K54" s="145">
        <v>906.85</v>
      </c>
      <c r="L54" s="282">
        <v>44134</v>
      </c>
      <c r="M54" s="1" t="s">
        <v>398</v>
      </c>
      <c r="N54" s="771">
        <f>K54</f>
        <v>906.85</v>
      </c>
      <c r="O54" s="150"/>
      <c r="P54" s="145"/>
      <c r="Q54" s="365"/>
      <c r="R54" s="365"/>
      <c r="S54" s="366"/>
      <c r="T54" s="294"/>
      <c r="U54" s="294"/>
      <c r="V54" s="366"/>
      <c r="W54" s="294"/>
      <c r="X54" s="294"/>
      <c r="Y54" s="366"/>
    </row>
    <row r="55" spans="1:25" ht="15.75" thickBot="1">
      <c r="A55" s="341"/>
      <c r="B55" s="330"/>
      <c r="C55" s="331"/>
      <c r="D55" s="342"/>
      <c r="E55" s="330"/>
      <c r="F55" s="331"/>
      <c r="G55" s="331"/>
      <c r="H55" s="1300" t="s">
        <v>179</v>
      </c>
      <c r="I55" s="1281"/>
      <c r="J55" s="361">
        <f>SUM(K39:K54)</f>
        <v>5586.39</v>
      </c>
      <c r="K55" s="1146" t="s">
        <v>180</v>
      </c>
      <c r="L55" s="1146"/>
      <c r="M55" s="746">
        <v>0</v>
      </c>
      <c r="N55" s="753">
        <f>SUM(N39:N54)</f>
        <v>3080.2</v>
      </c>
      <c r="P55" s="145"/>
      <c r="Q55" s="365"/>
      <c r="R55" s="366"/>
      <c r="S55" s="366"/>
      <c r="T55" s="294"/>
      <c r="U55" s="366"/>
      <c r="V55" s="366"/>
      <c r="W55" s="366"/>
      <c r="X55" s="366"/>
      <c r="Y55" s="366"/>
    </row>
    <row r="56" spans="1:25" ht="15.75" thickTop="1">
      <c r="A56" s="366"/>
      <c r="B56" s="366"/>
      <c r="C56" s="366"/>
      <c r="D56" s="366"/>
      <c r="E56" s="366"/>
      <c r="F56" s="366"/>
      <c r="G56" s="366"/>
      <c r="H56" s="1162"/>
      <c r="I56" s="1162"/>
      <c r="J56" s="1162"/>
      <c r="K56" s="1162"/>
      <c r="L56" s="366"/>
      <c r="M56" s="441"/>
      <c r="N56" s="1"/>
      <c r="P56" s="145"/>
      <c r="Q56" s="365"/>
      <c r="R56" s="366"/>
      <c r="S56" s="366"/>
      <c r="T56" s="366"/>
      <c r="U56" s="366"/>
      <c r="V56" s="366"/>
      <c r="W56" s="366"/>
      <c r="X56" s="366"/>
      <c r="Y56" s="366"/>
    </row>
    <row r="57" spans="1:25" ht="15" customHeight="1">
      <c r="A57" s="1163" t="s">
        <v>407</v>
      </c>
      <c r="B57" s="1163"/>
      <c r="C57" s="1163"/>
      <c r="D57" s="1163"/>
      <c r="E57" s="1163"/>
      <c r="F57" s="1163"/>
      <c r="G57" s="1163"/>
      <c r="H57" s="1163"/>
      <c r="I57" s="1163"/>
      <c r="J57" s="1163"/>
      <c r="K57" s="1163"/>
      <c r="L57" s="1163"/>
      <c r="M57" s="1163"/>
      <c r="N57" s="1"/>
      <c r="O57" s="150"/>
      <c r="P57" s="145"/>
      <c r="Q57" s="365"/>
      <c r="R57" s="366"/>
      <c r="S57" s="366"/>
      <c r="T57" s="366"/>
      <c r="U57" s="366"/>
      <c r="V57" s="366"/>
      <c r="W57" s="366"/>
      <c r="X57" s="366"/>
    </row>
    <row r="58" spans="1:25" ht="15.75" customHeight="1" thickBot="1">
      <c r="A58" s="1164"/>
      <c r="B58" s="1164"/>
      <c r="C58" s="1164"/>
      <c r="D58" s="1164"/>
      <c r="E58" s="1164"/>
      <c r="F58" s="1164"/>
      <c r="G58" s="1164"/>
      <c r="H58" s="1164"/>
      <c r="I58" s="1164"/>
      <c r="J58" s="1164"/>
      <c r="K58" s="1164"/>
      <c r="L58" s="1164"/>
      <c r="M58" s="1164"/>
      <c r="N58" s="1"/>
      <c r="P58" s="145"/>
      <c r="Q58" s="365"/>
      <c r="R58" s="365"/>
      <c r="S58" s="950"/>
      <c r="T58" s="366"/>
      <c r="U58" s="366"/>
      <c r="V58" s="366"/>
      <c r="W58" s="366"/>
      <c r="X58" s="366"/>
    </row>
    <row r="59" spans="1:25" ht="15.75" thickTop="1">
      <c r="A59" s="1266" t="s">
        <v>317</v>
      </c>
      <c r="B59" s="1166"/>
      <c r="C59" s="1166"/>
      <c r="D59" s="1166"/>
      <c r="E59" s="1166"/>
      <c r="F59" s="1166"/>
      <c r="G59" s="1167"/>
      <c r="H59" s="1282" t="s">
        <v>316</v>
      </c>
      <c r="I59" s="1283"/>
      <c r="J59" s="1283"/>
      <c r="K59" s="1283"/>
      <c r="L59" s="1283"/>
      <c r="M59" s="1284"/>
      <c r="N59" s="1"/>
      <c r="P59" s="84"/>
      <c r="Q59" s="366"/>
      <c r="S59" s="274"/>
      <c r="T59" s="366"/>
      <c r="U59" s="366"/>
      <c r="V59" s="366"/>
      <c r="W59" s="366"/>
      <c r="X59" s="366"/>
    </row>
    <row r="60" spans="1:25">
      <c r="A60" s="324" t="s">
        <v>2</v>
      </c>
      <c r="B60" s="943" t="s">
        <v>34</v>
      </c>
      <c r="C60" s="36" t="s">
        <v>35</v>
      </c>
      <c r="D60" s="36" t="s">
        <v>38</v>
      </c>
      <c r="E60" s="36" t="s">
        <v>42</v>
      </c>
      <c r="F60" s="943" t="s">
        <v>36</v>
      </c>
      <c r="G60" s="100" t="s">
        <v>173</v>
      </c>
      <c r="H60" s="676" t="s">
        <v>2</v>
      </c>
      <c r="I60" s="1285" t="s">
        <v>34</v>
      </c>
      <c r="J60" s="1285"/>
      <c r="K60" s="953" t="s">
        <v>35</v>
      </c>
      <c r="L60" s="1286" t="s">
        <v>173</v>
      </c>
      <c r="M60" s="1287"/>
      <c r="N60" s="1"/>
      <c r="P60" s="448"/>
      <c r="Q60" s="366"/>
      <c r="S60" s="274"/>
      <c r="T60" s="366"/>
      <c r="U60" s="366"/>
      <c r="V60" s="366"/>
      <c r="W60" s="366"/>
      <c r="X60" s="366"/>
    </row>
    <row r="61" spans="1:25">
      <c r="A61" s="325">
        <v>44105</v>
      </c>
      <c r="B61" s="161" t="s">
        <v>367</v>
      </c>
      <c r="C61" s="630">
        <v>706.34</v>
      </c>
      <c r="D61" s="275">
        <v>706.34</v>
      </c>
      <c r="E61" s="542" t="str">
        <f>IF(C61-D61=0,"",C61-D61)</f>
        <v/>
      </c>
      <c r="F61" s="162" t="str">
        <f t="shared" ref="F61:F76" si="4">IF(C61=0,"",IF(C61-D61=0,"оплачено","ОЖИДАЕТСЯ оплата"))</f>
        <v>оплачено</v>
      </c>
      <c r="G61" s="162"/>
      <c r="H61" s="325"/>
      <c r="I61" s="1288"/>
      <c r="J61" s="1289"/>
      <c r="K61" s="480"/>
      <c r="L61" s="1293"/>
      <c r="M61" s="1294"/>
      <c r="N61" s="1"/>
      <c r="P61" s="448"/>
      <c r="Q61" s="366"/>
      <c r="S61" s="366"/>
      <c r="T61" s="84"/>
      <c r="U61" s="366"/>
      <c r="W61" s="366"/>
      <c r="X61" s="366"/>
    </row>
    <row r="62" spans="1:25">
      <c r="A62" s="325">
        <v>44119</v>
      </c>
      <c r="B62" s="161" t="s">
        <v>367</v>
      </c>
      <c r="C62" s="630">
        <v>1195.02</v>
      </c>
      <c r="D62" s="275">
        <v>1195.02</v>
      </c>
      <c r="E62" s="542" t="str">
        <f t="shared" ref="E62:E76" si="5">IF(C62-D62=0,"",C62-D62)</f>
        <v/>
      </c>
      <c r="F62" s="162" t="str">
        <f t="shared" si="4"/>
        <v>оплачено</v>
      </c>
      <c r="G62" s="162"/>
      <c r="H62" s="678"/>
      <c r="I62" s="1288"/>
      <c r="J62" s="1289"/>
      <c r="K62" s="480"/>
      <c r="L62" s="1293"/>
      <c r="M62" s="1294"/>
      <c r="N62" s="1"/>
      <c r="P62" s="448"/>
      <c r="Q62" s="366"/>
      <c r="S62" s="366"/>
      <c r="T62" s="366"/>
      <c r="U62" s="366"/>
      <c r="W62" s="366"/>
      <c r="X62" s="366"/>
    </row>
    <row r="63" spans="1:25">
      <c r="A63" s="325">
        <v>44123</v>
      </c>
      <c r="B63" s="161" t="s">
        <v>255</v>
      </c>
      <c r="C63" s="630">
        <v>314.25</v>
      </c>
      <c r="D63" s="275">
        <v>314.25</v>
      </c>
      <c r="E63" s="542" t="str">
        <f t="shared" si="5"/>
        <v/>
      </c>
      <c r="F63" s="162" t="str">
        <f t="shared" si="4"/>
        <v>оплачено</v>
      </c>
      <c r="G63" s="162"/>
      <c r="H63" s="678"/>
      <c r="I63" s="1288"/>
      <c r="J63" s="1289"/>
      <c r="K63" s="480"/>
      <c r="L63" s="1290"/>
      <c r="M63" s="1291"/>
      <c r="N63" s="1"/>
      <c r="P63" s="448"/>
      <c r="T63" s="366"/>
      <c r="U63" s="366"/>
    </row>
    <row r="64" spans="1:25">
      <c r="A64" s="325">
        <v>44125</v>
      </c>
      <c r="B64" s="161" t="s">
        <v>399</v>
      </c>
      <c r="C64" s="630">
        <v>524.25</v>
      </c>
      <c r="D64" s="275">
        <v>524.25</v>
      </c>
      <c r="E64" s="634" t="str">
        <f t="shared" si="5"/>
        <v/>
      </c>
      <c r="F64" s="161" t="str">
        <f t="shared" si="4"/>
        <v>оплачено</v>
      </c>
      <c r="G64" s="161"/>
      <c r="H64" s="678"/>
      <c r="I64" s="1288"/>
      <c r="J64" s="1289"/>
      <c r="K64" s="480"/>
      <c r="L64" s="1290"/>
      <c r="M64" s="1291"/>
      <c r="N64" s="1"/>
      <c r="P64" s="448"/>
      <c r="U64" s="366"/>
    </row>
    <row r="65" spans="1:21">
      <c r="A65" s="325">
        <v>44124</v>
      </c>
      <c r="B65" s="161" t="s">
        <v>400</v>
      </c>
      <c r="C65" s="1009">
        <v>359.46</v>
      </c>
      <c r="D65" s="513">
        <v>359.46</v>
      </c>
      <c r="E65" s="542" t="str">
        <f t="shared" si="5"/>
        <v/>
      </c>
      <c r="F65" s="162" t="str">
        <f t="shared" si="4"/>
        <v>оплачено</v>
      </c>
      <c r="G65" s="162"/>
      <c r="H65" s="678"/>
      <c r="I65" s="1288"/>
      <c r="J65" s="1289"/>
      <c r="K65" s="480"/>
      <c r="L65" s="1290"/>
      <c r="M65" s="1291"/>
      <c r="N65" s="1"/>
      <c r="O65" s="150"/>
      <c r="P65" s="541"/>
      <c r="U65" s="366"/>
    </row>
    <row r="66" spans="1:21">
      <c r="A66" s="325">
        <v>44137</v>
      </c>
      <c r="B66" s="161" t="s">
        <v>255</v>
      </c>
      <c r="C66" s="630">
        <v>387.5</v>
      </c>
      <c r="D66" s="275">
        <v>387.5</v>
      </c>
      <c r="E66" s="542" t="str">
        <f t="shared" si="5"/>
        <v/>
      </c>
      <c r="F66" s="162" t="str">
        <f t="shared" si="4"/>
        <v>оплачено</v>
      </c>
      <c r="G66" s="162"/>
      <c r="H66" s="678"/>
      <c r="I66" s="1288"/>
      <c r="J66" s="1289"/>
      <c r="K66" s="480"/>
      <c r="L66" s="1290"/>
      <c r="M66" s="1291"/>
      <c r="N66" s="1"/>
      <c r="P66" s="86"/>
      <c r="U66" s="366"/>
    </row>
    <row r="67" spans="1:21" ht="14.45" customHeight="1">
      <c r="A67" s="325"/>
      <c r="B67" s="161"/>
      <c r="C67" s="911"/>
      <c r="D67" s="911"/>
      <c r="E67" s="542" t="str">
        <f>IF(C67-D67=0,"",C67-D67)</f>
        <v/>
      </c>
      <c r="F67" s="162" t="str">
        <f>IF(C67=0,"",IF(C67-D67=0,"оплачено","ОЖИДАЕТСЯ оплата"))</f>
        <v/>
      </c>
      <c r="G67" s="162"/>
      <c r="H67" s="678"/>
      <c r="I67" s="1288"/>
      <c r="J67" s="1289"/>
      <c r="K67" s="480"/>
      <c r="L67" s="1191"/>
      <c r="M67" s="1292"/>
      <c r="N67" s="1"/>
      <c r="O67" s="150"/>
      <c r="P67" s="86"/>
    </row>
    <row r="68" spans="1:21" ht="14.45" customHeight="1">
      <c r="A68" s="325"/>
      <c r="B68" s="161"/>
      <c r="C68" s="275"/>
      <c r="D68" s="275"/>
      <c r="E68" s="542" t="str">
        <f>IF(C68-D68=0,"",C68-D68)</f>
        <v/>
      </c>
      <c r="F68" s="162" t="str">
        <f>IF(C68=0,"",IF(C68-D68=0,"оплачено","ОЖИДАЕТСЯ оплата"))</f>
        <v/>
      </c>
      <c r="G68" s="162"/>
      <c r="H68" s="678" t="str">
        <f t="shared" ref="H68:I76" si="6">IF(S11="","",S11)</f>
        <v/>
      </c>
      <c r="I68" s="1288"/>
      <c r="J68" s="1289"/>
      <c r="K68" s="480"/>
      <c r="L68" s="1191"/>
      <c r="M68" s="1292"/>
      <c r="N68" s="1"/>
    </row>
    <row r="69" spans="1:21" ht="14.45" customHeight="1">
      <c r="A69" s="325"/>
      <c r="B69" s="161"/>
      <c r="C69" s="275"/>
      <c r="D69" s="275"/>
      <c r="E69" s="542" t="str">
        <f t="shared" si="5"/>
        <v/>
      </c>
      <c r="F69" s="162" t="str">
        <f t="shared" si="4"/>
        <v/>
      </c>
      <c r="G69" s="162"/>
      <c r="H69" s="678" t="str">
        <f t="shared" si="6"/>
        <v/>
      </c>
      <c r="I69" s="1288" t="str">
        <f t="shared" si="6"/>
        <v/>
      </c>
      <c r="J69" s="1289"/>
      <c r="K69" s="480" t="str">
        <f t="shared" ref="K69:K76" si="7">IF(U12="","",U12)</f>
        <v/>
      </c>
      <c r="L69" s="1191"/>
      <c r="M69" s="1292"/>
      <c r="N69" s="1"/>
      <c r="O69" s="366"/>
    </row>
    <row r="70" spans="1:21">
      <c r="A70" s="325"/>
      <c r="B70" s="161"/>
      <c r="C70" s="275"/>
      <c r="D70" s="275"/>
      <c r="E70" s="542" t="str">
        <f t="shared" si="5"/>
        <v/>
      </c>
      <c r="F70" s="162" t="str">
        <f t="shared" si="4"/>
        <v/>
      </c>
      <c r="G70" s="162"/>
      <c r="H70" s="678" t="str">
        <f t="shared" si="6"/>
        <v/>
      </c>
      <c r="I70" s="1288" t="str">
        <f t="shared" si="6"/>
        <v/>
      </c>
      <c r="J70" s="1289"/>
      <c r="K70" s="480" t="str">
        <f t="shared" si="7"/>
        <v/>
      </c>
      <c r="L70" s="1191"/>
      <c r="M70" s="1292"/>
      <c r="N70" s="1"/>
      <c r="O70" s="366"/>
    </row>
    <row r="71" spans="1:21" s="86" customFormat="1">
      <c r="A71" s="325"/>
      <c r="B71" s="161"/>
      <c r="C71" s="275"/>
      <c r="D71" s="275"/>
      <c r="E71" s="542" t="str">
        <f t="shared" si="5"/>
        <v/>
      </c>
      <c r="F71" s="162" t="str">
        <f t="shared" si="4"/>
        <v/>
      </c>
      <c r="G71" s="162"/>
      <c r="H71" s="678" t="str">
        <f t="shared" si="6"/>
        <v/>
      </c>
      <c r="I71" s="1288" t="str">
        <f t="shared" si="6"/>
        <v/>
      </c>
      <c r="J71" s="1289"/>
      <c r="K71" s="480" t="str">
        <f t="shared" si="7"/>
        <v/>
      </c>
      <c r="L71" s="1290"/>
      <c r="M71" s="1291"/>
      <c r="N71" s="366"/>
      <c r="O71" s="84"/>
      <c r="P71" s="1"/>
      <c r="Q71" s="35"/>
      <c r="T71" s="35"/>
      <c r="U71" s="35"/>
    </row>
    <row r="72" spans="1:21">
      <c r="A72" s="325"/>
      <c r="B72" s="161"/>
      <c r="C72" s="275"/>
      <c r="D72" s="934"/>
      <c r="E72" s="542" t="str">
        <f t="shared" si="5"/>
        <v/>
      </c>
      <c r="F72" s="162" t="str">
        <f t="shared" si="4"/>
        <v/>
      </c>
      <c r="G72" s="162"/>
      <c r="H72" s="678" t="str">
        <f t="shared" si="6"/>
        <v/>
      </c>
      <c r="I72" s="1288" t="str">
        <f t="shared" si="6"/>
        <v/>
      </c>
      <c r="J72" s="1289"/>
      <c r="K72" s="480" t="str">
        <f t="shared" si="7"/>
        <v/>
      </c>
      <c r="L72" s="1191"/>
      <c r="M72" s="1292"/>
      <c r="N72" s="150"/>
      <c r="O72" s="366"/>
      <c r="P72" s="1"/>
      <c r="T72" s="86"/>
    </row>
    <row r="73" spans="1:21">
      <c r="A73" s="325"/>
      <c r="B73" s="161"/>
      <c r="C73" s="275"/>
      <c r="D73" s="275"/>
      <c r="E73" s="542" t="str">
        <f>IF(C73-D73=0,"",C73-D73)</f>
        <v/>
      </c>
      <c r="F73" s="162" t="str">
        <f>IF(C73=0,"",IF(C73-D73=0,"оплачено","ОЖИДАЕТСЯ оплата"))</f>
        <v/>
      </c>
      <c r="G73" s="162"/>
      <c r="H73" s="678" t="str">
        <f t="shared" si="6"/>
        <v/>
      </c>
      <c r="I73" s="1288" t="str">
        <f t="shared" si="6"/>
        <v/>
      </c>
      <c r="J73" s="1289"/>
      <c r="K73" s="480" t="str">
        <f t="shared" si="7"/>
        <v/>
      </c>
      <c r="L73" s="1191"/>
      <c r="M73" s="1292"/>
      <c r="N73" s="1"/>
      <c r="O73" s="84"/>
      <c r="P73" s="366"/>
    </row>
    <row r="74" spans="1:21">
      <c r="A74" s="325"/>
      <c r="B74" s="161"/>
      <c r="C74" s="275"/>
      <c r="D74" s="275"/>
      <c r="E74" s="542" t="str">
        <f t="shared" si="5"/>
        <v/>
      </c>
      <c r="F74" s="162" t="str">
        <f t="shared" si="4"/>
        <v/>
      </c>
      <c r="G74" s="162"/>
      <c r="H74" s="678" t="str">
        <f t="shared" si="6"/>
        <v/>
      </c>
      <c r="I74" s="1288" t="str">
        <f t="shared" si="6"/>
        <v/>
      </c>
      <c r="J74" s="1289"/>
      <c r="K74" s="480" t="str">
        <f t="shared" si="7"/>
        <v/>
      </c>
      <c r="L74" s="1191"/>
      <c r="M74" s="1292"/>
      <c r="N74" s="1"/>
      <c r="O74" s="84"/>
      <c r="P74" s="150"/>
    </row>
    <row r="75" spans="1:21">
      <c r="A75" s="325"/>
      <c r="B75" s="161"/>
      <c r="C75" s="275"/>
      <c r="D75" s="275"/>
      <c r="E75" s="542" t="str">
        <f t="shared" si="5"/>
        <v/>
      </c>
      <c r="F75" s="162" t="str">
        <f t="shared" si="4"/>
        <v/>
      </c>
      <c r="G75" s="162"/>
      <c r="H75" s="678" t="str">
        <f t="shared" si="6"/>
        <v/>
      </c>
      <c r="I75" s="1288" t="str">
        <f t="shared" si="6"/>
        <v/>
      </c>
      <c r="J75" s="1289"/>
      <c r="K75" s="480" t="str">
        <f t="shared" si="7"/>
        <v/>
      </c>
      <c r="L75" s="1191"/>
      <c r="M75" s="1292"/>
      <c r="N75" s="1"/>
      <c r="O75" s="366"/>
      <c r="P75" s="1"/>
      <c r="Q75" s="86"/>
    </row>
    <row r="76" spans="1:21">
      <c r="A76" s="325"/>
      <c r="B76" s="161"/>
      <c r="C76" s="275"/>
      <c r="D76" s="275"/>
      <c r="E76" s="542" t="str">
        <f t="shared" si="5"/>
        <v/>
      </c>
      <c r="F76" s="162" t="str">
        <f t="shared" si="4"/>
        <v/>
      </c>
      <c r="G76" s="162"/>
      <c r="H76" s="678" t="str">
        <f t="shared" si="6"/>
        <v/>
      </c>
      <c r="I76" s="1288" t="str">
        <f t="shared" si="6"/>
        <v/>
      </c>
      <c r="J76" s="1289"/>
      <c r="K76" s="480" t="str">
        <f t="shared" si="7"/>
        <v/>
      </c>
      <c r="L76" s="1191"/>
      <c r="M76" s="1292"/>
      <c r="N76" s="1"/>
      <c r="O76" s="84"/>
    </row>
    <row r="77" spans="1:21" ht="15.75" thickBot="1">
      <c r="A77" s="1272" t="s">
        <v>259</v>
      </c>
      <c r="B77" s="1273"/>
      <c r="C77" s="358">
        <f>SUM(C61:C76)</f>
        <v>3486.82</v>
      </c>
      <c r="D77" s="358"/>
      <c r="E77" s="542">
        <f>SUM(E61:E76)</f>
        <v>0</v>
      </c>
      <c r="F77" s="162"/>
      <c r="G77" s="450"/>
      <c r="H77" s="1295" t="s">
        <v>259</v>
      </c>
      <c r="I77" s="1296"/>
      <c r="J77" s="1297"/>
      <c r="K77" s="677">
        <f>SUM(K61:K76)</f>
        <v>0</v>
      </c>
      <c r="L77" s="1298"/>
      <c r="M77" s="1299"/>
      <c r="N77" s="1"/>
      <c r="O77" s="366"/>
      <c r="P77" s="84"/>
      <c r="U77" s="86"/>
    </row>
    <row r="78" spans="1:21" ht="15.75" thickTop="1">
      <c r="A78" s="351"/>
      <c r="B78" s="352"/>
      <c r="C78" s="353"/>
      <c r="D78" s="353"/>
      <c r="E78" s="354"/>
      <c r="F78" s="352"/>
      <c r="G78" s="376"/>
      <c r="H78" s="1171" t="s">
        <v>16</v>
      </c>
      <c r="I78" s="1173" t="s">
        <v>17</v>
      </c>
      <c r="J78" s="1173" t="s">
        <v>21</v>
      </c>
      <c r="K78" s="1173"/>
      <c r="L78" s="1175" t="s">
        <v>93</v>
      </c>
      <c r="M78" s="1177" t="s">
        <v>95</v>
      </c>
      <c r="N78" s="1"/>
      <c r="O78" s="84"/>
      <c r="P78" s="84"/>
    </row>
    <row r="79" spans="1:21" ht="24">
      <c r="A79" s="355"/>
      <c r="B79" s="201"/>
      <c r="C79" s="201"/>
      <c r="D79" s="201"/>
      <c r="E79" s="216"/>
      <c r="F79" s="201"/>
      <c r="G79" s="201"/>
      <c r="H79" s="1172"/>
      <c r="I79" s="1174"/>
      <c r="J79" s="948" t="s">
        <v>21</v>
      </c>
      <c r="K79" s="948" t="s">
        <v>25</v>
      </c>
      <c r="L79" s="1176"/>
      <c r="M79" s="1178"/>
      <c r="N79" s="1"/>
      <c r="O79" s="366"/>
      <c r="P79" s="84"/>
    </row>
    <row r="80" spans="1:21">
      <c r="A80" s="338"/>
      <c r="B80" s="199"/>
      <c r="C80" s="288"/>
      <c r="D80" s="232"/>
      <c r="E80" s="84"/>
      <c r="F80" s="199"/>
      <c r="G80" s="199"/>
      <c r="H80" s="347" t="s">
        <v>163</v>
      </c>
      <c r="I80" s="94">
        <v>2420.3999999999996</v>
      </c>
      <c r="J80" s="94">
        <v>115.5</v>
      </c>
      <c r="K80" s="949">
        <v>132.61000000000001</v>
      </c>
      <c r="L80" s="96">
        <v>22665.5</v>
      </c>
      <c r="M80" s="104">
        <f>L80-I80-J80-K80</f>
        <v>19996.989999999998</v>
      </c>
      <c r="N80" s="150"/>
      <c r="O80" s="448"/>
      <c r="P80" s="439"/>
      <c r="R80" s="86"/>
    </row>
    <row r="81" spans="1:26">
      <c r="A81" s="339"/>
      <c r="B81" s="199"/>
      <c r="C81" s="199"/>
      <c r="D81" s="273"/>
      <c r="E81" s="366"/>
      <c r="F81" s="84"/>
      <c r="G81" s="366"/>
      <c r="H81" s="347" t="s">
        <v>192</v>
      </c>
      <c r="I81" s="94">
        <v>7629.69</v>
      </c>
      <c r="J81" s="94">
        <v>352.29</v>
      </c>
      <c r="K81" s="94">
        <v>193.85000000000002</v>
      </c>
      <c r="L81" s="96">
        <v>10342</v>
      </c>
      <c r="M81" s="104">
        <f>M80-I81-J81-K81+L81</f>
        <v>22163.159999999996</v>
      </c>
      <c r="N81" s="1"/>
      <c r="O81" s="448"/>
      <c r="P81" s="439"/>
      <c r="R81" s="86"/>
    </row>
    <row r="82" spans="1:26">
      <c r="A82" s="339"/>
      <c r="B82" s="366"/>
      <c r="C82" s="199"/>
      <c r="D82" s="273"/>
      <c r="E82" s="366"/>
      <c r="F82" s="366"/>
      <c r="G82" s="366"/>
      <c r="H82" s="347" t="s">
        <v>199</v>
      </c>
      <c r="I82" s="298">
        <v>8423.6400000000012</v>
      </c>
      <c r="J82" s="94">
        <v>921.3</v>
      </c>
      <c r="K82" s="299">
        <v>312.46000000000004</v>
      </c>
      <c r="L82" s="299">
        <v>16668</v>
      </c>
      <c r="M82" s="104">
        <f>M81-I82-J82-K82+L82</f>
        <v>29173.759999999995</v>
      </c>
      <c r="N82" s="1"/>
      <c r="O82" s="448"/>
      <c r="P82" s="436"/>
      <c r="R82" s="86"/>
    </row>
    <row r="83" spans="1:26">
      <c r="A83" s="339"/>
      <c r="B83" s="1"/>
      <c r="C83" s="284"/>
      <c r="D83" s="273"/>
      <c r="E83" s="366"/>
      <c r="F83" s="366"/>
      <c r="G83" s="84"/>
      <c r="H83" s="347" t="s">
        <v>209</v>
      </c>
      <c r="I83" s="299">
        <v>8639.7199999999993</v>
      </c>
      <c r="J83" s="300">
        <v>749.49</v>
      </c>
      <c r="K83" s="526">
        <v>435.1</v>
      </c>
      <c r="L83" s="299">
        <v>17824.919999999998</v>
      </c>
      <c r="M83" s="104">
        <f>M82-I83-J83-K83+L83</f>
        <v>37174.369999999995</v>
      </c>
      <c r="N83" s="92" t="s">
        <v>284</v>
      </c>
      <c r="O83" s="619"/>
      <c r="P83" s="724"/>
      <c r="R83" s="86"/>
    </row>
    <row r="84" spans="1:26">
      <c r="A84" s="339"/>
      <c r="B84" s="199"/>
      <c r="C84" s="1"/>
      <c r="D84" s="273"/>
      <c r="E84" s="366"/>
      <c r="F84" s="366"/>
      <c r="G84" s="366"/>
      <c r="H84" s="348" t="s">
        <v>210</v>
      </c>
      <c r="I84" s="300">
        <v>12605.26</v>
      </c>
      <c r="J84" s="299">
        <v>600.5</v>
      </c>
      <c r="K84" s="300">
        <v>491.64</v>
      </c>
      <c r="L84" s="299">
        <v>15183.9</v>
      </c>
      <c r="M84" s="104">
        <v>36025.39</v>
      </c>
      <c r="N84" s="618">
        <v>38660.869999999995</v>
      </c>
      <c r="O84" s="145"/>
      <c r="P84" s="437"/>
      <c r="Q84" s="86"/>
      <c r="R84" s="86"/>
    </row>
    <row r="85" spans="1:26">
      <c r="A85" s="339"/>
      <c r="B85" s="199"/>
      <c r="C85" s="1"/>
      <c r="D85" s="273"/>
      <c r="E85" s="366"/>
      <c r="F85" s="366"/>
      <c r="G85" s="366"/>
      <c r="H85" s="379" t="s">
        <v>211</v>
      </c>
      <c r="I85" s="689">
        <v>11425.189999999999</v>
      </c>
      <c r="J85" s="438">
        <v>232.2</v>
      </c>
      <c r="K85" s="694">
        <v>262</v>
      </c>
      <c r="L85" s="606">
        <v>11864.4</v>
      </c>
      <c r="M85" s="104">
        <f>M84-I85-J85-K85+L85</f>
        <v>35970.400000000001</v>
      </c>
      <c r="N85" s="1"/>
      <c r="O85" s="366"/>
      <c r="P85" s="437"/>
      <c r="Q85" s="86"/>
      <c r="R85" s="86"/>
      <c r="V85" s="1"/>
    </row>
    <row r="86" spans="1:26">
      <c r="A86" s="339"/>
      <c r="B86" s="199"/>
      <c r="C86" s="1"/>
      <c r="D86" s="273"/>
      <c r="E86" s="366"/>
      <c r="F86" s="366"/>
      <c r="G86" s="366"/>
      <c r="H86" s="347" t="s">
        <v>9</v>
      </c>
      <c r="I86" s="689">
        <v>13612.520000000002</v>
      </c>
      <c r="J86" s="438">
        <f>19+42+25.5+33+4+25+7.5+18+170+1+9+37.5+2+1.4</f>
        <v>394.9</v>
      </c>
      <c r="K86" s="694">
        <f>112.8+296.38+33.5</f>
        <v>442.68</v>
      </c>
      <c r="L86" s="607">
        <f>14352+1353+311+316+73+278</f>
        <v>16683</v>
      </c>
      <c r="M86" s="738">
        <v>37929.35</v>
      </c>
      <c r="N86" s="722" t="s">
        <v>326</v>
      </c>
      <c r="O86" s="723"/>
      <c r="P86" s="437"/>
      <c r="Q86" s="703"/>
      <c r="R86" s="86"/>
      <c r="V86" s="1"/>
    </row>
    <row r="87" spans="1:26">
      <c r="A87" s="339"/>
      <c r="B87" s="199"/>
      <c r="C87" s="1"/>
      <c r="D87" s="273"/>
      <c r="E87" s="366"/>
      <c r="F87" s="366"/>
      <c r="G87" s="366"/>
      <c r="H87" s="347" t="s">
        <v>18</v>
      </c>
      <c r="I87" s="689">
        <v>14474.099999999999</v>
      </c>
      <c r="J87" s="438">
        <v>947.5</v>
      </c>
      <c r="K87" s="694">
        <v>526.15</v>
      </c>
      <c r="L87" s="607">
        <v>19238.8</v>
      </c>
      <c r="M87" s="104">
        <f>M86-I87-J87-K87+L87</f>
        <v>41220.399999999994</v>
      </c>
      <c r="N87" s="84"/>
      <c r="O87" s="366"/>
      <c r="P87" s="437"/>
      <c r="Q87" s="703"/>
      <c r="R87" s="86"/>
      <c r="V87" s="1"/>
    </row>
    <row r="88" spans="1:26">
      <c r="A88" s="339"/>
      <c r="B88" s="199"/>
      <c r="C88" s="1"/>
      <c r="D88" s="273"/>
      <c r="E88" s="366"/>
      <c r="F88" s="366"/>
      <c r="G88" s="366"/>
      <c r="H88" s="379" t="s">
        <v>19</v>
      </c>
      <c r="I88" s="621">
        <v>17170.439999999999</v>
      </c>
      <c r="J88" s="432">
        <v>3911.3</v>
      </c>
      <c r="K88" s="648">
        <f>21.5+122.1+41.6+353.89+95.92+8.2</f>
        <v>643.20999999999992</v>
      </c>
      <c r="L88" s="621">
        <f>660+513.5+514+683.5+535+212+2085+763+334+208+378+75+60+44+972+347+1461+81+303+363+12+44+73+133+667+281+234+225+789+767+1661+682+2828+477.5+365+873.5+390+553</f>
        <v>21647</v>
      </c>
      <c r="M88" s="104">
        <f>M87-I88-J88-K88+L88</f>
        <v>41142.449999999997</v>
      </c>
      <c r="N88" s="84"/>
      <c r="O88" s="366"/>
      <c r="P88" s="437"/>
      <c r="Q88" s="703"/>
      <c r="R88" s="86"/>
      <c r="V88" s="1"/>
    </row>
    <row r="89" spans="1:26">
      <c r="A89" s="339"/>
      <c r="B89" s="199"/>
      <c r="C89" s="1"/>
      <c r="D89" s="273"/>
      <c r="E89" s="366"/>
      <c r="F89" s="366"/>
      <c r="G89" s="366"/>
      <c r="H89" s="347" t="s">
        <v>20</v>
      </c>
      <c r="I89" s="689">
        <v>17084.789999999997</v>
      </c>
      <c r="J89" s="438">
        <v>1384.5</v>
      </c>
      <c r="K89" s="694">
        <f>231.74+381.32</f>
        <v>613.05999999999995</v>
      </c>
      <c r="L89" s="689">
        <f>861.5+275+194+301.5+390+1883.5+794+563+1402.5+380+670+229.5+35+275+150.5+18+76+68+310+1078+448+706+130+132+120+2048+130.5+296+608+1835+355+214.5+280+60+684+606</f>
        <v>18608</v>
      </c>
      <c r="M89" s="733">
        <v>43441.55</v>
      </c>
      <c r="N89" s="84"/>
      <c r="O89" s="366"/>
      <c r="P89" s="646"/>
      <c r="Q89" s="703"/>
      <c r="R89" s="86"/>
      <c r="V89" s="1"/>
    </row>
    <row r="90" spans="1:26">
      <c r="A90" s="339"/>
      <c r="B90" s="199"/>
      <c r="C90" s="1"/>
      <c r="D90" s="273"/>
      <c r="E90" s="366"/>
      <c r="F90" s="366"/>
      <c r="G90" s="366"/>
      <c r="H90" s="347" t="s">
        <v>148</v>
      </c>
      <c r="I90" s="689">
        <v>16010.099999999999</v>
      </c>
      <c r="J90" s="438">
        <f>16+65+35+15+24+192+4.6+315+19+6+29+4+35+35+15+160</f>
        <v>969.6</v>
      </c>
      <c r="K90" s="694">
        <f>318.55+297.05</f>
        <v>615.6</v>
      </c>
      <c r="L90" s="689">
        <f>2329.5+560+1456+491+2680+2008+1170+1743+283+1122+2144+623+348+597.5+612+1914+48.5+1270+194+20+375+514.5+108+1502+669+441+33+712+828+1156+829+50</f>
        <v>28831</v>
      </c>
      <c r="M90" s="104">
        <f>M89-I90-J90-K90+L90</f>
        <v>54677.250000000007</v>
      </c>
      <c r="N90" s="84"/>
      <c r="O90" s="366"/>
      <c r="P90" s="646"/>
      <c r="Q90" s="703"/>
      <c r="R90" s="86"/>
      <c r="V90" s="1"/>
    </row>
    <row r="91" spans="1:26" ht="15.75" thickBot="1">
      <c r="A91" s="339"/>
      <c r="B91" s="199"/>
      <c r="C91" s="1"/>
      <c r="D91" s="273"/>
      <c r="E91" s="366"/>
      <c r="F91" s="366"/>
      <c r="G91" s="366"/>
      <c r="H91" s="961" t="s">
        <v>162</v>
      </c>
      <c r="I91" s="962">
        <v>18487.2</v>
      </c>
      <c r="J91" s="963"/>
      <c r="K91" s="964">
        <v>733</v>
      </c>
      <c r="L91" s="962">
        <f>1090.5+178+238+342+320+112+163+3418.5+747+1608+1004+396+30+1858+1508+198+163+100+490+552+1725+777+245+1514.5+850.5+1647+348+1827+454</f>
        <v>23904</v>
      </c>
      <c r="M91" s="104">
        <f>M90-I91-J91-K91+L91</f>
        <v>59361.05</v>
      </c>
      <c r="N91" s="84"/>
      <c r="O91" s="366"/>
      <c r="P91" s="646"/>
      <c r="Q91" s="703"/>
      <c r="R91" s="86"/>
      <c r="V91" s="1"/>
    </row>
    <row r="92" spans="1:26" ht="14.25" customHeight="1">
      <c r="A92" s="339"/>
      <c r="B92" s="199"/>
      <c r="C92" s="1"/>
      <c r="D92" s="273"/>
      <c r="E92" s="84"/>
      <c r="F92" s="366"/>
      <c r="G92" s="366"/>
      <c r="H92" s="1307" t="s">
        <v>36</v>
      </c>
      <c r="I92" s="1309" t="s">
        <v>178</v>
      </c>
      <c r="J92" s="1310"/>
      <c r="K92" s="1311"/>
      <c r="L92" s="1312" t="s">
        <v>159</v>
      </c>
      <c r="M92" s="1313"/>
      <c r="N92" s="150"/>
      <c r="O92" s="84"/>
      <c r="P92" s="437"/>
      <c r="Q92" s="86"/>
      <c r="R92" s="86"/>
      <c r="V92" s="1"/>
    </row>
    <row r="93" spans="1:26">
      <c r="A93" s="339"/>
      <c r="B93" s="199"/>
      <c r="C93" s="284"/>
      <c r="D93" s="273"/>
      <c r="E93" s="284"/>
      <c r="F93" s="366"/>
      <c r="G93" s="378"/>
      <c r="H93" s="1308"/>
      <c r="I93" s="1153"/>
      <c r="J93" s="1154"/>
      <c r="K93" s="1155"/>
      <c r="L93" s="1158"/>
      <c r="M93" s="1314"/>
      <c r="N93" s="1"/>
      <c r="O93" s="84"/>
      <c r="P93" s="646"/>
      <c r="Q93" s="86"/>
      <c r="R93" s="366"/>
      <c r="S93" s="1"/>
      <c r="V93" s="1"/>
      <c r="W93" s="1"/>
      <c r="X93" s="1"/>
      <c r="Y93" s="1"/>
    </row>
    <row r="94" spans="1:26">
      <c r="A94" s="339"/>
      <c r="B94" s="199"/>
      <c r="C94" s="199"/>
      <c r="D94" s="273"/>
      <c r="E94" s="199"/>
      <c r="F94" s="366"/>
      <c r="G94" s="378"/>
      <c r="H94" s="512" t="s">
        <v>374</v>
      </c>
      <c r="I94" s="1160" t="s">
        <v>47</v>
      </c>
      <c r="J94" s="1160"/>
      <c r="K94" s="953">
        <v>34</v>
      </c>
      <c r="L94" s="282">
        <v>44058</v>
      </c>
      <c r="M94" s="111" t="s">
        <v>104</v>
      </c>
      <c r="O94" s="366"/>
      <c r="P94" s="646"/>
      <c r="Q94" s="86"/>
      <c r="R94" s="366"/>
      <c r="S94" s="1"/>
      <c r="T94" s="1"/>
      <c r="V94" s="282"/>
      <c r="W94" s="1"/>
      <c r="X94" s="1"/>
      <c r="Y94" s="1"/>
    </row>
    <row r="95" spans="1:26">
      <c r="A95" s="339"/>
      <c r="B95" s="366"/>
      <c r="C95" s="274"/>
      <c r="D95" s="273"/>
      <c r="E95" s="274"/>
      <c r="F95" s="366"/>
      <c r="G95" s="366"/>
      <c r="H95" s="956" t="s">
        <v>381</v>
      </c>
      <c r="I95" s="1161" t="s">
        <v>51</v>
      </c>
      <c r="J95" s="1161"/>
      <c r="K95" s="952">
        <v>0</v>
      </c>
      <c r="L95" s="282">
        <v>44058</v>
      </c>
      <c r="M95" s="111" t="s">
        <v>104</v>
      </c>
      <c r="N95" s="490"/>
      <c r="O95" s="366"/>
      <c r="P95" s="646"/>
      <c r="Q95" s="541"/>
      <c r="R95" s="86"/>
      <c r="S95" s="1"/>
      <c r="T95" s="1"/>
      <c r="V95" s="282"/>
      <c r="W95" s="1"/>
      <c r="X95" s="1"/>
      <c r="Y95" s="1"/>
    </row>
    <row r="96" spans="1:26">
      <c r="A96" s="340"/>
      <c r="B96" s="366"/>
      <c r="C96" s="366"/>
      <c r="D96" s="273"/>
      <c r="E96" s="199"/>
      <c r="F96" s="366"/>
      <c r="G96" s="366"/>
      <c r="H96" s="512" t="s">
        <v>374</v>
      </c>
      <c r="I96" s="1161" t="s">
        <v>52</v>
      </c>
      <c r="J96" s="1161"/>
      <c r="K96" s="952">
        <v>0.94</v>
      </c>
      <c r="L96" s="282">
        <v>44058</v>
      </c>
      <c r="M96" s="111" t="s">
        <v>104</v>
      </c>
      <c r="O96" s="366"/>
      <c r="P96" s="646"/>
      <c r="Q96" s="86"/>
      <c r="R96" s="950"/>
      <c r="S96" s="1"/>
      <c r="T96" s="1"/>
      <c r="V96" s="282"/>
      <c r="W96" s="282"/>
      <c r="X96" s="282"/>
      <c r="Y96" s="1"/>
      <c r="Z96" s="1"/>
    </row>
    <row r="97" spans="1:26">
      <c r="A97" s="340"/>
      <c r="B97" s="366"/>
      <c r="C97" s="366"/>
      <c r="D97" s="273"/>
      <c r="E97" s="366"/>
      <c r="F97" s="366"/>
      <c r="G97" s="366"/>
      <c r="H97" s="512" t="s">
        <v>374</v>
      </c>
      <c r="I97" s="1262" t="s">
        <v>49</v>
      </c>
      <c r="J97" s="1262"/>
      <c r="K97" s="952">
        <v>89</v>
      </c>
      <c r="L97" s="294"/>
      <c r="M97" s="111" t="s">
        <v>160</v>
      </c>
      <c r="N97" s="35" t="s">
        <v>358</v>
      </c>
      <c r="O97" s="84"/>
      <c r="P97" s="646"/>
      <c r="Q97" s="366"/>
      <c r="R97" s="86"/>
      <c r="S97" s="1"/>
      <c r="T97" s="282"/>
      <c r="U97" s="1"/>
      <c r="V97" s="282"/>
      <c r="W97" s="282"/>
      <c r="X97" s="282"/>
      <c r="Y97" s="1"/>
      <c r="Z97" s="1"/>
    </row>
    <row r="98" spans="1:26">
      <c r="A98" s="340"/>
      <c r="B98" s="366"/>
      <c r="C98" s="366"/>
      <c r="D98" s="273"/>
      <c r="E98" s="366"/>
      <c r="F98" s="366"/>
      <c r="G98" s="366"/>
      <c r="H98" s="512" t="s">
        <v>374</v>
      </c>
      <c r="I98" s="1276" t="s">
        <v>59</v>
      </c>
      <c r="J98" s="1276"/>
      <c r="K98" s="954">
        <v>635.83000000000004</v>
      </c>
      <c r="L98" s="302" t="s">
        <v>177</v>
      </c>
      <c r="M98" s="111" t="s">
        <v>104</v>
      </c>
      <c r="N98" s="490"/>
      <c r="O98" s="84" t="s">
        <v>359</v>
      </c>
      <c r="P98" s="646"/>
      <c r="Q98" s="479"/>
      <c r="R98" s="950"/>
      <c r="S98" s="1"/>
      <c r="T98" s="282"/>
      <c r="U98" s="1"/>
      <c r="V98" s="1"/>
      <c r="W98" s="282"/>
      <c r="X98" s="282"/>
      <c r="Y98" s="1"/>
      <c r="Z98" s="1"/>
    </row>
    <row r="99" spans="1:26">
      <c r="A99" s="340"/>
      <c r="B99" s="199"/>
      <c r="C99" s="199"/>
      <c r="D99" s="273"/>
      <c r="E99" s="199"/>
      <c r="F99" s="366"/>
      <c r="G99" s="366"/>
      <c r="H99" s="512" t="s">
        <v>374</v>
      </c>
      <c r="I99" s="1264" t="s">
        <v>68</v>
      </c>
      <c r="J99" s="1265"/>
      <c r="K99" s="952">
        <v>69.45</v>
      </c>
      <c r="L99" s="282">
        <v>44063</v>
      </c>
      <c r="M99" s="111" t="s">
        <v>104</v>
      </c>
      <c r="O99" s="366"/>
      <c r="P99" s="437"/>
      <c r="Q99" s="366"/>
      <c r="R99" s="950"/>
      <c r="S99" s="1"/>
      <c r="T99" s="282"/>
      <c r="U99" s="1"/>
      <c r="V99" s="282"/>
      <c r="W99" s="282"/>
      <c r="X99" s="282"/>
      <c r="Y99" s="1"/>
      <c r="Z99" s="1"/>
    </row>
    <row r="100" spans="1:26">
      <c r="A100" s="340"/>
      <c r="B100" s="199"/>
      <c r="C100" s="366"/>
      <c r="D100" s="273"/>
      <c r="E100" s="199"/>
      <c r="F100" s="366"/>
      <c r="G100" s="366"/>
      <c r="H100" s="512" t="s">
        <v>374</v>
      </c>
      <c r="I100" s="1264" t="s">
        <v>174</v>
      </c>
      <c r="J100" s="1265"/>
      <c r="K100" s="952">
        <v>95</v>
      </c>
      <c r="L100" s="282">
        <v>44058</v>
      </c>
      <c r="M100" s="111" t="s">
        <v>104</v>
      </c>
      <c r="O100" s="84"/>
      <c r="P100" s="86"/>
      <c r="Q100" s="366"/>
      <c r="R100" s="950"/>
      <c r="S100" s="950"/>
      <c r="T100" s="282"/>
      <c r="U100" s="282"/>
      <c r="V100" s="282"/>
      <c r="W100" s="1"/>
      <c r="X100" s="1"/>
      <c r="Y100" s="1"/>
      <c r="Z100" s="1"/>
    </row>
    <row r="101" spans="1:26">
      <c r="A101" s="340"/>
      <c r="B101" s="199"/>
      <c r="C101" s="366"/>
      <c r="D101" s="273"/>
      <c r="E101" s="199"/>
      <c r="F101" s="366"/>
      <c r="G101" s="366"/>
      <c r="H101" s="957" t="s">
        <v>241</v>
      </c>
      <c r="I101" s="945" t="s">
        <v>176</v>
      </c>
      <c r="J101" s="946"/>
      <c r="K101" s="952" t="s">
        <v>258</v>
      </c>
      <c r="L101" s="282">
        <v>44063</v>
      </c>
      <c r="M101" s="111" t="s">
        <v>104</v>
      </c>
      <c r="O101" s="84"/>
      <c r="P101" s="86"/>
      <c r="Q101" s="366"/>
      <c r="R101" s="483"/>
      <c r="S101" s="150"/>
      <c r="T101" s="1"/>
      <c r="U101" s="282"/>
      <c r="V101" s="282"/>
      <c r="W101" s="282"/>
      <c r="X101" s="282"/>
      <c r="Y101" s="1"/>
      <c r="Z101" s="1"/>
    </row>
    <row r="102" spans="1:26">
      <c r="A102" s="340"/>
      <c r="B102" s="199"/>
      <c r="C102" s="366"/>
      <c r="D102" s="273"/>
      <c r="E102" s="232"/>
      <c r="F102" s="366"/>
      <c r="G102" s="366"/>
      <c r="H102" s="512" t="s">
        <v>374</v>
      </c>
      <c r="I102" s="1264" t="s">
        <v>81</v>
      </c>
      <c r="J102" s="1265"/>
      <c r="K102" s="952">
        <v>848.1</v>
      </c>
      <c r="L102" s="282">
        <v>44053</v>
      </c>
      <c r="M102" s="111" t="s">
        <v>104</v>
      </c>
      <c r="O102" s="84"/>
      <c r="P102" s="86"/>
      <c r="Q102" s="483"/>
      <c r="R102" s="365"/>
      <c r="S102" s="150"/>
      <c r="T102" s="282"/>
      <c r="U102" s="282"/>
      <c r="V102" s="282"/>
      <c r="W102" s="282"/>
      <c r="X102" s="282"/>
      <c r="Y102" s="366"/>
      <c r="Z102" s="1"/>
    </row>
    <row r="103" spans="1:26">
      <c r="A103" s="340"/>
      <c r="B103" s="199"/>
      <c r="C103" s="366"/>
      <c r="D103" s="273"/>
      <c r="E103" s="232"/>
      <c r="F103" s="366"/>
      <c r="G103" s="366"/>
      <c r="H103" s="512" t="s">
        <v>374</v>
      </c>
      <c r="I103" s="1264" t="s">
        <v>53</v>
      </c>
      <c r="J103" s="1265"/>
      <c r="K103" s="454">
        <v>10</v>
      </c>
      <c r="L103" s="282">
        <v>44058</v>
      </c>
      <c r="M103" s="111" t="s">
        <v>104</v>
      </c>
      <c r="N103" s="490"/>
      <c r="O103" s="84"/>
      <c r="P103" s="86"/>
      <c r="Q103" s="950"/>
      <c r="R103" s="977"/>
      <c r="S103" s="1"/>
      <c r="T103" s="282"/>
      <c r="U103" s="282"/>
      <c r="V103" s="282"/>
      <c r="W103" s="282"/>
      <c r="X103" s="282"/>
      <c r="Y103" s="366"/>
      <c r="Z103" s="1"/>
    </row>
    <row r="104" spans="1:26">
      <c r="A104" s="340"/>
      <c r="B104" s="199"/>
      <c r="C104" s="366"/>
      <c r="D104" s="273"/>
      <c r="E104" s="232"/>
      <c r="F104" s="366"/>
      <c r="G104" s="366"/>
      <c r="H104" s="512" t="s">
        <v>374</v>
      </c>
      <c r="I104" s="1263" t="s">
        <v>276</v>
      </c>
      <c r="J104" s="1263"/>
      <c r="K104" s="637">
        <v>100</v>
      </c>
      <c r="L104" s="282">
        <v>44073</v>
      </c>
      <c r="M104" s="111" t="s">
        <v>104</v>
      </c>
      <c r="O104" s="84"/>
      <c r="P104" s="86"/>
      <c r="Q104" s="950"/>
      <c r="R104" s="977"/>
      <c r="S104" s="366"/>
      <c r="T104" s="282"/>
      <c r="U104" s="282"/>
      <c r="V104" s="282"/>
      <c r="W104" s="282"/>
      <c r="X104" s="282"/>
      <c r="Y104" s="1"/>
      <c r="Z104" s="1"/>
    </row>
    <row r="105" spans="1:26">
      <c r="A105" s="340"/>
      <c r="B105" s="199"/>
      <c r="C105" s="366"/>
      <c r="D105" s="273"/>
      <c r="E105" s="232"/>
      <c r="F105" s="366"/>
      <c r="G105" s="366"/>
      <c r="H105" s="512" t="s">
        <v>374</v>
      </c>
      <c r="I105" s="1263" t="s">
        <v>296</v>
      </c>
      <c r="J105" s="1263"/>
      <c r="K105" s="637">
        <v>9</v>
      </c>
      <c r="L105" s="282">
        <v>44058</v>
      </c>
      <c r="M105" s="111" t="s">
        <v>104</v>
      </c>
      <c r="O105" s="84"/>
      <c r="P105" s="86"/>
      <c r="Q105" s="950"/>
      <c r="R105" s="977"/>
      <c r="S105" s="366"/>
      <c r="T105" s="282"/>
      <c r="U105" s="282"/>
      <c r="V105" s="282"/>
      <c r="W105" s="282"/>
      <c r="X105" s="282"/>
      <c r="Y105" s="1"/>
      <c r="Z105" s="1"/>
    </row>
    <row r="106" spans="1:26">
      <c r="A106" s="340"/>
      <c r="B106" s="199"/>
      <c r="C106" s="366"/>
      <c r="D106" s="273"/>
      <c r="E106" s="232"/>
      <c r="F106" s="366"/>
      <c r="G106" s="366"/>
      <c r="H106" s="512" t="s">
        <v>374</v>
      </c>
      <c r="I106" s="1143" t="s">
        <v>345</v>
      </c>
      <c r="J106" s="1144"/>
      <c r="K106" s="637">
        <f>636.22+797.04-K100</f>
        <v>1338.26</v>
      </c>
      <c r="L106" s="282">
        <v>44073</v>
      </c>
      <c r="M106" s="111" t="s">
        <v>104</v>
      </c>
      <c r="O106" s="84"/>
      <c r="P106" s="86"/>
      <c r="Q106" s="950"/>
      <c r="R106" s="977"/>
      <c r="S106" s="366"/>
      <c r="T106" s="282"/>
      <c r="U106" s="282"/>
      <c r="V106" s="282"/>
      <c r="W106" s="282"/>
      <c r="X106" s="282"/>
      <c r="Y106" s="1"/>
      <c r="Z106" s="1"/>
    </row>
    <row r="107" spans="1:26" ht="15.75" thickBot="1">
      <c r="A107" s="341"/>
      <c r="B107" s="330"/>
      <c r="C107" s="331"/>
      <c r="D107" s="342"/>
      <c r="E107" s="330"/>
      <c r="F107" s="331"/>
      <c r="G107" s="331"/>
      <c r="H107" s="1304" t="s">
        <v>179</v>
      </c>
      <c r="I107" s="1305"/>
      <c r="J107" s="958">
        <f>SUM(K94:K106)</f>
        <v>3229.58</v>
      </c>
      <c r="K107" s="1306" t="s">
        <v>180</v>
      </c>
      <c r="L107" s="1306"/>
      <c r="M107" s="959">
        <v>0</v>
      </c>
      <c r="O107" s="84"/>
      <c r="P107" s="86"/>
      <c r="Q107" s="950"/>
      <c r="R107" s="365"/>
      <c r="S107" s="366"/>
      <c r="T107" s="282"/>
      <c r="U107" s="282"/>
      <c r="V107" s="1"/>
      <c r="W107" s="282"/>
      <c r="X107" s="282"/>
      <c r="Y107" s="1"/>
      <c r="Z107" s="1"/>
    </row>
    <row r="108" spans="1:26" ht="15.75" thickTop="1">
      <c r="C108" s="491"/>
      <c r="D108" s="491"/>
      <c r="O108" s="84"/>
      <c r="P108" s="86"/>
      <c r="Q108" s="950"/>
      <c r="R108" s="365"/>
      <c r="S108" s="366"/>
      <c r="T108" s="282"/>
      <c r="U108" s="282"/>
      <c r="V108" s="1"/>
      <c r="W108" s="282"/>
      <c r="X108" s="282"/>
      <c r="Y108" s="1"/>
      <c r="Z108" s="1"/>
    </row>
    <row r="109" spans="1:26" ht="15" customHeight="1">
      <c r="A109" s="1163" t="s">
        <v>386</v>
      </c>
      <c r="B109" s="1163"/>
      <c r="C109" s="1163"/>
      <c r="D109" s="1163"/>
      <c r="E109" s="1163"/>
      <c r="F109" s="1163"/>
      <c r="G109" s="1163"/>
      <c r="H109" s="1163"/>
      <c r="I109" s="1163"/>
      <c r="J109" s="1163"/>
      <c r="K109" s="1163"/>
      <c r="L109" s="1163"/>
      <c r="M109" s="1163"/>
      <c r="O109" s="84"/>
      <c r="P109" s="86"/>
      <c r="Q109" s="950"/>
      <c r="R109" s="977"/>
      <c r="S109" s="1"/>
      <c r="T109" s="282"/>
      <c r="U109" s="282"/>
      <c r="V109" s="1"/>
      <c r="W109" s="1"/>
      <c r="X109" s="1"/>
      <c r="Y109" s="1"/>
      <c r="Z109" s="1"/>
    </row>
    <row r="110" spans="1:26" ht="15.75" customHeight="1" thickBot="1">
      <c r="A110" s="1164"/>
      <c r="B110" s="1164"/>
      <c r="C110" s="1164"/>
      <c r="D110" s="1164"/>
      <c r="E110" s="1164"/>
      <c r="F110" s="1164"/>
      <c r="G110" s="1164"/>
      <c r="H110" s="1164"/>
      <c r="I110" s="1164"/>
      <c r="J110" s="1164"/>
      <c r="K110" s="1164"/>
      <c r="L110" s="1164"/>
      <c r="M110" s="1164"/>
      <c r="O110" s="84"/>
      <c r="P110" s="86"/>
      <c r="Q110" s="950"/>
      <c r="R110" s="977"/>
      <c r="S110" s="1"/>
      <c r="T110" s="1"/>
      <c r="U110" s="282"/>
      <c r="V110" s="1"/>
      <c r="W110" s="1"/>
      <c r="X110" s="1"/>
      <c r="Y110" s="1"/>
      <c r="Z110" s="1"/>
    </row>
    <row r="111" spans="1:26" ht="15.75" thickTop="1">
      <c r="A111" s="1301" t="s">
        <v>43</v>
      </c>
      <c r="B111" s="1268"/>
      <c r="C111" s="1268"/>
      <c r="D111" s="1268"/>
      <c r="E111" s="1268"/>
      <c r="F111" s="1302"/>
      <c r="G111" s="323"/>
      <c r="O111" s="84"/>
      <c r="P111" s="86"/>
      <c r="Q111" s="647"/>
      <c r="R111" s="977"/>
      <c r="S111" s="1"/>
      <c r="T111" s="1"/>
      <c r="U111" s="282"/>
      <c r="V111" s="1"/>
      <c r="W111" s="1"/>
      <c r="X111" s="1"/>
      <c r="Y111" s="1"/>
      <c r="Z111" s="1"/>
    </row>
    <row r="112" spans="1:26">
      <c r="A112" s="1213" t="s">
        <v>342</v>
      </c>
      <c r="B112" s="1214"/>
      <c r="C112" s="944" t="s">
        <v>35</v>
      </c>
      <c r="D112" s="944" t="s">
        <v>38</v>
      </c>
      <c r="E112" s="944" t="s">
        <v>42</v>
      </c>
      <c r="F112" s="944" t="s">
        <v>44</v>
      </c>
      <c r="G112" s="1"/>
      <c r="O112" s="84"/>
      <c r="P112" s="86"/>
      <c r="Q112" s="950"/>
      <c r="R112" s="977"/>
      <c r="S112" s="1"/>
      <c r="T112" s="1"/>
      <c r="U112" s="1"/>
      <c r="W112" s="1"/>
      <c r="X112" s="1"/>
      <c r="Y112" s="1"/>
      <c r="Z112" s="1"/>
    </row>
    <row r="113" spans="1:26">
      <c r="A113" s="1290" t="s">
        <v>40</v>
      </c>
      <c r="B113" s="1271"/>
      <c r="C113" s="481">
        <v>884.45</v>
      </c>
      <c r="D113" s="481"/>
      <c r="E113" s="481"/>
      <c r="F113" s="3"/>
      <c r="G113" s="1"/>
      <c r="O113" s="84"/>
      <c r="P113" s="86"/>
      <c r="Q113" s="950"/>
      <c r="R113" s="977"/>
      <c r="S113" s="1"/>
      <c r="T113" s="1"/>
      <c r="U113" s="1"/>
      <c r="W113" s="1"/>
      <c r="X113" s="1"/>
      <c r="Y113" s="1"/>
      <c r="Z113" s="1"/>
    </row>
    <row r="114" spans="1:26">
      <c r="A114" s="340"/>
      <c r="B114" s="366"/>
      <c r="C114" s="498">
        <f>SUM(C113:C113)</f>
        <v>884.45</v>
      </c>
      <c r="D114" s="366"/>
      <c r="E114" s="84"/>
      <c r="F114" s="366"/>
      <c r="G114" s="1"/>
      <c r="K114" s="490"/>
      <c r="O114" s="84"/>
      <c r="P114" s="86"/>
      <c r="Q114" s="950"/>
      <c r="R114" s="977"/>
      <c r="T114" s="1"/>
      <c r="U114" s="1"/>
      <c r="Z114" s="1"/>
    </row>
    <row r="115" spans="1:26">
      <c r="A115" s="340"/>
      <c r="B115" s="366"/>
      <c r="C115" s="366"/>
      <c r="D115" s="366"/>
      <c r="E115" s="366"/>
      <c r="F115" s="366"/>
      <c r="G115" s="1"/>
      <c r="O115" s="84"/>
      <c r="P115" s="86"/>
      <c r="Q115" s="950"/>
      <c r="R115" s="977"/>
      <c r="U115" s="1"/>
      <c r="Z115" s="1"/>
    </row>
    <row r="116" spans="1:26">
      <c r="A116" s="340"/>
      <c r="B116" s="366"/>
      <c r="C116" s="366"/>
      <c r="D116" s="366"/>
      <c r="E116" s="366"/>
      <c r="F116" s="366"/>
      <c r="G116" s="1"/>
      <c r="M116" s="490"/>
      <c r="O116" s="84"/>
      <c r="P116" s="86"/>
      <c r="Q116" s="950"/>
      <c r="R116" s="977"/>
      <c r="U116" s="1"/>
      <c r="Z116" s="1"/>
    </row>
    <row r="117" spans="1:26">
      <c r="A117" s="340"/>
      <c r="B117" s="366"/>
      <c r="C117" s="366"/>
      <c r="D117" s="366"/>
      <c r="E117" s="366"/>
      <c r="F117" s="366"/>
      <c r="G117" s="1"/>
      <c r="O117" s="84"/>
      <c r="P117" s="86"/>
      <c r="Q117" s="950"/>
      <c r="R117" s="977"/>
      <c r="U117" s="1"/>
    </row>
    <row r="118" spans="1:26">
      <c r="A118" s="43"/>
      <c r="B118" s="1"/>
      <c r="C118" s="366"/>
      <c r="D118" s="1"/>
      <c r="E118" s="1"/>
      <c r="F118" s="1"/>
      <c r="G118" s="1"/>
      <c r="M118" s="1"/>
      <c r="O118" s="84"/>
      <c r="P118" s="86"/>
      <c r="Q118" s="950"/>
      <c r="R118" s="977"/>
    </row>
    <row r="119" spans="1:26">
      <c r="A119" s="43"/>
      <c r="B119" s="1"/>
      <c r="C119" s="366"/>
      <c r="D119" s="1"/>
      <c r="E119" s="1"/>
      <c r="F119" s="1"/>
      <c r="G119" s="1"/>
      <c r="M119" s="1"/>
      <c r="O119" s="84"/>
      <c r="P119" s="86"/>
      <c r="Q119" s="950"/>
      <c r="R119" s="977"/>
    </row>
    <row r="120" spans="1:26">
      <c r="A120" s="43"/>
      <c r="B120" s="1"/>
      <c r="C120" s="366"/>
      <c r="D120" s="1"/>
      <c r="E120" s="1"/>
      <c r="F120" s="1"/>
      <c r="G120" s="1"/>
      <c r="M120" s="1"/>
      <c r="O120" s="84"/>
      <c r="P120" s="86"/>
      <c r="Q120" s="950"/>
      <c r="R120" s="977"/>
    </row>
    <row r="121" spans="1:26">
      <c r="A121" s="43"/>
      <c r="B121" s="1"/>
      <c r="C121" s="366"/>
      <c r="D121" s="1"/>
      <c r="E121" s="1"/>
      <c r="F121" s="1"/>
      <c r="G121" s="1"/>
      <c r="M121" s="366"/>
      <c r="O121" s="84"/>
      <c r="P121" s="86"/>
      <c r="Q121" s="950"/>
      <c r="R121" s="977"/>
    </row>
    <row r="122" spans="1:26">
      <c r="A122" s="43"/>
      <c r="B122" s="1"/>
      <c r="C122" s="366"/>
      <c r="D122" s="1"/>
      <c r="E122" s="1"/>
      <c r="F122" s="1"/>
      <c r="G122" s="1"/>
      <c r="M122" s="366"/>
      <c r="O122" s="84"/>
      <c r="P122" s="86"/>
      <c r="Q122" s="950"/>
      <c r="R122" s="977"/>
    </row>
    <row r="123" spans="1:26">
      <c r="A123" s="43"/>
      <c r="B123" s="1"/>
      <c r="C123" s="366"/>
      <c r="D123" s="1"/>
      <c r="E123" s="1"/>
      <c r="F123" s="1"/>
      <c r="G123" s="1"/>
      <c r="M123" s="1"/>
      <c r="O123" s="84"/>
      <c r="P123" s="86"/>
      <c r="Q123" s="950"/>
      <c r="R123" s="977"/>
    </row>
    <row r="124" spans="1:26">
      <c r="A124" s="43"/>
      <c r="B124" s="1"/>
      <c r="C124" s="366"/>
      <c r="D124" s="1"/>
      <c r="E124" s="1"/>
      <c r="F124" s="1"/>
      <c r="G124" s="1"/>
      <c r="M124" s="1"/>
      <c r="O124" s="84"/>
      <c r="P124" s="86"/>
      <c r="Q124" s="950"/>
      <c r="R124" s="977"/>
    </row>
    <row r="125" spans="1:26">
      <c r="A125" s="43"/>
      <c r="B125" s="1"/>
      <c r="C125" s="366"/>
      <c r="D125" s="1"/>
      <c r="E125" s="1"/>
      <c r="F125" s="1"/>
      <c r="G125" s="1"/>
      <c r="M125" s="1"/>
      <c r="O125" s="84"/>
      <c r="P125" s="86"/>
      <c r="Q125" s="86"/>
      <c r="R125" s="977"/>
    </row>
    <row r="126" spans="1:26">
      <c r="A126" s="43"/>
      <c r="B126" s="1"/>
      <c r="C126" s="366"/>
      <c r="D126" s="1"/>
      <c r="E126" s="1"/>
      <c r="F126" s="1"/>
      <c r="G126" s="1"/>
      <c r="M126" s="1"/>
      <c r="O126" s="84"/>
      <c r="P126" s="86"/>
      <c r="Q126" s="86"/>
      <c r="R126" s="977"/>
    </row>
    <row r="127" spans="1:26">
      <c r="A127" s="43"/>
      <c r="B127" s="1"/>
      <c r="C127" s="366"/>
      <c r="D127" s="1"/>
      <c r="E127" s="1"/>
      <c r="F127" s="1"/>
      <c r="G127" s="1"/>
      <c r="O127" s="84"/>
      <c r="P127" s="86"/>
      <c r="Q127" s="86"/>
      <c r="R127" s="977"/>
    </row>
    <row r="128" spans="1:26">
      <c r="A128" s="43"/>
      <c r="B128" s="1"/>
      <c r="C128" s="366"/>
      <c r="D128" s="1"/>
      <c r="E128" s="1"/>
      <c r="F128" s="1"/>
      <c r="G128" s="1"/>
      <c r="O128" s="84"/>
      <c r="P128" s="86"/>
      <c r="Q128" s="86"/>
      <c r="R128" s="977"/>
    </row>
    <row r="129" spans="1:26">
      <c r="C129" s="446"/>
      <c r="O129" s="84"/>
      <c r="P129" s="86"/>
      <c r="Q129" s="86"/>
      <c r="R129" s="145"/>
    </row>
    <row r="130" spans="1:26">
      <c r="A130" s="12"/>
      <c r="C130" s="446"/>
      <c r="O130" s="84"/>
      <c r="P130" s="86"/>
      <c r="Q130" s="86"/>
      <c r="R130" s="366"/>
    </row>
    <row r="131" spans="1:26">
      <c r="C131" s="446"/>
      <c r="O131" s="84"/>
      <c r="R131" s="366"/>
    </row>
    <row r="132" spans="1:26" s="1" customFormat="1" ht="12.75" customHeight="1">
      <c r="A132" s="448"/>
      <c r="B132" s="199"/>
      <c r="D132" s="273"/>
      <c r="E132" s="366"/>
      <c r="F132" s="366"/>
      <c r="G132" s="366"/>
      <c r="H132" s="538"/>
      <c r="I132" s="902"/>
      <c r="J132" s="437"/>
      <c r="K132" s="605"/>
      <c r="L132" s="605"/>
      <c r="M132" s="436"/>
      <c r="O132" s="84"/>
      <c r="P132" s="84"/>
      <c r="Q132" s="145"/>
      <c r="R132" s="84"/>
      <c r="S132" s="84"/>
      <c r="T132" s="366"/>
      <c r="U132" s="366"/>
      <c r="V132" s="366"/>
      <c r="W132" s="366"/>
      <c r="X132" s="366"/>
      <c r="Y132" s="366"/>
      <c r="Z132" s="366"/>
    </row>
    <row r="133" spans="1:26">
      <c r="C133" s="446"/>
      <c r="O133" s="84"/>
      <c r="R133" s="366"/>
    </row>
    <row r="134" spans="1:26">
      <c r="C134" s="446"/>
      <c r="O134" s="150"/>
      <c r="R134" s="366"/>
    </row>
    <row r="135" spans="1:26">
      <c r="C135" s="446"/>
      <c r="R135" s="366"/>
    </row>
    <row r="136" spans="1:26">
      <c r="C136" s="446"/>
      <c r="R136" s="366"/>
    </row>
    <row r="137" spans="1:26">
      <c r="C137" s="446"/>
      <c r="R137" s="910"/>
    </row>
    <row r="138" spans="1:26">
      <c r="C138" s="446"/>
    </row>
  </sheetData>
  <mergeCells count="131">
    <mergeCell ref="A111:F111"/>
    <mergeCell ref="A112:B112"/>
    <mergeCell ref="A113:B113"/>
    <mergeCell ref="I104:J104"/>
    <mergeCell ref="I105:J105"/>
    <mergeCell ref="I106:J106"/>
    <mergeCell ref="H107:I107"/>
    <mergeCell ref="K107:L107"/>
    <mergeCell ref="A109:M110"/>
    <mergeCell ref="I97:J97"/>
    <mergeCell ref="I98:J98"/>
    <mergeCell ref="I99:J99"/>
    <mergeCell ref="I100:J100"/>
    <mergeCell ref="I102:J102"/>
    <mergeCell ref="I103:J103"/>
    <mergeCell ref="H92:H93"/>
    <mergeCell ref="I92:K93"/>
    <mergeCell ref="L92:M93"/>
    <mergeCell ref="I94:J94"/>
    <mergeCell ref="I95:J95"/>
    <mergeCell ref="I96:J96"/>
    <mergeCell ref="I76:J76"/>
    <mergeCell ref="L76:M76"/>
    <mergeCell ref="A77:B77"/>
    <mergeCell ref="H77:J77"/>
    <mergeCell ref="L77:M77"/>
    <mergeCell ref="H78:H79"/>
    <mergeCell ref="I78:I79"/>
    <mergeCell ref="J78:K78"/>
    <mergeCell ref="L78:L79"/>
    <mergeCell ref="M78:M79"/>
    <mergeCell ref="I73:J73"/>
    <mergeCell ref="L73:M73"/>
    <mergeCell ref="I74:J74"/>
    <mergeCell ref="L74:M74"/>
    <mergeCell ref="I75:J75"/>
    <mergeCell ref="L75:M75"/>
    <mergeCell ref="I70:J70"/>
    <mergeCell ref="L70:M70"/>
    <mergeCell ref="I71:J71"/>
    <mergeCell ref="L71:M71"/>
    <mergeCell ref="I72:J72"/>
    <mergeCell ref="L72:M72"/>
    <mergeCell ref="I67:J67"/>
    <mergeCell ref="L67:M67"/>
    <mergeCell ref="I68:J68"/>
    <mergeCell ref="L68:M68"/>
    <mergeCell ref="I69:J69"/>
    <mergeCell ref="L69:M69"/>
    <mergeCell ref="I64:J64"/>
    <mergeCell ref="L64:M64"/>
    <mergeCell ref="I65:J65"/>
    <mergeCell ref="L65:M65"/>
    <mergeCell ref="I66:J66"/>
    <mergeCell ref="L66:M66"/>
    <mergeCell ref="I61:J61"/>
    <mergeCell ref="L61:M61"/>
    <mergeCell ref="I62:J62"/>
    <mergeCell ref="L62:M62"/>
    <mergeCell ref="I63:J63"/>
    <mergeCell ref="L63:M63"/>
    <mergeCell ref="K55:L55"/>
    <mergeCell ref="H56:K56"/>
    <mergeCell ref="A57:M58"/>
    <mergeCell ref="A59:G59"/>
    <mergeCell ref="H59:M59"/>
    <mergeCell ref="I60:J60"/>
    <mergeCell ref="L60:M60"/>
    <mergeCell ref="I50:J50"/>
    <mergeCell ref="I51:J51"/>
    <mergeCell ref="I52:J52"/>
    <mergeCell ref="I53:J53"/>
    <mergeCell ref="I54:J54"/>
    <mergeCell ref="H55:I55"/>
    <mergeCell ref="I42:J42"/>
    <mergeCell ref="I43:J43"/>
    <mergeCell ref="I44:J44"/>
    <mergeCell ref="I47:J47"/>
    <mergeCell ref="I48:J48"/>
    <mergeCell ref="I49:J49"/>
    <mergeCell ref="H37:H38"/>
    <mergeCell ref="I37:K38"/>
    <mergeCell ref="L37:M38"/>
    <mergeCell ref="I39:J39"/>
    <mergeCell ref="I40:J40"/>
    <mergeCell ref="I41:J41"/>
    <mergeCell ref="A20:B20"/>
    <mergeCell ref="H20:J20"/>
    <mergeCell ref="L20:M20"/>
    <mergeCell ref="H21:H22"/>
    <mergeCell ref="I21:I22"/>
    <mergeCell ref="J21:K21"/>
    <mergeCell ref="L21:L22"/>
    <mergeCell ref="M21:M22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</mergeCells>
  <printOptions horizontalCentered="1" verticalCentered="1"/>
  <pageMargins left="0" right="0" top="0" bottom="0" header="0" footer="0"/>
  <pageSetup paperSize="9" scale="7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7"/>
  <sheetViews>
    <sheetView zoomScale="115" zoomScaleNormal="115" zoomScaleSheetLayoutView="115" zoomScalePageLayoutView="70" workbookViewId="0">
      <pane xSplit="1" ySplit="1" topLeftCell="B31" activePane="bottomRight" state="frozen"/>
      <selection pane="topRight" activeCell="B1" sqref="B1"/>
      <selection pane="bottomLeft" activeCell="A4" sqref="A4"/>
      <selection pane="bottomRight" activeCell="G45" sqref="G45"/>
    </sheetView>
  </sheetViews>
  <sheetFormatPr defaultColWidth="9.140625" defaultRowHeight="15"/>
  <cols>
    <col min="1" max="1" width="12.7109375" style="35" customWidth="1"/>
    <col min="2" max="2" width="6" style="35" customWidth="1"/>
    <col min="3" max="7" width="14.7109375" style="35" customWidth="1"/>
    <col min="8" max="13" width="18.7109375" style="35" customWidth="1"/>
    <col min="14" max="16384" width="9.140625" style="35"/>
  </cols>
  <sheetData>
    <row r="1" spans="1:16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15" t="s">
        <v>191</v>
      </c>
      <c r="I1" s="463" t="s">
        <v>240</v>
      </c>
      <c r="J1" s="463" t="s">
        <v>371</v>
      </c>
      <c r="K1" s="463"/>
      <c r="L1" s="463"/>
    </row>
    <row r="2" spans="1:16" ht="11.1" customHeight="1">
      <c r="B2" s="16">
        <f>IF(C2="","",WEEKDAY(C2,2))</f>
        <v>4</v>
      </c>
      <c r="C2" s="17">
        <v>44105</v>
      </c>
      <c r="D2" s="757"/>
      <c r="E2" s="757">
        <v>415</v>
      </c>
      <c r="F2" s="873">
        <v>389.9</v>
      </c>
      <c r="G2" s="227"/>
      <c r="H2" s="968"/>
      <c r="I2" s="669"/>
      <c r="J2" s="463"/>
      <c r="K2" s="463"/>
      <c r="L2" s="463"/>
    </row>
    <row r="3" spans="1:16" ht="11.1" customHeight="1">
      <c r="B3" s="16">
        <f t="shared" ref="B3:B32" si="0">IF(C3="","",WEEKDAY(C3,2))</f>
        <v>5</v>
      </c>
      <c r="C3" s="17">
        <v>44106</v>
      </c>
      <c r="D3" s="757"/>
      <c r="E3" s="22">
        <v>736.05</v>
      </c>
      <c r="F3" s="873"/>
      <c r="G3" s="227">
        <v>288.89999999999998</v>
      </c>
      <c r="H3" s="968"/>
      <c r="I3" s="670"/>
      <c r="J3" s="463"/>
      <c r="K3" s="463"/>
      <c r="L3" s="463"/>
    </row>
    <row r="4" spans="1:16" ht="11.1" customHeight="1">
      <c r="B4" s="16">
        <f t="shared" si="0"/>
        <v>6</v>
      </c>
      <c r="C4" s="17">
        <v>44107</v>
      </c>
      <c r="D4" s="757"/>
      <c r="E4" s="22">
        <v>1176.6099999999999</v>
      </c>
      <c r="F4" s="873"/>
      <c r="G4" s="227">
        <v>530.70000000000005</v>
      </c>
      <c r="H4" s="968"/>
      <c r="I4" s="670"/>
      <c r="J4" s="463"/>
      <c r="K4" s="463"/>
      <c r="L4" s="463"/>
    </row>
    <row r="5" spans="1:16" ht="11.1" customHeight="1">
      <c r="B5" s="16">
        <f t="shared" si="0"/>
        <v>7</v>
      </c>
      <c r="C5" s="17">
        <v>44108</v>
      </c>
      <c r="D5" s="757">
        <v>396</v>
      </c>
      <c r="E5" s="757"/>
      <c r="F5" s="873"/>
      <c r="G5" s="227">
        <v>746</v>
      </c>
      <c r="H5" s="968"/>
      <c r="I5" s="85"/>
      <c r="J5" s="463"/>
      <c r="K5" s="463"/>
      <c r="L5" s="463"/>
    </row>
    <row r="6" spans="1:16" ht="11.1" customHeight="1">
      <c r="B6" s="16">
        <f t="shared" si="0"/>
        <v>1</v>
      </c>
      <c r="C6" s="17">
        <v>44109</v>
      </c>
      <c r="D6" s="757">
        <v>799.3</v>
      </c>
      <c r="E6" s="757"/>
      <c r="F6" s="873">
        <v>398</v>
      </c>
      <c r="G6" s="227"/>
      <c r="H6" s="968"/>
      <c r="I6" s="85"/>
      <c r="J6" s="463"/>
      <c r="K6" s="463"/>
      <c r="L6" s="463"/>
    </row>
    <row r="7" spans="1:16" ht="11.1" customHeight="1">
      <c r="B7" s="16">
        <f t="shared" si="0"/>
        <v>2</v>
      </c>
      <c r="C7" s="17">
        <v>44110</v>
      </c>
      <c r="D7" s="757"/>
      <c r="E7" s="757">
        <v>829.8</v>
      </c>
      <c r="F7" s="873">
        <v>187.5</v>
      </c>
      <c r="G7" s="227"/>
      <c r="H7" s="875"/>
      <c r="I7" s="85"/>
      <c r="J7" s="463"/>
      <c r="K7" s="463"/>
      <c r="L7" s="463"/>
    </row>
    <row r="8" spans="1:16" ht="11.1" customHeight="1">
      <c r="B8" s="16">
        <f t="shared" si="0"/>
        <v>3</v>
      </c>
      <c r="C8" s="17">
        <v>44111</v>
      </c>
      <c r="D8" s="757"/>
      <c r="E8" s="757">
        <v>685.1</v>
      </c>
      <c r="F8" s="873">
        <v>455.4</v>
      </c>
      <c r="G8" s="227"/>
      <c r="H8" s="885"/>
      <c r="I8" s="726"/>
      <c r="J8" s="463"/>
      <c r="K8" s="463"/>
      <c r="L8" s="463"/>
    </row>
    <row r="9" spans="1:16" ht="11.1" customHeight="1">
      <c r="B9" s="16">
        <f t="shared" si="0"/>
        <v>4</v>
      </c>
      <c r="C9" s="17">
        <v>44112</v>
      </c>
      <c r="D9" s="757"/>
      <c r="E9" s="757">
        <v>968.4</v>
      </c>
      <c r="F9" s="873"/>
      <c r="G9" s="227">
        <v>360.4</v>
      </c>
      <c r="H9" s="18"/>
      <c r="I9" s="726"/>
      <c r="J9" s="463"/>
      <c r="K9" s="463"/>
      <c r="L9" s="463"/>
    </row>
    <row r="10" spans="1:16" ht="11.1" customHeight="1">
      <c r="B10" s="16">
        <f t="shared" si="0"/>
        <v>5</v>
      </c>
      <c r="C10" s="17">
        <v>44113</v>
      </c>
      <c r="D10" s="757">
        <v>867.1</v>
      </c>
      <c r="E10" s="739">
        <v>46</v>
      </c>
      <c r="F10" s="873"/>
      <c r="G10" s="227">
        <v>329.6</v>
      </c>
      <c r="H10" s="431"/>
      <c r="I10" s="726"/>
      <c r="J10" s="463"/>
      <c r="K10" s="463"/>
      <c r="L10" s="463"/>
    </row>
    <row r="11" spans="1:16" ht="11.1" customHeight="1">
      <c r="B11" s="16">
        <f t="shared" si="0"/>
        <v>6</v>
      </c>
      <c r="C11" s="17">
        <v>44114</v>
      </c>
      <c r="D11" s="757">
        <v>578.70000000000005</v>
      </c>
      <c r="E11" s="757"/>
      <c r="F11" s="873"/>
      <c r="G11" s="227">
        <v>382.8</v>
      </c>
      <c r="H11" s="226"/>
      <c r="I11" s="968"/>
      <c r="J11" s="463"/>
      <c r="K11" s="465"/>
      <c r="L11" s="463"/>
      <c r="N11" s="86"/>
      <c r="O11" s="86"/>
      <c r="P11" s="86"/>
    </row>
    <row r="12" spans="1:16" ht="11.1" customHeight="1">
      <c r="B12" s="16">
        <f t="shared" si="0"/>
        <v>7</v>
      </c>
      <c r="C12" s="17">
        <v>44115</v>
      </c>
      <c r="D12" s="757">
        <v>435</v>
      </c>
      <c r="E12" s="757"/>
      <c r="F12" s="873">
        <v>701.9</v>
      </c>
      <c r="G12" s="227"/>
      <c r="H12" s="226"/>
      <c r="I12" s="726"/>
      <c r="J12" s="463"/>
      <c r="K12" s="465"/>
      <c r="L12" s="463"/>
      <c r="N12" s="86"/>
      <c r="O12" s="86"/>
      <c r="P12" s="86"/>
    </row>
    <row r="13" spans="1:16" ht="11.1" customHeight="1">
      <c r="B13" s="16">
        <f t="shared" si="0"/>
        <v>1</v>
      </c>
      <c r="C13" s="17">
        <v>44116</v>
      </c>
      <c r="D13" s="757"/>
      <c r="E13" s="757">
        <v>466.25</v>
      </c>
      <c r="F13" s="873">
        <v>787.2</v>
      </c>
      <c r="G13" s="227"/>
      <c r="H13" s="226"/>
      <c r="I13" s="726"/>
      <c r="J13" s="463"/>
      <c r="K13" s="465"/>
      <c r="L13" s="463"/>
      <c r="N13" s="86"/>
      <c r="O13" s="86"/>
      <c r="P13" s="86"/>
    </row>
    <row r="14" spans="1:16" ht="11.1" customHeight="1">
      <c r="B14" s="16">
        <f t="shared" si="0"/>
        <v>2</v>
      </c>
      <c r="C14" s="17">
        <v>44117</v>
      </c>
      <c r="D14" s="757"/>
      <c r="E14" s="757">
        <v>657.5</v>
      </c>
      <c r="F14" s="873">
        <v>411.3</v>
      </c>
      <c r="G14" s="227"/>
      <c r="H14" s="226"/>
      <c r="I14" s="726"/>
      <c r="J14" s="463"/>
      <c r="K14" s="465"/>
      <c r="L14" s="463"/>
      <c r="N14" s="86"/>
      <c r="O14" s="86"/>
      <c r="P14" s="86"/>
    </row>
    <row r="15" spans="1:16" ht="11.25" customHeight="1">
      <c r="A15" s="86"/>
      <c r="B15" s="16">
        <f t="shared" si="0"/>
        <v>3</v>
      </c>
      <c r="C15" s="17">
        <v>44118</v>
      </c>
      <c r="D15" s="757">
        <v>898.2</v>
      </c>
      <c r="E15" s="757"/>
      <c r="F15" s="873"/>
      <c r="G15" s="227">
        <v>582</v>
      </c>
      <c r="H15" s="968"/>
      <c r="I15" s="14"/>
      <c r="J15" s="463"/>
      <c r="K15" s="465"/>
      <c r="L15" s="463"/>
      <c r="N15" s="86"/>
      <c r="O15" s="86"/>
      <c r="P15" s="86"/>
    </row>
    <row r="16" spans="1:16" ht="12.75" customHeight="1">
      <c r="A16" s="86"/>
      <c r="B16" s="16">
        <f t="shared" si="0"/>
        <v>4</v>
      </c>
      <c r="C16" s="17">
        <v>44119</v>
      </c>
      <c r="D16" s="757">
        <v>972.3</v>
      </c>
      <c r="E16" s="757"/>
      <c r="F16" s="873"/>
      <c r="G16" s="227">
        <v>983.1</v>
      </c>
      <c r="H16" s="885"/>
      <c r="I16" s="726"/>
      <c r="J16" s="463"/>
      <c r="K16" s="465"/>
      <c r="L16" s="465"/>
      <c r="M16" s="86"/>
      <c r="N16" s="86"/>
      <c r="O16" s="86"/>
      <c r="P16" s="86"/>
    </row>
    <row r="17" spans="1:16" ht="11.1" customHeight="1">
      <c r="A17" s="86"/>
      <c r="B17" s="16">
        <f t="shared" si="0"/>
        <v>5</v>
      </c>
      <c r="C17" s="17">
        <v>44120</v>
      </c>
      <c r="D17" s="757"/>
      <c r="E17" s="757">
        <v>1341.5</v>
      </c>
      <c r="F17" s="873">
        <v>926</v>
      </c>
      <c r="G17" s="227"/>
      <c r="H17" s="14"/>
      <c r="I17" s="726"/>
      <c r="J17" s="463"/>
      <c r="K17" s="465"/>
      <c r="L17" s="467"/>
      <c r="M17" s="86"/>
      <c r="N17" s="86"/>
      <c r="O17" s="86"/>
      <c r="P17" s="86"/>
    </row>
    <row r="18" spans="1:16" ht="11.1" customHeight="1">
      <c r="A18" s="86"/>
      <c r="B18" s="16">
        <f t="shared" si="0"/>
        <v>6</v>
      </c>
      <c r="C18" s="17">
        <v>44121</v>
      </c>
      <c r="D18" s="757"/>
      <c r="E18" s="739"/>
      <c r="F18" s="873">
        <v>1041.9000000000001</v>
      </c>
      <c r="G18" s="973">
        <v>1435.9</v>
      </c>
      <c r="H18" s="226"/>
      <c r="I18" s="726"/>
      <c r="J18" s="463"/>
      <c r="K18" s="465"/>
      <c r="L18" s="465"/>
      <c r="M18" s="86"/>
      <c r="N18" s="86"/>
      <c r="O18" s="86"/>
      <c r="P18" s="86"/>
    </row>
    <row r="19" spans="1:16" ht="11.1" customHeight="1">
      <c r="A19" s="86"/>
      <c r="B19" s="16">
        <f t="shared" si="0"/>
        <v>7</v>
      </c>
      <c r="C19" s="17">
        <v>44122</v>
      </c>
      <c r="D19" s="22">
        <v>1693.93</v>
      </c>
      <c r="E19" s="22"/>
      <c r="F19" s="873"/>
      <c r="G19" s="227">
        <v>1057.3</v>
      </c>
      <c r="H19" s="14"/>
      <c r="I19" s="726"/>
      <c r="J19" s="463"/>
      <c r="K19" s="465"/>
      <c r="L19" s="465"/>
      <c r="M19" s="86"/>
      <c r="N19" s="86"/>
      <c r="O19" s="86"/>
      <c r="P19" s="86"/>
    </row>
    <row r="20" spans="1:16" s="86" customFormat="1" ht="11.1" customHeight="1">
      <c r="A20" s="474"/>
      <c r="B20" s="16">
        <f t="shared" si="0"/>
        <v>1</v>
      </c>
      <c r="C20" s="17">
        <v>44123</v>
      </c>
      <c r="D20" s="22">
        <v>905.6</v>
      </c>
      <c r="E20" s="739">
        <v>20</v>
      </c>
      <c r="F20" s="873"/>
      <c r="G20" s="227">
        <v>827.4</v>
      </c>
      <c r="H20" s="22"/>
      <c r="I20" s="727"/>
      <c r="J20" s="465"/>
      <c r="K20" s="465"/>
      <c r="L20" s="465"/>
    </row>
    <row r="21" spans="1:16" s="86" customFormat="1" ht="11.1" customHeight="1">
      <c r="B21" s="16">
        <f t="shared" si="0"/>
        <v>2</v>
      </c>
      <c r="C21" s="17">
        <v>44124</v>
      </c>
      <c r="D21" s="739">
        <v>38</v>
      </c>
      <c r="E21" s="22">
        <v>1270.3</v>
      </c>
      <c r="F21" s="873">
        <v>635</v>
      </c>
      <c r="G21" s="227"/>
      <c r="H21" s="226"/>
      <c r="I21" s="727"/>
      <c r="J21" s="465"/>
      <c r="K21" s="465"/>
      <c r="L21" s="465"/>
    </row>
    <row r="22" spans="1:16" s="86" customFormat="1" ht="11.1" customHeight="1">
      <c r="B22" s="16">
        <f t="shared" si="0"/>
        <v>3</v>
      </c>
      <c r="C22" s="17">
        <v>44125</v>
      </c>
      <c r="D22" s="22"/>
      <c r="E22" s="22">
        <v>743.98</v>
      </c>
      <c r="F22" s="873"/>
      <c r="G22" s="227">
        <v>643.1</v>
      </c>
      <c r="H22" s="226"/>
      <c r="I22" s="727"/>
      <c r="J22" s="465"/>
      <c r="K22" s="465"/>
      <c r="L22" s="465"/>
    </row>
    <row r="23" spans="1:16" s="86" customFormat="1" ht="11.1" customHeight="1">
      <c r="A23" s="888"/>
      <c r="B23" s="16">
        <f t="shared" si="0"/>
        <v>4</v>
      </c>
      <c r="C23" s="17">
        <v>44126</v>
      </c>
      <c r="D23" s="22">
        <v>1007.9</v>
      </c>
      <c r="E23" s="22"/>
      <c r="F23" s="873"/>
      <c r="G23" s="227">
        <v>822.4</v>
      </c>
      <c r="H23" s="475"/>
      <c r="I23" s="727"/>
      <c r="J23" s="465"/>
      <c r="K23" s="465"/>
      <c r="L23" s="465"/>
    </row>
    <row r="24" spans="1:16" s="86" customFormat="1" ht="10.5" customHeight="1">
      <c r="A24" s="888"/>
      <c r="B24" s="16">
        <f t="shared" si="0"/>
        <v>5</v>
      </c>
      <c r="C24" s="17">
        <v>44127</v>
      </c>
      <c r="D24" s="22">
        <v>791.7</v>
      </c>
      <c r="E24" s="22"/>
      <c r="F24" s="873">
        <v>728.2</v>
      </c>
      <c r="G24" s="227"/>
      <c r="H24" s="226"/>
      <c r="I24" s="727"/>
      <c r="J24" s="465"/>
      <c r="K24" s="704"/>
      <c r="L24" s="465"/>
    </row>
    <row r="25" spans="1:16" s="86" customFormat="1" ht="11.1" customHeight="1">
      <c r="B25" s="16">
        <f t="shared" si="0"/>
        <v>6</v>
      </c>
      <c r="C25" s="17">
        <v>44128</v>
      </c>
      <c r="D25" s="22"/>
      <c r="E25" s="22">
        <v>566.74</v>
      </c>
      <c r="F25" s="873">
        <v>1106.4000000000001</v>
      </c>
      <c r="G25" s="227"/>
      <c r="H25" s="226"/>
      <c r="I25" s="727"/>
      <c r="J25" s="465"/>
      <c r="K25" s="465"/>
      <c r="L25" s="476"/>
    </row>
    <row r="26" spans="1:16" s="86" customFormat="1" ht="11.1" customHeight="1">
      <c r="B26" s="16">
        <f t="shared" si="0"/>
        <v>7</v>
      </c>
      <c r="C26" s="17">
        <v>44129</v>
      </c>
      <c r="D26" s="22"/>
      <c r="E26" s="22">
        <v>650.29999999999995</v>
      </c>
      <c r="F26" s="873">
        <v>514</v>
      </c>
      <c r="G26" s="227"/>
      <c r="H26" s="226"/>
      <c r="I26" s="727"/>
      <c r="J26" s="465"/>
      <c r="K26" s="465"/>
      <c r="L26" s="476"/>
    </row>
    <row r="27" spans="1:16" s="86" customFormat="1" ht="11.1" customHeight="1">
      <c r="B27" s="16">
        <f t="shared" si="0"/>
        <v>1</v>
      </c>
      <c r="C27" s="17">
        <v>44130</v>
      </c>
      <c r="D27" s="22">
        <v>769.88</v>
      </c>
      <c r="E27" s="22"/>
      <c r="F27" s="873"/>
      <c r="G27" s="227">
        <v>505.5</v>
      </c>
      <c r="H27" s="226"/>
      <c r="I27" s="727"/>
      <c r="J27" s="468"/>
      <c r="K27" s="468"/>
      <c r="L27" s="468"/>
      <c r="M27" s="366"/>
      <c r="N27" s="366"/>
      <c r="O27" s="366"/>
      <c r="P27" s="366"/>
    </row>
    <row r="28" spans="1:16" s="86" customFormat="1" ht="10.5" customHeight="1">
      <c r="A28" s="474"/>
      <c r="B28" s="16">
        <f t="shared" si="0"/>
        <v>2</v>
      </c>
      <c r="C28" s="17">
        <v>44131</v>
      </c>
      <c r="D28" s="22">
        <v>572</v>
      </c>
      <c r="E28" s="22"/>
      <c r="F28" s="873"/>
      <c r="G28" s="227">
        <v>360.4</v>
      </c>
      <c r="H28" s="226"/>
      <c r="I28" s="727"/>
      <c r="J28" s="468"/>
      <c r="K28" s="468"/>
      <c r="L28" s="468"/>
      <c r="M28" s="366"/>
      <c r="N28" s="366"/>
      <c r="O28" s="366"/>
      <c r="P28" s="366"/>
    </row>
    <row r="29" spans="1:16" s="86" customFormat="1" ht="10.5" customHeight="1">
      <c r="B29" s="16">
        <f t="shared" si="0"/>
        <v>3</v>
      </c>
      <c r="C29" s="17">
        <v>44132</v>
      </c>
      <c r="D29" s="22"/>
      <c r="E29" s="22">
        <v>605.85</v>
      </c>
      <c r="F29" s="873">
        <v>203.9</v>
      </c>
      <c r="G29" s="227"/>
      <c r="H29" s="226"/>
      <c r="I29" s="727"/>
      <c r="J29" s="468"/>
      <c r="K29" s="466"/>
      <c r="L29" s="466"/>
      <c r="M29" s="366"/>
      <c r="N29" s="366"/>
      <c r="O29" s="366"/>
      <c r="P29" s="366"/>
    </row>
    <row r="30" spans="1:16" s="86" customFormat="1" ht="11.1" customHeight="1">
      <c r="B30" s="16">
        <f t="shared" si="0"/>
        <v>4</v>
      </c>
      <c r="C30" s="17">
        <v>44133</v>
      </c>
      <c r="D30" s="22">
        <v>707.7</v>
      </c>
      <c r="E30" s="22"/>
      <c r="F30" s="873">
        <v>304.5</v>
      </c>
      <c r="G30" s="227"/>
      <c r="H30" s="226"/>
      <c r="I30" s="727"/>
      <c r="J30" s="466"/>
      <c r="K30" s="468"/>
      <c r="L30" s="466"/>
      <c r="M30" s="366"/>
      <c r="N30" s="366"/>
      <c r="O30" s="366"/>
      <c r="P30" s="366"/>
    </row>
    <row r="31" spans="1:16" s="86" customFormat="1" ht="11.1" customHeight="1">
      <c r="A31" s="474"/>
      <c r="B31" s="24">
        <f t="shared" si="0"/>
        <v>5</v>
      </c>
      <c r="C31" s="17">
        <v>44134</v>
      </c>
      <c r="D31" s="228"/>
      <c r="E31" s="228">
        <v>1009.3</v>
      </c>
      <c r="F31" s="926"/>
      <c r="G31" s="972">
        <v>480</v>
      </c>
      <c r="H31" s="22"/>
      <c r="I31" s="728"/>
      <c r="J31" s="469"/>
      <c r="K31" s="469"/>
      <c r="L31" s="469"/>
      <c r="M31" s="366"/>
      <c r="N31" s="366"/>
      <c r="O31" s="366"/>
      <c r="P31" s="366"/>
    </row>
    <row r="32" spans="1:16" s="86" customFormat="1" ht="11.25" customHeight="1">
      <c r="A32" s="474"/>
      <c r="B32" s="16">
        <f t="shared" si="0"/>
        <v>6</v>
      </c>
      <c r="C32" s="17">
        <v>44135</v>
      </c>
      <c r="D32" s="22">
        <v>685</v>
      </c>
      <c r="E32" s="22">
        <v>53.6</v>
      </c>
      <c r="F32" s="702"/>
      <c r="G32" s="226">
        <v>773.5</v>
      </c>
      <c r="H32" s="971"/>
      <c r="I32" s="728"/>
      <c r="J32" s="469"/>
      <c r="K32" s="469"/>
      <c r="L32" s="469"/>
      <c r="M32" s="145"/>
      <c r="N32" s="366"/>
      <c r="O32" s="366"/>
      <c r="P32" s="366"/>
    </row>
    <row r="33" spans="1:22" ht="14.1" customHeight="1" thickBot="1">
      <c r="B33" s="21"/>
      <c r="C33" s="546" t="s">
        <v>225</v>
      </c>
      <c r="D33" s="248">
        <v>15</v>
      </c>
      <c r="E33" s="248">
        <v>16</v>
      </c>
      <c r="F33" s="248">
        <f>COUNT(F2:F32)</f>
        <v>15</v>
      </c>
      <c r="G33" s="248">
        <f>COUNT(G2:G32)</f>
        <v>17</v>
      </c>
      <c r="I33" s="469"/>
      <c r="J33" s="469"/>
      <c r="K33" s="469"/>
      <c r="L33" s="469"/>
      <c r="M33" s="366"/>
      <c r="N33" s="366"/>
      <c r="O33" s="366"/>
      <c r="P33" s="366"/>
    </row>
    <row r="34" spans="1:22" ht="14.1" customHeight="1" thickBot="1">
      <c r="B34" s="21"/>
      <c r="C34" s="248" t="s">
        <v>73</v>
      </c>
      <c r="D34" s="929">
        <f>SUM(D2:D32)</f>
        <v>12118.310000000001</v>
      </c>
      <c r="E34" s="929">
        <f>SUM(E2:E32)</f>
        <v>12242.279999999999</v>
      </c>
      <c r="F34" s="929">
        <f>SUM(F2:F32)</f>
        <v>8791.1</v>
      </c>
      <c r="G34" s="929">
        <f>SUM(G2:G32)</f>
        <v>11109</v>
      </c>
      <c r="H34" s="1"/>
      <c r="I34" s="253" t="s">
        <v>189</v>
      </c>
      <c r="J34" s="292" t="s">
        <v>190</v>
      </c>
      <c r="K34" s="452" t="s">
        <v>219</v>
      </c>
      <c r="L34" s="363"/>
      <c r="M34" s="366"/>
      <c r="N34" s="366"/>
      <c r="O34" s="366"/>
      <c r="P34" s="366"/>
    </row>
    <row r="35" spans="1:22" ht="14.1" customHeight="1" thickBot="1">
      <c r="B35" s="21"/>
      <c r="C35" s="85" t="s">
        <v>22</v>
      </c>
      <c r="D35" s="238">
        <v>12093.75</v>
      </c>
      <c r="E35" s="238">
        <v>11998.04</v>
      </c>
      <c r="F35" s="238">
        <v>8665.25</v>
      </c>
      <c r="G35" s="238">
        <v>11047.8</v>
      </c>
      <c r="H35" s="12"/>
      <c r="I35" s="292">
        <f>SUM(D2:E32)+G18</f>
        <v>25796.490000000005</v>
      </c>
      <c r="J35" s="292">
        <f>SUM(F2:G32)-G18</f>
        <v>18464.2</v>
      </c>
      <c r="K35" s="453">
        <f>SUM(I2:I32)</f>
        <v>0</v>
      </c>
      <c r="L35" s="363"/>
      <c r="M35" s="366"/>
      <c r="N35" s="366"/>
      <c r="O35" s="366"/>
      <c r="P35" s="366"/>
    </row>
    <row r="36" spans="1:22" ht="14.1" customHeight="1">
      <c r="B36" s="21"/>
      <c r="C36" s="85" t="s">
        <v>5</v>
      </c>
      <c r="D36" s="88">
        <f t="shared" ref="D36:G36" si="1">ABS(D34-D35)</f>
        <v>24.56000000000131</v>
      </c>
      <c r="E36" s="88">
        <f t="shared" si="1"/>
        <v>244.23999999999796</v>
      </c>
      <c r="F36" s="88">
        <f t="shared" si="1"/>
        <v>125.85000000000036</v>
      </c>
      <c r="G36" s="88">
        <f t="shared" si="1"/>
        <v>61.200000000000728</v>
      </c>
      <c r="H36" s="1"/>
      <c r="I36" s="363"/>
      <c r="J36" s="363"/>
      <c r="K36" s="363"/>
      <c r="L36" s="363"/>
      <c r="M36" s="366"/>
      <c r="N36" s="366"/>
      <c r="O36" s="366"/>
      <c r="P36" s="366"/>
    </row>
    <row r="37" spans="1:22" ht="14.1" customHeight="1">
      <c r="B37" s="21"/>
      <c r="C37" s="700" t="s">
        <v>233</v>
      </c>
      <c r="D37" s="89">
        <f t="shared" ref="D37:E37" si="2">ROUND(D36*1%,2)</f>
        <v>0.25</v>
      </c>
      <c r="E37" s="89">
        <f t="shared" si="2"/>
        <v>2.44</v>
      </c>
      <c r="F37" s="89">
        <f>ROUND(F36*1%,2)</f>
        <v>1.26</v>
      </c>
      <c r="G37" s="89">
        <f>ROUND(G36*1%,2)</f>
        <v>0.61</v>
      </c>
      <c r="H37" s="1"/>
      <c r="I37" s="363"/>
      <c r="J37" s="363"/>
      <c r="K37" s="363"/>
      <c r="L37" s="363"/>
      <c r="M37" s="366"/>
      <c r="N37" s="366"/>
      <c r="O37" s="366"/>
      <c r="P37" s="366"/>
    </row>
    <row r="38" spans="1:22" ht="14.1" customHeight="1">
      <c r="B38" s="21"/>
      <c r="C38" s="699" t="s">
        <v>234</v>
      </c>
      <c r="D38" s="89">
        <f>ROUND(3%*D35,2)</f>
        <v>362.81</v>
      </c>
      <c r="E38" s="89">
        <f t="shared" ref="E38" si="3">ROUND(3%*E35,2)</f>
        <v>359.94</v>
      </c>
      <c r="F38" s="89">
        <f>ROUND(3%*F35,2)</f>
        <v>259.95999999999998</v>
      </c>
      <c r="G38" s="89">
        <f>ROUND(3%*G35,2)</f>
        <v>331.43</v>
      </c>
      <c r="H38" s="1"/>
      <c r="I38" s="145"/>
      <c r="J38" s="145"/>
      <c r="K38" s="366"/>
      <c r="L38" s="363"/>
      <c r="M38" s="366"/>
      <c r="N38" s="366"/>
      <c r="O38" s="366"/>
      <c r="P38" s="366"/>
    </row>
    <row r="39" spans="1:22" ht="14.1" customHeight="1">
      <c r="B39" s="21"/>
      <c r="C39" s="85" t="s">
        <v>7</v>
      </c>
      <c r="D39" s="87">
        <v>50</v>
      </c>
      <c r="E39" s="87">
        <v>50</v>
      </c>
      <c r="F39" s="87"/>
      <c r="G39" s="87">
        <v>40</v>
      </c>
      <c r="H39" s="12"/>
      <c r="I39" s="145"/>
      <c r="J39" s="366"/>
      <c r="K39" s="366"/>
      <c r="L39" s="363"/>
      <c r="M39" s="366"/>
      <c r="N39" s="366"/>
      <c r="O39" s="366"/>
      <c r="P39" s="366"/>
    </row>
    <row r="40" spans="1:22" ht="14.1" customHeight="1">
      <c r="B40" s="21"/>
      <c r="C40" s="85" t="s">
        <v>14</v>
      </c>
      <c r="D40" s="87">
        <f>ROUND(20*D33,2)</f>
        <v>300</v>
      </c>
      <c r="E40" s="87">
        <f>ROUND(20*E33,2)</f>
        <v>320</v>
      </c>
      <c r="F40" s="87">
        <f>ROUND(25*F33,2)</f>
        <v>375</v>
      </c>
      <c r="G40" s="88">
        <f>ROUND(25*G33,2)</f>
        <v>425</v>
      </c>
      <c r="H40" s="8"/>
      <c r="I40" s="283"/>
      <c r="J40" s="145"/>
      <c r="K40" s="145"/>
      <c r="L40" s="363"/>
      <c r="M40" s="366"/>
      <c r="N40" s="366"/>
      <c r="O40" s="366"/>
      <c r="P40" s="366"/>
    </row>
    <row r="41" spans="1:22" ht="14.1" hidden="1" customHeight="1">
      <c r="B41" s="21"/>
      <c r="C41" s="242"/>
      <c r="D41" s="18"/>
      <c r="E41" s="241"/>
      <c r="F41" s="87"/>
      <c r="G41" s="87"/>
      <c r="H41" s="12"/>
      <c r="I41" s="283"/>
      <c r="J41" s="145"/>
      <c r="K41" s="366"/>
      <c r="L41" s="366"/>
      <c r="M41" s="366"/>
      <c r="N41" s="366"/>
      <c r="O41" s="366"/>
      <c r="P41" s="366"/>
    </row>
    <row r="42" spans="1:22" ht="14.1" customHeight="1">
      <c r="B42" s="21"/>
      <c r="C42" s="242" t="s">
        <v>26</v>
      </c>
      <c r="D42" s="18"/>
      <c r="E42" s="241"/>
      <c r="F42" s="87"/>
      <c r="G42" s="940">
        <v>300</v>
      </c>
      <c r="H42" s="12" t="s">
        <v>402</v>
      </c>
      <c r="I42" s="283" t="s">
        <v>403</v>
      </c>
      <c r="J42" s="976" t="s">
        <v>404</v>
      </c>
      <c r="K42" s="366"/>
      <c r="L42" s="366"/>
      <c r="M42" s="366"/>
      <c r="N42" s="366"/>
      <c r="O42" s="366"/>
      <c r="P42" s="366"/>
    </row>
    <row r="43" spans="1:22" ht="14.1" customHeight="1">
      <c r="B43" s="21"/>
      <c r="C43" s="242" t="s">
        <v>401</v>
      </c>
      <c r="D43" s="18"/>
      <c r="E43" s="241"/>
      <c r="F43" s="87"/>
      <c r="G43" s="940">
        <v>52</v>
      </c>
      <c r="H43" s="12"/>
      <c r="I43" s="283"/>
      <c r="J43" s="145"/>
      <c r="K43" s="366"/>
      <c r="L43" s="366"/>
      <c r="M43" s="366"/>
      <c r="N43" s="366"/>
      <c r="O43" s="366"/>
      <c r="P43" s="366"/>
    </row>
    <row r="44" spans="1:22" ht="14.1" customHeight="1">
      <c r="B44" s="21"/>
      <c r="C44" s="245" t="s">
        <v>77</v>
      </c>
      <c r="D44" s="455">
        <f>D37+D38+D39+D40-D41</f>
        <v>713.06</v>
      </c>
      <c r="E44" s="455" t="e">
        <f>E37+E38+E39+E40-#REF!-E41</f>
        <v>#REF!</v>
      </c>
      <c r="F44" s="455" t="e">
        <f>F37+F38+F40-F41-#REF!</f>
        <v>#REF!</v>
      </c>
      <c r="G44" s="455">
        <f>G37+G38+G39+G40-G42-G43</f>
        <v>445.03999999999996</v>
      </c>
      <c r="H44" s="8"/>
      <c r="I44" s="145"/>
      <c r="J44" s="145" t="s">
        <v>405</v>
      </c>
      <c r="K44" s="366"/>
      <c r="L44" s="366"/>
      <c r="M44" s="366"/>
      <c r="N44" s="366"/>
      <c r="O44" s="366"/>
      <c r="P44" s="366"/>
    </row>
    <row r="45" spans="1:22" ht="14.1" customHeight="1">
      <c r="B45" s="21"/>
      <c r="C45" s="286" t="s">
        <v>45</v>
      </c>
      <c r="D45" s="287">
        <f>D37+D38+D39+D40</f>
        <v>713.06</v>
      </c>
      <c r="E45" s="287">
        <f>E37+E38+E39+E40</f>
        <v>732.38</v>
      </c>
      <c r="F45" s="287">
        <f>F37+F38+F40</f>
        <v>636.22</v>
      </c>
      <c r="G45" s="287">
        <f>G37+G38+G39+G40</f>
        <v>797.04</v>
      </c>
      <c r="I45" s="461"/>
      <c r="J45" s="366"/>
      <c r="K45" s="366"/>
      <c r="L45" s="366"/>
      <c r="M45" s="366"/>
      <c r="N45" s="366"/>
      <c r="O45" s="366"/>
      <c r="P45" s="366"/>
      <c r="Q45" s="1"/>
      <c r="R45" s="1"/>
      <c r="S45" s="1"/>
      <c r="T45" s="1"/>
      <c r="U45" s="1"/>
      <c r="V45" s="1"/>
    </row>
    <row r="46" spans="1:22" ht="14.1" customHeight="1">
      <c r="B46" s="21"/>
      <c r="C46" s="169"/>
      <c r="D46" s="364"/>
      <c r="E46" s="461"/>
      <c r="F46" s="8"/>
      <c r="G46" s="8"/>
      <c r="H46" s="8"/>
      <c r="I46" s="283"/>
      <c r="J46" s="366"/>
      <c r="K46" s="366"/>
      <c r="L46" s="366"/>
      <c r="M46" s="366"/>
      <c r="N46" s="366"/>
      <c r="O46" s="366"/>
      <c r="P46" s="366"/>
      <c r="Q46" s="1"/>
      <c r="R46" s="1"/>
      <c r="S46" s="1"/>
      <c r="T46" s="1"/>
      <c r="U46" s="1"/>
      <c r="V46" s="1"/>
    </row>
    <row r="47" spans="1:22" s="86" customFormat="1" ht="14.1" customHeight="1">
      <c r="A47" s="168"/>
      <c r="B47" s="474"/>
      <c r="C47" s="1316"/>
      <c r="D47" s="1204"/>
      <c r="E47" s="1204"/>
      <c r="F47" s="1204"/>
      <c r="G47" s="1204"/>
      <c r="H47" s="8"/>
      <c r="I47" s="68"/>
      <c r="J47" s="145"/>
      <c r="K47" s="366"/>
      <c r="L47" s="366"/>
      <c r="M47" s="145"/>
      <c r="N47" s="366"/>
      <c r="O47" s="366"/>
      <c r="P47" s="366"/>
      <c r="Q47" s="366"/>
      <c r="R47" s="366"/>
      <c r="S47" s="366"/>
      <c r="T47" s="366"/>
      <c r="U47" s="366"/>
      <c r="V47" s="366"/>
    </row>
    <row r="48" spans="1:22" s="86" customFormat="1" ht="12.95" customHeight="1">
      <c r="A48" s="168"/>
      <c r="B48" s="474"/>
      <c r="C48" s="145"/>
      <c r="D48" s="145"/>
      <c r="E48" s="145"/>
      <c r="F48" s="168"/>
      <c r="G48" s="168"/>
      <c r="H48" s="168"/>
      <c r="I48" s="72"/>
      <c r="J48" s="366"/>
      <c r="K48" s="366"/>
      <c r="L48" s="366"/>
      <c r="M48" s="145"/>
      <c r="N48" s="366"/>
      <c r="O48" s="366"/>
      <c r="P48" s="366"/>
      <c r="Q48" s="366"/>
      <c r="R48" s="366"/>
      <c r="S48" s="366"/>
      <c r="T48" s="366"/>
      <c r="U48" s="366"/>
      <c r="V48" s="366"/>
    </row>
    <row r="49" spans="1:22" ht="12.95" customHeight="1">
      <c r="B49" s="32"/>
      <c r="C49" s="1"/>
      <c r="D49" s="1"/>
      <c r="E49" s="127"/>
      <c r="G49" s="8"/>
      <c r="H49" s="207"/>
      <c r="I49" s="68"/>
      <c r="J49" s="283"/>
      <c r="K49" s="976"/>
      <c r="L49" s="366"/>
      <c r="M49" s="366"/>
      <c r="N49" s="366"/>
      <c r="O49" s="366"/>
      <c r="P49" s="366"/>
      <c r="Q49" s="1"/>
      <c r="R49" s="1"/>
      <c r="S49" s="1"/>
      <c r="T49" s="1"/>
      <c r="U49" s="1"/>
      <c r="V49" s="1"/>
    </row>
    <row r="50" spans="1:22" s="86" customFormat="1" ht="12.95" customHeight="1">
      <c r="B50" s="501"/>
      <c r="C50" s="502"/>
      <c r="D50" s="502"/>
      <c r="E50" s="502"/>
      <c r="F50" s="524"/>
      <c r="G50" s="502"/>
      <c r="H50" s="503"/>
      <c r="I50" s="969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</row>
    <row r="51" spans="1:22" s="86" customFormat="1" ht="12.95" customHeight="1">
      <c r="C51" s="502"/>
      <c r="D51" s="502"/>
      <c r="E51" s="524"/>
      <c r="F51" s="524"/>
      <c r="G51" s="502"/>
      <c r="H51" s="168"/>
      <c r="I51" s="525"/>
      <c r="J51" s="502"/>
      <c r="K51" s="502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</row>
    <row r="52" spans="1:22" s="86" customFormat="1" ht="12" customHeight="1">
      <c r="A52" s="366"/>
      <c r="B52" s="366"/>
      <c r="C52" s="502"/>
      <c r="D52" s="502"/>
      <c r="E52" s="524"/>
      <c r="F52" s="524"/>
      <c r="G52" s="502"/>
      <c r="H52" s="503"/>
      <c r="I52" s="502"/>
      <c r="J52" s="502"/>
      <c r="K52" s="502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</row>
    <row r="53" spans="1:22" s="86" customFormat="1" ht="18.75">
      <c r="A53" s="366"/>
      <c r="B53" s="366"/>
      <c r="C53" s="366"/>
      <c r="D53" s="366"/>
      <c r="E53" s="144"/>
      <c r="F53" s="168"/>
      <c r="H53" s="503"/>
      <c r="I53" s="502"/>
      <c r="J53" s="502"/>
      <c r="K53" s="502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</row>
    <row r="54" spans="1:22" s="86" customFormat="1">
      <c r="A54" s="366"/>
      <c r="B54" s="366"/>
      <c r="C54" s="366"/>
      <c r="D54" s="366"/>
      <c r="E54" s="144"/>
      <c r="I54" s="143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5" customHeight="1">
      <c r="A55" s="366"/>
      <c r="B55" s="366"/>
      <c r="C55" s="366"/>
      <c r="D55" s="366"/>
      <c r="E55" s="144"/>
      <c r="H55" s="524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s="86" customFormat="1" ht="15" customHeight="1">
      <c r="A56" s="366"/>
      <c r="B56" s="366"/>
      <c r="C56" s="366"/>
      <c r="D56" s="366"/>
      <c r="E56" s="144"/>
      <c r="H56" s="524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</row>
    <row r="57" spans="1:22" s="86" customFormat="1" ht="15" customHeight="1">
      <c r="A57" s="366"/>
      <c r="B57" s="366"/>
      <c r="C57" s="366"/>
      <c r="D57" s="366"/>
      <c r="E57" s="144"/>
      <c r="H57" s="524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>
      <c r="A58" s="366"/>
      <c r="B58" s="366"/>
      <c r="C58" s="366"/>
      <c r="D58" s="366"/>
      <c r="E58" s="144"/>
      <c r="H58" s="168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>
      <c r="A59" s="366"/>
      <c r="B59" s="366"/>
      <c r="C59" s="366"/>
      <c r="D59" s="366"/>
      <c r="E59" s="144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>
      <c r="A60" s="366"/>
      <c r="B60" s="366"/>
      <c r="C60" s="366"/>
      <c r="D60" s="366"/>
      <c r="E60" s="144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>
      <c r="A61" s="366"/>
      <c r="B61" s="366"/>
      <c r="C61" s="366"/>
      <c r="D61" s="366"/>
      <c r="E61" s="144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 s="86" customFormat="1">
      <c r="A62" s="366"/>
      <c r="B62" s="366"/>
      <c r="C62" s="366"/>
      <c r="D62" s="366"/>
      <c r="E62" s="144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</row>
    <row r="63" spans="1:22">
      <c r="A63" s="1"/>
      <c r="B63" s="1"/>
      <c r="C63" s="1"/>
      <c r="D63" s="1"/>
      <c r="E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1"/>
      <c r="D67" s="1"/>
      <c r="E67" s="11"/>
    </row>
    <row r="68" spans="1:22">
      <c r="A68" s="1"/>
      <c r="B68" s="1"/>
      <c r="C68" s="1"/>
      <c r="D68" s="1"/>
      <c r="E68" s="11"/>
    </row>
    <row r="69" spans="1:22">
      <c r="A69" s="1"/>
      <c r="B69" s="1"/>
      <c r="C69" s="1"/>
      <c r="D69" s="1"/>
      <c r="E69" s="11"/>
    </row>
    <row r="70" spans="1:22">
      <c r="A70" s="1"/>
      <c r="B70" s="1"/>
      <c r="C70" s="1"/>
      <c r="D70" s="1"/>
      <c r="E70" s="11"/>
    </row>
    <row r="71" spans="1:22">
      <c r="A71" s="1"/>
      <c r="B71" s="1"/>
      <c r="C71" s="1"/>
      <c r="D71" s="1"/>
      <c r="E71" s="11"/>
    </row>
    <row r="72" spans="1:22">
      <c r="A72" s="1"/>
      <c r="B72" s="1"/>
      <c r="C72" s="1"/>
      <c r="D72" s="1"/>
      <c r="E72" s="11"/>
    </row>
    <row r="73" spans="1:22">
      <c r="A73" s="1"/>
      <c r="B73" s="1"/>
      <c r="C73" s="1"/>
      <c r="D73" s="1"/>
      <c r="E73" s="11"/>
    </row>
    <row r="74" spans="1:22">
      <c r="A74" s="1"/>
      <c r="B74" s="1"/>
      <c r="C74" s="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A93" s="1"/>
      <c r="B93" s="1"/>
      <c r="E93" s="2"/>
    </row>
    <row r="94" spans="1:5">
      <c r="B94" s="1"/>
      <c r="E94" s="2"/>
    </row>
    <row r="95" spans="1:5">
      <c r="B95" s="1"/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mergeCells count="1">
    <mergeCell ref="C47:G47"/>
  </mergeCells>
  <conditionalFormatting sqref="B2:G32">
    <cfRule type="expression" dxfId="41" priority="1">
      <formula>$B2=7</formula>
    </cfRule>
    <cfRule type="expression" dxfId="40" priority="2">
      <formula>$B2=6</formula>
    </cfRule>
  </conditionalFormatting>
  <pageMargins left="0.7" right="0.7" top="0.75" bottom="0.75" header="0.3" footer="0.3"/>
  <pageSetup paperSize="11" scale="7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7"/>
  <sheetViews>
    <sheetView zoomScaleNormal="100" zoomScaleSheetLayoutView="115" zoomScalePageLayoutView="70" workbookViewId="0">
      <pane xSplit="1" ySplit="1" topLeftCell="B24" activePane="bottomRight" state="frozen"/>
      <selection pane="topRight" activeCell="B1" sqref="B1"/>
      <selection pane="bottomLeft" activeCell="A4" sqref="A4"/>
      <selection pane="bottomRight" activeCell="J35" sqref="J35"/>
    </sheetView>
  </sheetViews>
  <sheetFormatPr defaultColWidth="9.140625" defaultRowHeight="15"/>
  <cols>
    <col min="1" max="1" width="12.7109375" style="35" customWidth="1"/>
    <col min="2" max="2" width="6" style="35" customWidth="1"/>
    <col min="3" max="7" width="16.7109375" style="35" customWidth="1"/>
    <col min="8" max="13" width="18.7109375" style="35" customWidth="1"/>
    <col min="14" max="16384" width="9.140625" style="35"/>
  </cols>
  <sheetData>
    <row r="1" spans="1:16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15" t="s">
        <v>191</v>
      </c>
      <c r="I1" s="463" t="s">
        <v>240</v>
      </c>
      <c r="J1" s="463" t="s">
        <v>371</v>
      </c>
      <c r="K1" s="463"/>
      <c r="L1" s="463"/>
    </row>
    <row r="2" spans="1:16" ht="11.1" customHeight="1">
      <c r="B2" s="16">
        <f>IF(C2="","",WEEKDAY(C2,2))</f>
        <v>4</v>
      </c>
      <c r="C2" s="17">
        <v>44105</v>
      </c>
      <c r="D2" s="757"/>
      <c r="E2" s="757">
        <v>415</v>
      </c>
      <c r="F2" s="873">
        <v>389.9</v>
      </c>
      <c r="G2" s="227"/>
      <c r="H2" s="944"/>
      <c r="I2" s="669"/>
      <c r="J2" s="463"/>
      <c r="K2" s="463"/>
      <c r="L2" s="463"/>
    </row>
    <row r="3" spans="1:16" ht="11.1" customHeight="1">
      <c r="B3" s="16">
        <f t="shared" ref="B3:B32" si="0">IF(C3="","",WEEKDAY(C3,2))</f>
        <v>5</v>
      </c>
      <c r="C3" s="17">
        <v>44106</v>
      </c>
      <c r="D3" s="757"/>
      <c r="E3" s="22">
        <v>736.05</v>
      </c>
      <c r="F3" s="873"/>
      <c r="G3" s="227">
        <v>288.89999999999998</v>
      </c>
      <c r="H3" s="944"/>
      <c r="I3" s="670"/>
      <c r="J3" s="463"/>
      <c r="K3" s="463"/>
      <c r="L3" s="463"/>
    </row>
    <row r="4" spans="1:16" ht="11.1" customHeight="1">
      <c r="B4" s="16">
        <f t="shared" si="0"/>
        <v>6</v>
      </c>
      <c r="C4" s="17">
        <v>44107</v>
      </c>
      <c r="D4" s="757"/>
      <c r="E4" s="22">
        <v>1176.6099999999999</v>
      </c>
      <c r="F4" s="873"/>
      <c r="G4" s="227">
        <v>530.70000000000005</v>
      </c>
      <c r="H4" s="944"/>
      <c r="I4" s="670"/>
      <c r="J4" s="463"/>
      <c r="K4" s="463"/>
      <c r="L4" s="463"/>
    </row>
    <row r="5" spans="1:16" ht="11.1" customHeight="1">
      <c r="B5" s="16">
        <f t="shared" si="0"/>
        <v>7</v>
      </c>
      <c r="C5" s="17">
        <v>44108</v>
      </c>
      <c r="D5" s="757">
        <v>396</v>
      </c>
      <c r="E5" s="757"/>
      <c r="F5" s="873"/>
      <c r="G5" s="227">
        <v>746</v>
      </c>
      <c r="H5" s="944"/>
      <c r="I5" s="85"/>
      <c r="J5" s="463"/>
      <c r="K5" s="463"/>
      <c r="L5" s="463"/>
    </row>
    <row r="6" spans="1:16" ht="11.1" customHeight="1">
      <c r="B6" s="16">
        <f t="shared" si="0"/>
        <v>1</v>
      </c>
      <c r="C6" s="17">
        <v>44109</v>
      </c>
      <c r="D6" s="757">
        <v>799.3</v>
      </c>
      <c r="E6" s="757"/>
      <c r="F6" s="873">
        <v>398</v>
      </c>
      <c r="G6" s="227"/>
      <c r="H6" s="944"/>
      <c r="I6" s="85"/>
      <c r="J6" s="463"/>
      <c r="K6" s="463"/>
      <c r="L6" s="463"/>
    </row>
    <row r="7" spans="1:16" ht="11.1" customHeight="1">
      <c r="B7" s="16">
        <f t="shared" si="0"/>
        <v>2</v>
      </c>
      <c r="C7" s="17">
        <v>44110</v>
      </c>
      <c r="D7" s="757"/>
      <c r="E7" s="757">
        <v>829.8</v>
      </c>
      <c r="F7" s="873">
        <v>187.5</v>
      </c>
      <c r="G7" s="227"/>
      <c r="H7" s="875"/>
      <c r="I7" s="85"/>
      <c r="J7" s="463"/>
      <c r="K7" s="463"/>
      <c r="L7" s="463"/>
    </row>
    <row r="8" spans="1:16" ht="11.1" customHeight="1">
      <c r="B8" s="16">
        <f t="shared" si="0"/>
        <v>3</v>
      </c>
      <c r="C8" s="17">
        <v>44111</v>
      </c>
      <c r="D8" s="757"/>
      <c r="E8" s="757">
        <v>685.1</v>
      </c>
      <c r="F8" s="873">
        <v>455.4</v>
      </c>
      <c r="G8" s="227"/>
      <c r="H8" s="885"/>
      <c r="I8" s="726"/>
      <c r="J8" s="463"/>
      <c r="K8" s="463"/>
      <c r="L8" s="463"/>
    </row>
    <row r="9" spans="1:16" ht="11.1" customHeight="1">
      <c r="B9" s="16">
        <f t="shared" si="0"/>
        <v>4</v>
      </c>
      <c r="C9" s="17">
        <v>44112</v>
      </c>
      <c r="D9" s="757"/>
      <c r="E9" s="757">
        <v>968.4</v>
      </c>
      <c r="F9" s="873"/>
      <c r="G9" s="227">
        <v>360.4</v>
      </c>
      <c r="H9" s="18"/>
      <c r="I9" s="726"/>
      <c r="J9" s="463"/>
      <c r="K9" s="463"/>
      <c r="L9" s="463"/>
    </row>
    <row r="10" spans="1:16" ht="11.1" customHeight="1">
      <c r="B10" s="16">
        <f t="shared" si="0"/>
        <v>5</v>
      </c>
      <c r="C10" s="17">
        <v>44113</v>
      </c>
      <c r="D10" s="757">
        <v>867.1</v>
      </c>
      <c r="E10" s="739">
        <v>46</v>
      </c>
      <c r="F10" s="873"/>
      <c r="G10" s="227">
        <v>329.6</v>
      </c>
      <c r="H10" s="431"/>
      <c r="I10" s="726"/>
      <c r="J10" s="463"/>
      <c r="K10" s="463"/>
      <c r="L10" s="463"/>
    </row>
    <row r="11" spans="1:16" ht="11.1" customHeight="1">
      <c r="B11" s="16">
        <f t="shared" si="0"/>
        <v>6</v>
      </c>
      <c r="C11" s="17">
        <v>44114</v>
      </c>
      <c r="D11" s="757">
        <v>578.70000000000005</v>
      </c>
      <c r="E11" s="757"/>
      <c r="F11" s="873"/>
      <c r="G11" s="227">
        <v>382.8</v>
      </c>
      <c r="H11" s="226"/>
      <c r="I11" s="944"/>
      <c r="J11" s="463"/>
      <c r="K11" s="465"/>
      <c r="L11" s="463"/>
      <c r="N11" s="86"/>
      <c r="O11" s="86"/>
      <c r="P11" s="86"/>
    </row>
    <row r="12" spans="1:16" ht="11.1" customHeight="1">
      <c r="B12" s="16">
        <f t="shared" si="0"/>
        <v>7</v>
      </c>
      <c r="C12" s="17">
        <v>44115</v>
      </c>
      <c r="D12" s="757">
        <v>435</v>
      </c>
      <c r="E12" s="757"/>
      <c r="F12" s="873">
        <v>701.9</v>
      </c>
      <c r="G12" s="227"/>
      <c r="H12" s="226"/>
      <c r="I12" s="726"/>
      <c r="J12" s="463"/>
      <c r="K12" s="465"/>
      <c r="L12" s="463"/>
      <c r="N12" s="86"/>
      <c r="O12" s="86"/>
      <c r="P12" s="86"/>
    </row>
    <row r="13" spans="1:16" ht="11.1" customHeight="1">
      <c r="B13" s="16">
        <f t="shared" si="0"/>
        <v>1</v>
      </c>
      <c r="C13" s="17">
        <v>44116</v>
      </c>
      <c r="D13" s="757"/>
      <c r="E13" s="757">
        <v>466.25</v>
      </c>
      <c r="F13" s="873">
        <v>787.2</v>
      </c>
      <c r="G13" s="227"/>
      <c r="H13" s="226"/>
      <c r="I13" s="726"/>
      <c r="J13" s="463"/>
      <c r="K13" s="465"/>
      <c r="L13" s="463"/>
      <c r="N13" s="86"/>
      <c r="O13" s="86"/>
      <c r="P13" s="86"/>
    </row>
    <row r="14" spans="1:16" ht="11.1" customHeight="1">
      <c r="B14" s="16">
        <f t="shared" si="0"/>
        <v>2</v>
      </c>
      <c r="C14" s="17">
        <v>44117</v>
      </c>
      <c r="D14" s="757"/>
      <c r="E14" s="757">
        <v>657.5</v>
      </c>
      <c r="F14" s="873">
        <v>411.3</v>
      </c>
      <c r="G14" s="227"/>
      <c r="H14" s="226"/>
      <c r="I14" s="726"/>
      <c r="J14" s="463"/>
      <c r="K14" s="465"/>
      <c r="L14" s="463"/>
      <c r="N14" s="86"/>
      <c r="O14" s="86"/>
      <c r="P14" s="86"/>
    </row>
    <row r="15" spans="1:16" ht="11.25" customHeight="1">
      <c r="A15" s="86"/>
      <c r="B15" s="16">
        <f t="shared" si="0"/>
        <v>3</v>
      </c>
      <c r="C15" s="17">
        <v>44118</v>
      </c>
      <c r="D15" s="757">
        <v>898.2</v>
      </c>
      <c r="E15" s="757"/>
      <c r="F15" s="873"/>
      <c r="G15" s="227">
        <v>582</v>
      </c>
      <c r="H15" s="944"/>
      <c r="I15" s="14"/>
      <c r="J15" s="463"/>
      <c r="K15" s="465"/>
      <c r="L15" s="463"/>
      <c r="N15" s="86"/>
      <c r="O15" s="86"/>
      <c r="P15" s="86"/>
    </row>
    <row r="16" spans="1:16" ht="12.75" customHeight="1">
      <c r="A16" s="86"/>
      <c r="B16" s="16">
        <f t="shared" si="0"/>
        <v>4</v>
      </c>
      <c r="C16" s="17">
        <v>44119</v>
      </c>
      <c r="D16" s="757">
        <v>972.3</v>
      </c>
      <c r="E16" s="757"/>
      <c r="F16" s="873"/>
      <c r="G16" s="227">
        <v>983.1</v>
      </c>
      <c r="H16" s="885"/>
      <c r="I16" s="726"/>
      <c r="J16" s="463"/>
      <c r="K16" s="465"/>
      <c r="L16" s="465"/>
      <c r="M16" s="86"/>
      <c r="N16" s="86"/>
      <c r="O16" s="86"/>
      <c r="P16" s="86"/>
    </row>
    <row r="17" spans="1:16" ht="11.1" customHeight="1">
      <c r="A17" s="86"/>
      <c r="B17" s="16">
        <f t="shared" si="0"/>
        <v>5</v>
      </c>
      <c r="C17" s="17">
        <v>44120</v>
      </c>
      <c r="D17" s="757"/>
      <c r="E17" s="757">
        <v>1341.5</v>
      </c>
      <c r="F17" s="873">
        <v>926</v>
      </c>
      <c r="G17" s="227"/>
      <c r="H17" s="14"/>
      <c r="I17" s="726"/>
      <c r="J17" s="463"/>
      <c r="K17" s="465"/>
      <c r="L17" s="467"/>
      <c r="M17" s="86"/>
      <c r="N17" s="86"/>
      <c r="O17" s="86"/>
      <c r="P17" s="86"/>
    </row>
    <row r="18" spans="1:16" ht="11.1" customHeight="1">
      <c r="A18" s="86"/>
      <c r="B18" s="16">
        <f t="shared" si="0"/>
        <v>6</v>
      </c>
      <c r="C18" s="17">
        <v>44121</v>
      </c>
      <c r="D18" s="757"/>
      <c r="E18" s="739"/>
      <c r="F18" s="873">
        <v>1041.9000000000001</v>
      </c>
      <c r="G18" s="973">
        <v>1435.9</v>
      </c>
      <c r="H18" s="226"/>
      <c r="I18" s="726"/>
      <c r="J18" s="463"/>
      <c r="K18" s="465"/>
      <c r="L18" s="465"/>
      <c r="M18" s="86"/>
      <c r="N18" s="86"/>
      <c r="O18" s="86"/>
      <c r="P18" s="86"/>
    </row>
    <row r="19" spans="1:16" ht="11.1" customHeight="1">
      <c r="A19" s="86"/>
      <c r="B19" s="16">
        <f t="shared" si="0"/>
        <v>7</v>
      </c>
      <c r="C19" s="17">
        <v>44122</v>
      </c>
      <c r="D19" s="22">
        <v>1693.93</v>
      </c>
      <c r="E19" s="22"/>
      <c r="F19" s="873"/>
      <c r="G19" s="227">
        <v>1057.3</v>
      </c>
      <c r="H19" s="14"/>
      <c r="I19" s="726"/>
      <c r="J19" s="463"/>
      <c r="K19" s="465"/>
      <c r="L19" s="465"/>
      <c r="M19" s="86"/>
      <c r="N19" s="86"/>
      <c r="O19" s="86"/>
      <c r="P19" s="86"/>
    </row>
    <row r="20" spans="1:16" s="86" customFormat="1" ht="11.1" customHeight="1">
      <c r="A20" s="474"/>
      <c r="B20" s="16">
        <f t="shared" si="0"/>
        <v>1</v>
      </c>
      <c r="C20" s="17">
        <v>44123</v>
      </c>
      <c r="D20" s="22">
        <v>905.6</v>
      </c>
      <c r="E20" s="739">
        <v>20</v>
      </c>
      <c r="F20" s="873"/>
      <c r="G20" s="227">
        <v>827.4</v>
      </c>
      <c r="H20" s="22"/>
      <c r="I20" s="727"/>
      <c r="J20" s="465"/>
      <c r="K20" s="465"/>
      <c r="L20" s="465"/>
    </row>
    <row r="21" spans="1:16" s="86" customFormat="1" ht="11.1" customHeight="1">
      <c r="B21" s="16">
        <f t="shared" si="0"/>
        <v>2</v>
      </c>
      <c r="C21" s="17">
        <v>44124</v>
      </c>
      <c r="D21" s="739">
        <v>38</v>
      </c>
      <c r="E21" s="22">
        <v>1270.3</v>
      </c>
      <c r="F21" s="873">
        <v>635</v>
      </c>
      <c r="G21" s="227"/>
      <c r="H21" s="226"/>
      <c r="I21" s="727"/>
      <c r="J21" s="465"/>
      <c r="K21" s="465"/>
      <c r="L21" s="465"/>
    </row>
    <row r="22" spans="1:16" s="86" customFormat="1" ht="11.1" customHeight="1">
      <c r="B22" s="16">
        <f t="shared" si="0"/>
        <v>3</v>
      </c>
      <c r="C22" s="17">
        <v>44125</v>
      </c>
      <c r="D22" s="22"/>
      <c r="E22" s="22">
        <v>743.98</v>
      </c>
      <c r="F22" s="873"/>
      <c r="G22" s="227">
        <v>643.1</v>
      </c>
      <c r="H22" s="226"/>
      <c r="I22" s="727"/>
      <c r="J22" s="465"/>
      <c r="K22" s="465"/>
      <c r="L22" s="465"/>
    </row>
    <row r="23" spans="1:16" s="86" customFormat="1" ht="11.1" customHeight="1">
      <c r="A23" s="888"/>
      <c r="B23" s="16">
        <f t="shared" si="0"/>
        <v>4</v>
      </c>
      <c r="C23" s="17">
        <v>44126</v>
      </c>
      <c r="D23" s="22">
        <v>1007.9</v>
      </c>
      <c r="E23" s="22"/>
      <c r="F23" s="873"/>
      <c r="G23" s="227">
        <v>822.4</v>
      </c>
      <c r="H23" s="475"/>
      <c r="I23" s="727"/>
      <c r="J23" s="465"/>
      <c r="K23" s="465"/>
      <c r="L23" s="465"/>
    </row>
    <row r="24" spans="1:16" s="86" customFormat="1" ht="10.5" customHeight="1">
      <c r="A24" s="888"/>
      <c r="B24" s="16">
        <f t="shared" si="0"/>
        <v>5</v>
      </c>
      <c r="C24" s="17">
        <v>44127</v>
      </c>
      <c r="D24" s="22">
        <v>791.7</v>
      </c>
      <c r="E24" s="22"/>
      <c r="F24" s="873">
        <v>728.2</v>
      </c>
      <c r="G24" s="227"/>
      <c r="H24" s="226"/>
      <c r="I24" s="727"/>
      <c r="J24" s="465"/>
      <c r="K24" s="704"/>
      <c r="L24" s="465"/>
    </row>
    <row r="25" spans="1:16" s="86" customFormat="1" ht="11.1" customHeight="1">
      <c r="B25" s="16">
        <f t="shared" si="0"/>
        <v>6</v>
      </c>
      <c r="C25" s="17">
        <v>44128</v>
      </c>
      <c r="D25" s="22"/>
      <c r="E25" s="22">
        <v>566.74</v>
      </c>
      <c r="F25" s="873">
        <v>1106.4000000000001</v>
      </c>
      <c r="G25" s="227"/>
      <c r="H25" s="226"/>
      <c r="I25" s="727"/>
      <c r="J25" s="465"/>
      <c r="K25" s="465"/>
      <c r="L25" s="476"/>
    </row>
    <row r="26" spans="1:16" s="86" customFormat="1" ht="11.1" customHeight="1">
      <c r="B26" s="16">
        <f t="shared" si="0"/>
        <v>7</v>
      </c>
      <c r="C26" s="17">
        <v>44129</v>
      </c>
      <c r="D26" s="22"/>
      <c r="E26" s="22">
        <v>650.29999999999995</v>
      </c>
      <c r="F26" s="873">
        <v>514</v>
      </c>
      <c r="G26" s="227"/>
      <c r="H26" s="226"/>
      <c r="I26" s="727"/>
      <c r="J26" s="465"/>
      <c r="K26" s="465"/>
      <c r="L26" s="476"/>
    </row>
    <row r="27" spans="1:16" s="86" customFormat="1" ht="11.1" customHeight="1">
      <c r="B27" s="16">
        <f t="shared" si="0"/>
        <v>1</v>
      </c>
      <c r="C27" s="17">
        <v>44130</v>
      </c>
      <c r="D27" s="22">
        <v>769.88</v>
      </c>
      <c r="E27" s="22"/>
      <c r="F27" s="873"/>
      <c r="G27" s="227">
        <v>505.5</v>
      </c>
      <c r="H27" s="226"/>
      <c r="I27" s="727"/>
      <c r="J27" s="468"/>
      <c r="K27" s="468"/>
      <c r="L27" s="468"/>
      <c r="M27" s="366"/>
      <c r="N27" s="366"/>
      <c r="O27" s="366"/>
      <c r="P27" s="366"/>
    </row>
    <row r="28" spans="1:16" s="86" customFormat="1" ht="10.5" customHeight="1">
      <c r="A28" s="474"/>
      <c r="B28" s="16">
        <f t="shared" si="0"/>
        <v>2</v>
      </c>
      <c r="C28" s="17">
        <v>44131</v>
      </c>
      <c r="D28" s="22">
        <v>572</v>
      </c>
      <c r="E28" s="22"/>
      <c r="F28" s="873"/>
      <c r="G28" s="227">
        <v>360.4</v>
      </c>
      <c r="H28" s="226"/>
      <c r="I28" s="727"/>
      <c r="J28" s="468"/>
      <c r="K28" s="468"/>
      <c r="L28" s="468"/>
      <c r="M28" s="366"/>
      <c r="N28" s="366"/>
      <c r="O28" s="366"/>
      <c r="P28" s="366"/>
    </row>
    <row r="29" spans="1:16" s="86" customFormat="1" ht="10.5" customHeight="1">
      <c r="B29" s="16">
        <f t="shared" si="0"/>
        <v>3</v>
      </c>
      <c r="C29" s="17">
        <v>44132</v>
      </c>
      <c r="D29" s="22"/>
      <c r="E29" s="22">
        <v>605.85</v>
      </c>
      <c r="F29" s="873">
        <v>203.9</v>
      </c>
      <c r="G29" s="227"/>
      <c r="H29" s="226"/>
      <c r="I29" s="727"/>
      <c r="J29" s="468"/>
      <c r="K29" s="466"/>
      <c r="L29" s="466"/>
      <c r="M29" s="366"/>
      <c r="N29" s="366"/>
      <c r="O29" s="366"/>
      <c r="P29" s="366"/>
    </row>
    <row r="30" spans="1:16" s="86" customFormat="1" ht="11.1" customHeight="1">
      <c r="B30" s="16">
        <f t="shared" si="0"/>
        <v>4</v>
      </c>
      <c r="C30" s="17">
        <v>44133</v>
      </c>
      <c r="D30" s="22">
        <v>707.7</v>
      </c>
      <c r="E30" s="22"/>
      <c r="F30" s="873">
        <v>304.5</v>
      </c>
      <c r="G30" s="227"/>
      <c r="H30" s="226"/>
      <c r="I30" s="727"/>
      <c r="J30" s="466"/>
      <c r="K30" s="468"/>
      <c r="L30" s="466"/>
      <c r="M30" s="366"/>
      <c r="N30" s="366"/>
      <c r="O30" s="366"/>
      <c r="P30" s="366"/>
    </row>
    <row r="31" spans="1:16" s="86" customFormat="1" ht="11.1" customHeight="1">
      <c r="A31" s="474"/>
      <c r="B31" s="24">
        <f t="shared" si="0"/>
        <v>5</v>
      </c>
      <c r="C31" s="17">
        <v>44134</v>
      </c>
      <c r="D31" s="228"/>
      <c r="E31" s="228">
        <v>1009.3</v>
      </c>
      <c r="F31" s="926"/>
      <c r="G31" s="972">
        <v>480</v>
      </c>
      <c r="H31" s="22"/>
      <c r="I31" s="728"/>
      <c r="J31" s="469"/>
      <c r="K31" s="469"/>
      <c r="L31" s="469"/>
      <c r="M31" s="366"/>
      <c r="N31" s="366"/>
      <c r="O31" s="366"/>
      <c r="P31" s="366"/>
    </row>
    <row r="32" spans="1:16" s="86" customFormat="1" ht="11.25" customHeight="1">
      <c r="A32" s="474"/>
      <c r="B32" s="16">
        <f t="shared" si="0"/>
        <v>6</v>
      </c>
      <c r="C32" s="17">
        <v>44135</v>
      </c>
      <c r="D32" s="22">
        <v>685</v>
      </c>
      <c r="E32" s="22">
        <v>53.6</v>
      </c>
      <c r="F32" s="702"/>
      <c r="G32" s="226">
        <v>796.5</v>
      </c>
      <c r="H32" s="971"/>
      <c r="I32" s="728"/>
      <c r="J32" s="469"/>
      <c r="K32" s="469"/>
      <c r="L32" s="469"/>
      <c r="M32" s="145"/>
      <c r="N32" s="366"/>
      <c r="O32" s="366"/>
      <c r="P32" s="366"/>
    </row>
    <row r="33" spans="1:22" ht="14.1" customHeight="1" thickBot="1">
      <c r="B33" s="21"/>
      <c r="C33" s="546" t="s">
        <v>225</v>
      </c>
      <c r="D33" s="248">
        <v>15</v>
      </c>
      <c r="E33" s="248">
        <v>15</v>
      </c>
      <c r="F33" s="248">
        <f>COUNT(F2:F32)</f>
        <v>15</v>
      </c>
      <c r="G33" s="248">
        <f>COUNT(G2:G32)</f>
        <v>17</v>
      </c>
      <c r="I33" s="469"/>
      <c r="J33" s="469"/>
      <c r="K33" s="469"/>
      <c r="L33" s="469"/>
      <c r="M33" s="366"/>
      <c r="N33" s="366"/>
      <c r="O33" s="366"/>
      <c r="P33" s="366"/>
    </row>
    <row r="34" spans="1:22" ht="14.1" customHeight="1" thickBot="1">
      <c r="B34" s="21"/>
      <c r="C34" s="248" t="s">
        <v>73</v>
      </c>
      <c r="D34" s="929">
        <f>SUM(D2:D32)</f>
        <v>12118.310000000001</v>
      </c>
      <c r="E34" s="929">
        <f>SUM(E2:E32)</f>
        <v>12242.279999999999</v>
      </c>
      <c r="F34" s="929">
        <f>SUM(F2:F32)</f>
        <v>8791.1</v>
      </c>
      <c r="G34" s="929">
        <f>SUM(G2:G32)</f>
        <v>11132</v>
      </c>
      <c r="H34" s="1"/>
      <c r="I34" s="253" t="s">
        <v>189</v>
      </c>
      <c r="J34" s="292" t="s">
        <v>190</v>
      </c>
      <c r="K34" s="452" t="s">
        <v>219</v>
      </c>
      <c r="L34" s="363"/>
      <c r="M34" s="366"/>
      <c r="N34" s="366"/>
      <c r="O34" s="366"/>
      <c r="P34" s="366"/>
    </row>
    <row r="35" spans="1:22" ht="14.1" customHeight="1" thickBot="1">
      <c r="B35" s="21"/>
      <c r="C35" s="85" t="s">
        <v>22</v>
      </c>
      <c r="D35" s="238">
        <v>12093.75</v>
      </c>
      <c r="E35" s="238">
        <v>11998.04</v>
      </c>
      <c r="F35" s="238">
        <v>8665.25</v>
      </c>
      <c r="G35" s="238">
        <v>11047.8</v>
      </c>
      <c r="H35" s="12"/>
      <c r="I35" s="292">
        <f>SUM(D2:E32)+G18</f>
        <v>25796.490000000005</v>
      </c>
      <c r="J35" s="292">
        <f>SUM(F2:G32)-G18</f>
        <v>18487.2</v>
      </c>
      <c r="K35" s="453">
        <f>SUM(I2:I32)</f>
        <v>0</v>
      </c>
      <c r="L35" s="363"/>
      <c r="M35" s="366"/>
      <c r="N35" s="366"/>
      <c r="O35" s="366"/>
      <c r="P35" s="366"/>
    </row>
    <row r="36" spans="1:22" ht="14.1" customHeight="1">
      <c r="B36" s="21"/>
      <c r="C36" s="85" t="s">
        <v>5</v>
      </c>
      <c r="D36" s="88">
        <f t="shared" ref="D36:G36" si="1">ABS(D34-D35)</f>
        <v>24.56000000000131</v>
      </c>
      <c r="E36" s="88">
        <f t="shared" si="1"/>
        <v>244.23999999999796</v>
      </c>
      <c r="F36" s="88">
        <f t="shared" si="1"/>
        <v>125.85000000000036</v>
      </c>
      <c r="G36" s="88">
        <f t="shared" si="1"/>
        <v>84.200000000000728</v>
      </c>
      <c r="H36" s="1"/>
      <c r="I36" s="363"/>
      <c r="J36" s="363"/>
      <c r="K36" s="363"/>
      <c r="L36" s="363"/>
      <c r="M36" s="366"/>
      <c r="N36" s="366"/>
      <c r="O36" s="366"/>
      <c r="P36" s="366"/>
    </row>
    <row r="37" spans="1:22" ht="14.1" customHeight="1">
      <c r="B37" s="21"/>
      <c r="C37" s="700" t="s">
        <v>233</v>
      </c>
      <c r="D37" s="89">
        <f t="shared" ref="D37:E37" si="2">ROUND(D36*1%,2)</f>
        <v>0.25</v>
      </c>
      <c r="E37" s="89">
        <f t="shared" si="2"/>
        <v>2.44</v>
      </c>
      <c r="F37" s="89">
        <f>ROUND(F36*1%,2)</f>
        <v>1.26</v>
      </c>
      <c r="G37" s="89">
        <f>ROUND(G36*1%,2)</f>
        <v>0.84</v>
      </c>
      <c r="H37" s="1"/>
      <c r="I37" s="363"/>
      <c r="J37" s="363"/>
      <c r="K37" s="363"/>
      <c r="L37" s="363"/>
      <c r="M37" s="366"/>
      <c r="N37" s="366"/>
      <c r="O37" s="366"/>
      <c r="P37" s="366"/>
    </row>
    <row r="38" spans="1:22" ht="14.1" customHeight="1">
      <c r="B38" s="21"/>
      <c r="C38" s="699" t="s">
        <v>234</v>
      </c>
      <c r="D38" s="89">
        <f>ROUND(3%*D35,2)</f>
        <v>362.81</v>
      </c>
      <c r="E38" s="89">
        <f t="shared" ref="E38" si="3">ROUND(3%*E35,2)</f>
        <v>359.94</v>
      </c>
      <c r="F38" s="89">
        <f>ROUND(3%*F35,2)</f>
        <v>259.95999999999998</v>
      </c>
      <c r="G38" s="89">
        <f>ROUND(3%*G35,2)</f>
        <v>331.43</v>
      </c>
      <c r="H38" s="1"/>
      <c r="I38" s="145"/>
      <c r="J38" s="145"/>
      <c r="K38" s="366"/>
      <c r="L38" s="363"/>
      <c r="M38" s="366"/>
      <c r="N38" s="366"/>
      <c r="O38" s="366"/>
      <c r="P38" s="366"/>
    </row>
    <row r="39" spans="1:22" ht="14.1" customHeight="1">
      <c r="B39" s="21"/>
      <c r="C39" s="85" t="s">
        <v>7</v>
      </c>
      <c r="D39" s="87">
        <v>50</v>
      </c>
      <c r="E39" s="87">
        <v>50</v>
      </c>
      <c r="F39" s="87"/>
      <c r="G39" s="87">
        <v>40</v>
      </c>
      <c r="H39" s="12"/>
      <c r="I39" s="145"/>
      <c r="J39" s="366"/>
      <c r="K39" s="366"/>
      <c r="L39" s="363"/>
      <c r="M39" s="366"/>
      <c r="N39" s="366"/>
      <c r="O39" s="366"/>
      <c r="P39" s="366"/>
    </row>
    <row r="40" spans="1:22" ht="14.1" customHeight="1">
      <c r="B40" s="21"/>
      <c r="C40" s="85" t="s">
        <v>14</v>
      </c>
      <c r="D40" s="87">
        <f>ROUND(20*D33,2)</f>
        <v>300</v>
      </c>
      <c r="E40" s="87">
        <f>ROUND(20*E33,2)</f>
        <v>300</v>
      </c>
      <c r="F40" s="87">
        <f>ROUND(25*F33,2)</f>
        <v>375</v>
      </c>
      <c r="G40" s="88">
        <f>ROUND(25*G33,2)</f>
        <v>425</v>
      </c>
      <c r="H40" s="8"/>
      <c r="I40" s="283"/>
      <c r="J40" s="145"/>
      <c r="K40" s="145"/>
      <c r="L40" s="363"/>
      <c r="M40" s="366"/>
      <c r="N40" s="366"/>
      <c r="O40" s="366"/>
      <c r="P40" s="366"/>
    </row>
    <row r="41" spans="1:22" ht="14.1" customHeight="1">
      <c r="B41" s="974"/>
      <c r="C41" s="975" t="s">
        <v>48</v>
      </c>
      <c r="E41" s="241"/>
      <c r="F41" s="87">
        <v>300</v>
      </c>
      <c r="G41" s="87">
        <v>108.82</v>
      </c>
      <c r="I41" s="145"/>
      <c r="J41" s="366"/>
      <c r="K41" s="366"/>
      <c r="L41" s="363"/>
      <c r="M41" s="366"/>
      <c r="N41" s="366"/>
      <c r="O41" s="366"/>
      <c r="P41" s="366"/>
    </row>
    <row r="42" spans="1:22" ht="14.1" customHeight="1">
      <c r="B42" s="21"/>
      <c r="C42" s="242" t="s">
        <v>94</v>
      </c>
      <c r="D42" s="18">
        <v>337.71</v>
      </c>
      <c r="E42" s="241">
        <v>180.88</v>
      </c>
      <c r="F42" s="87"/>
      <c r="G42" s="87">
        <v>44</v>
      </c>
      <c r="H42" s="12"/>
      <c r="I42" s="283"/>
      <c r="J42" s="145"/>
      <c r="K42" s="366"/>
      <c r="L42" s="366"/>
      <c r="M42" s="366"/>
      <c r="N42" s="366"/>
      <c r="O42" s="366"/>
      <c r="P42" s="366"/>
    </row>
    <row r="43" spans="1:22" ht="14.1" customHeight="1">
      <c r="B43" s="21"/>
      <c r="C43" s="242" t="s">
        <v>401</v>
      </c>
      <c r="D43" s="18"/>
      <c r="E43" s="241"/>
      <c r="F43" s="87">
        <v>96</v>
      </c>
      <c r="G43" s="940">
        <v>52</v>
      </c>
      <c r="H43" s="12">
        <v>2150.21</v>
      </c>
      <c r="I43" s="283" t="s">
        <v>271</v>
      </c>
      <c r="J43" s="145" t="s">
        <v>272</v>
      </c>
      <c r="K43" s="366"/>
      <c r="L43" s="366"/>
      <c r="M43" s="366"/>
      <c r="N43" s="366"/>
      <c r="O43" s="366"/>
      <c r="P43" s="366"/>
    </row>
    <row r="44" spans="1:22" ht="14.1" customHeight="1">
      <c r="B44" s="21"/>
      <c r="C44" s="245" t="s">
        <v>77</v>
      </c>
      <c r="D44" s="455">
        <f>D45-D42</f>
        <v>375.34999999999997</v>
      </c>
      <c r="E44" s="455">
        <f>E45-E42</f>
        <v>531.5</v>
      </c>
      <c r="F44" s="455">
        <f>F37+F38++F40-F41-F43</f>
        <v>240.22000000000003</v>
      </c>
      <c r="G44" s="455">
        <f>G37+G38+G39+G40-G41-G42-G43</f>
        <v>592.45000000000005</v>
      </c>
      <c r="H44" s="8"/>
      <c r="I44" s="145">
        <v>828.4</v>
      </c>
      <c r="J44" s="145">
        <v>316.8</v>
      </c>
      <c r="K44" s="366"/>
      <c r="L44" s="366"/>
      <c r="M44" s="366"/>
      <c r="N44" s="366"/>
      <c r="O44" s="366"/>
      <c r="P44" s="366"/>
    </row>
    <row r="45" spans="1:22" ht="14.1" customHeight="1">
      <c r="B45" s="21"/>
      <c r="C45" s="286" t="s">
        <v>45</v>
      </c>
      <c r="D45" s="287">
        <f>D37+D38+D39+D40</f>
        <v>713.06</v>
      </c>
      <c r="E45" s="287">
        <f>E37+E38+E39+E40</f>
        <v>712.38</v>
      </c>
      <c r="F45" s="287">
        <f>F37+F38+F40</f>
        <v>636.22</v>
      </c>
      <c r="G45" s="287">
        <f>G37+G38+G39+G40</f>
        <v>797.27</v>
      </c>
      <c r="I45" s="461">
        <v>588.80999999999995</v>
      </c>
      <c r="J45" s="366">
        <v>416.2</v>
      </c>
      <c r="K45" s="366"/>
      <c r="L45" s="366"/>
      <c r="M45" s="366"/>
      <c r="N45" s="366"/>
      <c r="O45" s="366"/>
      <c r="P45" s="366"/>
      <c r="Q45" s="1"/>
      <c r="R45" s="1"/>
      <c r="S45" s="1"/>
      <c r="T45" s="1"/>
      <c r="U45" s="1"/>
      <c r="V45" s="1"/>
    </row>
    <row r="46" spans="1:22" ht="14.1" customHeight="1">
      <c r="B46" s="21"/>
      <c r="C46" s="169"/>
      <c r="D46" s="364"/>
      <c r="E46" s="461"/>
      <c r="F46" s="8"/>
      <c r="G46" s="8"/>
      <c r="H46" s="8"/>
      <c r="I46" s="283">
        <f>I45+I44</f>
        <v>1417.21</v>
      </c>
      <c r="J46" s="145">
        <f>SUM(J44:J45)</f>
        <v>733</v>
      </c>
      <c r="K46" s="366"/>
      <c r="L46" s="366"/>
      <c r="M46" s="366"/>
      <c r="N46" s="366"/>
      <c r="O46" s="366"/>
      <c r="P46" s="366"/>
      <c r="Q46" s="1"/>
      <c r="R46" s="1"/>
      <c r="S46" s="1"/>
      <c r="T46" s="1"/>
      <c r="U46" s="1"/>
      <c r="V46" s="1"/>
    </row>
    <row r="47" spans="1:22" s="86" customFormat="1" ht="14.1" customHeight="1">
      <c r="A47" s="168"/>
      <c r="B47" s="474"/>
      <c r="C47" s="363"/>
      <c r="D47" s="970"/>
      <c r="E47" s="970"/>
      <c r="F47" s="363"/>
      <c r="G47" s="970"/>
      <c r="H47" s="8"/>
      <c r="I47" s="68"/>
      <c r="J47" s="145"/>
      <c r="K47" s="366"/>
      <c r="L47" s="366"/>
      <c r="M47" s="145"/>
      <c r="N47" s="366"/>
      <c r="O47" s="366"/>
      <c r="P47" s="366"/>
      <c r="Q47" s="366"/>
      <c r="R47" s="366"/>
      <c r="S47" s="366"/>
      <c r="T47" s="366"/>
      <c r="U47" s="366"/>
      <c r="V47" s="366"/>
    </row>
    <row r="48" spans="1:22" s="86" customFormat="1" ht="12.95" customHeight="1">
      <c r="A48" s="168"/>
      <c r="B48" s="474"/>
      <c r="C48" s="145"/>
      <c r="D48" s="145"/>
      <c r="E48" s="145"/>
      <c r="F48" s="168"/>
      <c r="G48" s="168"/>
      <c r="H48" s="168"/>
      <c r="I48" s="72"/>
      <c r="J48" s="366"/>
      <c r="K48" s="366"/>
      <c r="L48" s="366"/>
      <c r="M48" s="145"/>
      <c r="N48" s="366"/>
      <c r="O48" s="366"/>
      <c r="P48" s="366"/>
      <c r="Q48" s="366"/>
      <c r="R48" s="366"/>
      <c r="S48" s="366"/>
      <c r="T48" s="366"/>
      <c r="U48" s="366"/>
      <c r="V48" s="366"/>
    </row>
    <row r="49" spans="1:22" ht="12.95" customHeight="1">
      <c r="B49" s="32"/>
      <c r="C49" s="1"/>
      <c r="D49" s="1"/>
      <c r="E49" s="12"/>
      <c r="G49" s="8"/>
      <c r="H49" s="207"/>
      <c r="I49" s="68"/>
      <c r="J49" s="366"/>
      <c r="K49" s="366"/>
      <c r="L49" s="366"/>
      <c r="M49" s="366"/>
      <c r="N49" s="366"/>
      <c r="O49" s="366"/>
      <c r="P49" s="366"/>
      <c r="Q49" s="1"/>
      <c r="R49" s="1"/>
      <c r="S49" s="1"/>
      <c r="T49" s="1"/>
      <c r="U49" s="1"/>
      <c r="V49" s="1"/>
    </row>
    <row r="50" spans="1:22" s="86" customFormat="1" ht="12.95" customHeight="1">
      <c r="B50" s="501"/>
      <c r="C50" s="502"/>
      <c r="D50" s="502"/>
      <c r="E50" s="502"/>
      <c r="F50" s="524"/>
      <c r="G50" s="502"/>
      <c r="H50" s="503"/>
      <c r="I50" s="947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</row>
    <row r="51" spans="1:22" s="86" customFormat="1" ht="12.95" customHeight="1">
      <c r="C51" s="502"/>
      <c r="D51" s="502"/>
      <c r="E51" s="524"/>
      <c r="F51" s="524"/>
      <c r="G51" s="502"/>
      <c r="H51" s="168"/>
      <c r="I51" s="525"/>
      <c r="J51" s="502"/>
      <c r="K51" s="502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</row>
    <row r="52" spans="1:22" s="86" customFormat="1" ht="12" customHeight="1">
      <c r="A52" s="366"/>
      <c r="B52" s="366"/>
      <c r="C52" s="502"/>
      <c r="D52" s="502"/>
      <c r="E52" s="524"/>
      <c r="F52" s="524"/>
      <c r="G52" s="502"/>
      <c r="H52" s="503"/>
      <c r="I52" s="502"/>
      <c r="J52" s="502"/>
      <c r="K52" s="502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</row>
    <row r="53" spans="1:22" s="86" customFormat="1" ht="18.75">
      <c r="A53" s="366"/>
      <c r="B53" s="366"/>
      <c r="C53" s="366"/>
      <c r="D53" s="366"/>
      <c r="E53" s="144"/>
      <c r="F53" s="168"/>
      <c r="H53" s="503"/>
      <c r="I53" s="502"/>
      <c r="J53" s="502"/>
      <c r="K53" s="502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</row>
    <row r="54" spans="1:22" s="86" customFormat="1">
      <c r="A54" s="366"/>
      <c r="B54" s="366"/>
      <c r="C54" s="366"/>
      <c r="D54" s="366"/>
      <c r="E54" s="144"/>
      <c r="I54" s="143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5" customHeight="1">
      <c r="A55" s="366"/>
      <c r="B55" s="366"/>
      <c r="C55" s="366"/>
      <c r="D55" s="366"/>
      <c r="E55" s="144"/>
      <c r="H55" s="524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s="86" customFormat="1" ht="15" customHeight="1">
      <c r="A56" s="366"/>
      <c r="B56" s="366"/>
      <c r="C56" s="366"/>
      <c r="D56" s="366"/>
      <c r="E56" s="144"/>
      <c r="H56" s="524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</row>
    <row r="57" spans="1:22" s="86" customFormat="1" ht="15" customHeight="1">
      <c r="A57" s="366"/>
      <c r="B57" s="366"/>
      <c r="C57" s="366"/>
      <c r="D57" s="366"/>
      <c r="E57" s="144"/>
      <c r="H57" s="524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>
      <c r="A58" s="366"/>
      <c r="B58" s="366"/>
      <c r="C58" s="366"/>
      <c r="D58" s="366"/>
      <c r="E58" s="144"/>
      <c r="H58" s="168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>
      <c r="A59" s="366"/>
      <c r="B59" s="366"/>
      <c r="C59" s="366"/>
      <c r="D59" s="366"/>
      <c r="E59" s="144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>
      <c r="A60" s="366"/>
      <c r="B60" s="366"/>
      <c r="C60" s="366"/>
      <c r="D60" s="366"/>
      <c r="E60" s="144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>
      <c r="A61" s="366"/>
      <c r="B61" s="366"/>
      <c r="C61" s="366"/>
      <c r="D61" s="366"/>
      <c r="E61" s="144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 s="86" customFormat="1">
      <c r="A62" s="366"/>
      <c r="B62" s="366"/>
      <c r="C62" s="366"/>
      <c r="D62" s="366"/>
      <c r="E62" s="144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</row>
    <row r="63" spans="1:22">
      <c r="A63" s="1"/>
      <c r="B63" s="1"/>
      <c r="C63" s="1"/>
      <c r="D63" s="1"/>
      <c r="E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1"/>
      <c r="D67" s="1"/>
      <c r="E67" s="11"/>
    </row>
    <row r="68" spans="1:22">
      <c r="A68" s="1"/>
      <c r="B68" s="1"/>
      <c r="C68" s="1"/>
      <c r="D68" s="1"/>
      <c r="E68" s="11"/>
    </row>
    <row r="69" spans="1:22">
      <c r="A69" s="1"/>
      <c r="B69" s="1"/>
      <c r="C69" s="1"/>
      <c r="D69" s="1"/>
      <c r="E69" s="11"/>
    </row>
    <row r="70" spans="1:22">
      <c r="A70" s="1"/>
      <c r="B70" s="1"/>
      <c r="C70" s="1"/>
      <c r="D70" s="1"/>
      <c r="E70" s="11"/>
    </row>
    <row r="71" spans="1:22">
      <c r="A71" s="1"/>
      <c r="B71" s="1"/>
      <c r="C71" s="1"/>
      <c r="D71" s="1"/>
      <c r="E71" s="11"/>
    </row>
    <row r="72" spans="1:22">
      <c r="A72" s="1"/>
      <c r="B72" s="1"/>
      <c r="C72" s="1"/>
      <c r="D72" s="1"/>
      <c r="E72" s="11"/>
    </row>
    <row r="73" spans="1:22">
      <c r="A73" s="1"/>
      <c r="B73" s="1"/>
      <c r="C73" s="1"/>
      <c r="D73" s="1"/>
      <c r="E73" s="11"/>
    </row>
    <row r="74" spans="1:22">
      <c r="A74" s="1"/>
      <c r="B74" s="1"/>
      <c r="C74" s="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A93" s="1"/>
      <c r="B93" s="1"/>
      <c r="E93" s="2"/>
    </row>
    <row r="94" spans="1:5">
      <c r="B94" s="1"/>
      <c r="E94" s="2"/>
    </row>
    <row r="95" spans="1:5">
      <c r="B95" s="1"/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conditionalFormatting sqref="B2:G32">
    <cfRule type="expression" dxfId="39" priority="1">
      <formula>$B2=7</formula>
    </cfRule>
    <cfRule type="expression" dxfId="38" priority="2">
      <formula>$B2=6</formula>
    </cfRule>
  </conditionalFormatting>
  <pageMargins left="0.7" right="0.7" top="0.75" bottom="0.75" header="0.3" footer="0.3"/>
  <pageSetup paperSize="11" scale="7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40"/>
  <sheetViews>
    <sheetView zoomScale="85" zoomScaleNormal="85" zoomScaleSheetLayoutView="70" zoomScalePageLayoutView="70" workbookViewId="0">
      <selection activeCell="C66" sqref="C66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1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410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982"/>
      <c r="O2" s="983"/>
      <c r="P2" s="983"/>
      <c r="Q2" s="983"/>
      <c r="R2" s="366"/>
      <c r="S2" s="983"/>
      <c r="T2" s="983"/>
      <c r="U2" s="983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982"/>
      <c r="O3" s="366"/>
      <c r="P3" s="366"/>
      <c r="Q3" s="366"/>
      <c r="R3" s="366"/>
      <c r="S3" s="366"/>
      <c r="T3" s="366"/>
      <c r="U3" s="366"/>
      <c r="V3" s="983"/>
      <c r="W3" s="983"/>
      <c r="X3" s="366"/>
      <c r="Y3" s="983"/>
      <c r="Z3" s="629"/>
      <c r="AA3" s="366"/>
      <c r="AB3" s="366"/>
      <c r="AC3" s="366"/>
      <c r="AD3" s="983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978" t="s">
        <v>34</v>
      </c>
      <c r="C4" s="36" t="s">
        <v>35</v>
      </c>
      <c r="D4" s="36" t="s">
        <v>38</v>
      </c>
      <c r="E4" s="36" t="s">
        <v>42</v>
      </c>
      <c r="F4" s="978" t="s">
        <v>36</v>
      </c>
      <c r="G4" s="100" t="s">
        <v>173</v>
      </c>
      <c r="H4" s="676" t="s">
        <v>2</v>
      </c>
      <c r="I4" s="1285" t="s">
        <v>34</v>
      </c>
      <c r="J4" s="1285"/>
      <c r="K4" s="984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>
        <v>44110</v>
      </c>
      <c r="B5" s="161" t="s">
        <v>205</v>
      </c>
      <c r="C5" s="630">
        <v>113.19</v>
      </c>
      <c r="D5" s="275">
        <v>113.19</v>
      </c>
      <c r="E5" s="542" t="str">
        <f t="shared" ref="E5:E19" si="0">IF(C5-D5=0,"",C5-D5)</f>
        <v/>
      </c>
      <c r="F5" s="162" t="str">
        <f t="shared" ref="F5:F19" si="1">IF(C5=0,"",IF(C5-D5=0,"оплачено","ОЖИДАЕТСЯ оплата"))</f>
        <v>оплачено</v>
      </c>
      <c r="G5" s="161"/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>
        <v>44111</v>
      </c>
      <c r="B6" s="161" t="s">
        <v>222</v>
      </c>
      <c r="C6" s="630">
        <v>124.42</v>
      </c>
      <c r="D6" s="275">
        <v>124.42</v>
      </c>
      <c r="E6" s="542" t="str">
        <f t="shared" si="0"/>
        <v/>
      </c>
      <c r="F6" s="162" t="str">
        <f t="shared" si="1"/>
        <v>оплачено</v>
      </c>
      <c r="G6" s="162"/>
      <c r="H6" s="678"/>
      <c r="I6" s="1288"/>
      <c r="J6" s="1289"/>
      <c r="K6" s="480"/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>
        <v>44145</v>
      </c>
      <c r="B7" s="161" t="s">
        <v>366</v>
      </c>
      <c r="C7" s="630">
        <v>299.60000000000002</v>
      </c>
      <c r="D7" s="275">
        <v>299.60000000000002</v>
      </c>
      <c r="E7" s="542" t="str">
        <f t="shared" si="0"/>
        <v/>
      </c>
      <c r="F7" s="162" t="str">
        <f t="shared" si="1"/>
        <v>оплачено</v>
      </c>
      <c r="G7" s="161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44154</v>
      </c>
      <c r="B8" s="161" t="s">
        <v>257</v>
      </c>
      <c r="C8" s="630">
        <v>140.46</v>
      </c>
      <c r="D8" s="275">
        <v>140.46</v>
      </c>
      <c r="E8" s="542" t="str">
        <f t="shared" si="0"/>
        <v/>
      </c>
      <c r="F8" s="162" t="str">
        <f t="shared" si="1"/>
        <v>оплачено</v>
      </c>
      <c r="G8" s="161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44154</v>
      </c>
      <c r="B9" s="161" t="s">
        <v>221</v>
      </c>
      <c r="C9" s="630">
        <v>281.10000000000002</v>
      </c>
      <c r="D9" s="275">
        <v>281.10000000000002</v>
      </c>
      <c r="E9" s="542" t="str">
        <f t="shared" si="0"/>
        <v/>
      </c>
      <c r="F9" s="162" t="str">
        <f t="shared" si="1"/>
        <v>оплачено</v>
      </c>
      <c r="G9" s="161"/>
      <c r="H9" s="678"/>
      <c r="I9" s="1288"/>
      <c r="J9" s="1289"/>
      <c r="K9" s="480"/>
      <c r="L9" s="1290"/>
      <c r="M9" s="1291"/>
      <c r="N9" s="766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ht="18.75" customHeight="1">
      <c r="A10" s="325">
        <v>44144</v>
      </c>
      <c r="B10" s="161" t="s">
        <v>325</v>
      </c>
      <c r="C10" s="630">
        <v>312.68</v>
      </c>
      <c r="D10" s="630">
        <v>312.68</v>
      </c>
      <c r="E10" s="542" t="str">
        <f t="shared" si="0"/>
        <v/>
      </c>
      <c r="F10" s="162" t="str">
        <f t="shared" si="1"/>
        <v>оплачено</v>
      </c>
      <c r="G10" s="161"/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ht="15.75" customHeight="1">
      <c r="A11" s="325"/>
      <c r="B11" s="161"/>
      <c r="C11" s="275"/>
      <c r="D11" s="275"/>
      <c r="E11" s="542" t="str">
        <f t="shared" si="0"/>
        <v/>
      </c>
      <c r="F11" s="162" t="str">
        <f t="shared" si="1"/>
        <v/>
      </c>
      <c r="G11" s="161"/>
      <c r="H11" s="678"/>
      <c r="I11" s="1288"/>
      <c r="J11" s="1289"/>
      <c r="K11" s="480"/>
      <c r="L11" s="1191"/>
      <c r="M11" s="1292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ht="14.25" customHeight="1">
      <c r="A12" s="325"/>
      <c r="B12" s="161"/>
      <c r="C12" s="275"/>
      <c r="D12" s="275"/>
      <c r="E12" s="542" t="str">
        <f t="shared" si="0"/>
        <v/>
      </c>
      <c r="F12" s="162" t="str">
        <f t="shared" si="1"/>
        <v/>
      </c>
      <c r="G12" s="161"/>
      <c r="H12" s="678"/>
      <c r="I12" s="1288"/>
      <c r="J12" s="1289"/>
      <c r="K12" s="480"/>
      <c r="L12" s="1191"/>
      <c r="M12" s="1292"/>
      <c r="N12" s="766"/>
      <c r="O12" s="447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 ht="17.25" customHeight="1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1"/>
      <c r="H13" s="678"/>
      <c r="I13" s="1288"/>
      <c r="J13" s="1289"/>
      <c r="K13" s="480"/>
      <c r="L13" s="1191"/>
      <c r="M13" s="1292"/>
      <c r="N13" s="766"/>
      <c r="O13" s="936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0"/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935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1271.45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981" t="s">
        <v>21</v>
      </c>
      <c r="K22" s="981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/>
      <c r="P24" s="366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447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 t="shared" ref="M31:M35" si="3">M30-I31-J31-K31+L31</f>
        <v>75409.000000000015</v>
      </c>
      <c r="N31" s="1"/>
      <c r="O31" s="44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 t="shared" si="3"/>
        <v>68068.100000000006</v>
      </c>
      <c r="N32" s="1"/>
      <c r="O32" s="44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 t="shared" si="3"/>
        <v>69125.030000000013</v>
      </c>
      <c r="N33" s="1"/>
      <c r="O33" s="12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20</v>
      </c>
      <c r="I34" s="689">
        <v>28716.309999999994</v>
      </c>
      <c r="J34" s="438">
        <v>4480.1000000000004</v>
      </c>
      <c r="K34" s="607">
        <f>741.01+462.85</f>
        <v>1203.8600000000001</v>
      </c>
      <c r="L34" s="607">
        <v>40057.5</v>
      </c>
      <c r="M34" s="104">
        <f t="shared" si="3"/>
        <v>74782.260000000009</v>
      </c>
      <c r="N34" s="1"/>
      <c r="O34" s="44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>
      <c r="A35" s="339"/>
      <c r="B35" s="199"/>
      <c r="C35" s="1"/>
      <c r="D35" s="273"/>
      <c r="E35" s="366"/>
      <c r="F35" s="366"/>
      <c r="G35" s="366"/>
      <c r="H35" s="347" t="s">
        <v>148</v>
      </c>
      <c r="I35" s="689">
        <v>26800.16</v>
      </c>
      <c r="J35" s="438">
        <f>4+53+32.5+311.5+375+214+61.3+1914+130.5+597.5+16.8+2.5+2148.5+28+491+24</f>
        <v>6404.1</v>
      </c>
      <c r="K35" s="607">
        <f>835.3+489.85</f>
        <v>1325.15</v>
      </c>
      <c r="L35" s="960">
        <f>3255+623+28+192+21+427+2680+9605+4070+1513+315+1563.5+1878+808.5+417+35+1146+2886+540+1020+66+1156+773.5+396+2643.5+1976+588+375+1850.5</f>
        <v>42847.5</v>
      </c>
      <c r="M35" s="104">
        <f t="shared" si="3"/>
        <v>83100.350000000006</v>
      </c>
      <c r="N35" s="1"/>
      <c r="O35" s="44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>
      <c r="A36" s="339"/>
      <c r="B36" s="199"/>
      <c r="C36" s="1"/>
      <c r="D36" s="273"/>
      <c r="E36" s="366"/>
      <c r="F36" s="366"/>
      <c r="G36" s="366"/>
      <c r="H36" s="347" t="s">
        <v>162</v>
      </c>
      <c r="I36" s="689">
        <v>25796.49</v>
      </c>
      <c r="J36" s="438">
        <f>2.2+22+11+100+1+324+64.2+163+106+6+211.5+238+369+166+327.5+1+30+198</f>
        <v>2340.4</v>
      </c>
      <c r="K36" s="607">
        <v>1417.21</v>
      </c>
      <c r="L36" s="960">
        <f>1442+786+491+108+201+501+256+1197+2570+42+883.5+330+192+1658+539+1550.5+1020.5+410+1497+230+17+879+290.5+569+1403.5+696+517+2100+1076.5+482+811</f>
        <v>24746</v>
      </c>
      <c r="M36" s="104">
        <f>M35-I36-J36-K36+L36</f>
        <v>78292.25</v>
      </c>
      <c r="N36" s="1"/>
      <c r="O36" s="447"/>
      <c r="P36" s="84"/>
      <c r="Q36" s="145"/>
      <c r="R36" s="84"/>
      <c r="S36" s="541"/>
      <c r="T36" s="86"/>
      <c r="U36" s="86"/>
      <c r="V36" s="86"/>
      <c r="W36" s="86"/>
      <c r="X36" s="86"/>
      <c r="Y36" s="366"/>
      <c r="Z36" s="366"/>
    </row>
    <row r="37" spans="1:26" ht="12.75" customHeight="1" thickBot="1">
      <c r="A37" s="339"/>
      <c r="B37" s="199"/>
      <c r="C37" s="1"/>
      <c r="D37" s="273"/>
      <c r="E37" s="366"/>
      <c r="F37" s="366"/>
      <c r="G37" s="366"/>
      <c r="H37" s="608" t="s">
        <v>163</v>
      </c>
      <c r="I37" s="622">
        <v>26221.170000000002</v>
      </c>
      <c r="J37" s="610">
        <f>16.8+18.5+21+481+291+23+197.5+70.2+18+706.5+91+23+42+175+2+617+9+611</f>
        <v>3413.5</v>
      </c>
      <c r="K37" s="611">
        <f>538.23+638.25</f>
        <v>1176.48</v>
      </c>
      <c r="L37" s="941">
        <f>600+18+110+3039+866+639+533.5+48+72+1216+449.5+602+112+5408+228+20+1228+80+1766.5+1774+202+236+466+411.5+30.5+195+5659.5+327.5</f>
        <v>26337.5</v>
      </c>
      <c r="M37" s="104">
        <f>M36-I37-J37-K37+L37</f>
        <v>73818.600000000006</v>
      </c>
      <c r="N37" s="1"/>
      <c r="O37" s="447"/>
      <c r="P37" s="84"/>
      <c r="Q37" s="145"/>
      <c r="R37" s="84"/>
      <c r="S37" s="541"/>
      <c r="T37" s="86"/>
      <c r="U37" s="86"/>
      <c r="V37" s="86"/>
      <c r="W37" s="86"/>
      <c r="X37" s="86"/>
      <c r="Y37" s="366"/>
      <c r="Z37" s="366"/>
    </row>
    <row r="38" spans="1:26" ht="12.75" customHeight="1" thickTop="1">
      <c r="A38" s="339"/>
      <c r="B38" s="199"/>
      <c r="C38" s="1"/>
      <c r="D38" s="273"/>
      <c r="E38" s="84"/>
      <c r="F38" s="366"/>
      <c r="G38" s="366"/>
      <c r="H38" s="1148" t="s">
        <v>36</v>
      </c>
      <c r="I38" s="1150" t="s">
        <v>178</v>
      </c>
      <c r="J38" s="1151"/>
      <c r="K38" s="1152"/>
      <c r="L38" s="1156" t="s">
        <v>159</v>
      </c>
      <c r="M38" s="1156"/>
      <c r="N38" s="747" t="s">
        <v>341</v>
      </c>
      <c r="O38" s="447"/>
      <c r="P38" s="84"/>
      <c r="Q38" s="145"/>
      <c r="R38" s="145"/>
      <c r="S38" s="86"/>
      <c r="T38" s="86"/>
      <c r="U38" s="86"/>
      <c r="V38" s="86"/>
      <c r="W38" s="86"/>
      <c r="X38" s="86"/>
      <c r="Y38" s="366"/>
      <c r="Z38" s="366"/>
    </row>
    <row r="39" spans="1:26" ht="13.5" customHeight="1">
      <c r="A39" s="339"/>
      <c r="B39" s="199"/>
      <c r="C39" s="284"/>
      <c r="D39" s="273"/>
      <c r="E39" s="284"/>
      <c r="F39" s="366"/>
      <c r="G39" s="378"/>
      <c r="H39" s="1149"/>
      <c r="I39" s="1153"/>
      <c r="J39" s="1154"/>
      <c r="K39" s="1155"/>
      <c r="L39" s="1158"/>
      <c r="M39" s="1158"/>
      <c r="N39" s="748" t="s">
        <v>189</v>
      </c>
      <c r="O39" s="447"/>
      <c r="P39" s="84"/>
      <c r="Q39" s="145"/>
      <c r="R39" s="84"/>
      <c r="S39" s="86"/>
      <c r="T39" s="86"/>
      <c r="U39" s="86"/>
      <c r="V39" s="294"/>
      <c r="W39" s="86"/>
      <c r="X39" s="86"/>
      <c r="Y39" s="366"/>
      <c r="Z39" s="366"/>
    </row>
    <row r="40" spans="1:26" ht="15.75" customHeight="1">
      <c r="A40" s="339"/>
      <c r="B40" s="199"/>
      <c r="C40" s="199"/>
      <c r="D40" s="273"/>
      <c r="E40" s="199"/>
      <c r="F40" s="366"/>
      <c r="G40" s="378"/>
      <c r="H40" s="512" t="s">
        <v>91</v>
      </c>
      <c r="I40" s="1278" t="s">
        <v>47</v>
      </c>
      <c r="J40" s="1278"/>
      <c r="K40" s="990">
        <v>328.13</v>
      </c>
      <c r="L40" s="282">
        <v>44119</v>
      </c>
      <c r="M40" s="1" t="s">
        <v>398</v>
      </c>
      <c r="N40" s="749">
        <v>132</v>
      </c>
      <c r="O40" s="447"/>
      <c r="P40" s="84"/>
      <c r="Q40" s="145"/>
      <c r="R40" s="84"/>
      <c r="S40" s="86"/>
      <c r="T40" s="86"/>
      <c r="U40" s="86"/>
      <c r="V40" s="294"/>
      <c r="W40" s="86"/>
      <c r="X40" s="86"/>
      <c r="Y40" s="366"/>
      <c r="Z40" s="366"/>
    </row>
    <row r="41" spans="1:26">
      <c r="A41" s="339"/>
      <c r="B41" s="366"/>
      <c r="C41" s="274"/>
      <c r="D41" s="273"/>
      <c r="E41" s="274"/>
      <c r="F41" s="366"/>
      <c r="G41" s="366"/>
      <c r="H41" s="512" t="s">
        <v>91</v>
      </c>
      <c r="I41" s="1262" t="s">
        <v>51</v>
      </c>
      <c r="J41" s="1262"/>
      <c r="K41" s="989">
        <v>71.83</v>
      </c>
      <c r="L41" s="282">
        <v>44119</v>
      </c>
      <c r="M41" s="1" t="s">
        <v>398</v>
      </c>
      <c r="N41" s="750">
        <v>40</v>
      </c>
      <c r="O41" s="447"/>
      <c r="P41" s="84"/>
      <c r="Q41" s="145"/>
      <c r="R41" s="273"/>
      <c r="S41" s="366"/>
      <c r="T41" s="86"/>
      <c r="U41" s="86"/>
      <c r="V41" s="294"/>
      <c r="W41" s="294"/>
      <c r="X41" s="294"/>
      <c r="Y41" s="366"/>
    </row>
    <row r="42" spans="1:26">
      <c r="A42" s="340"/>
      <c r="B42" s="366"/>
      <c r="C42" s="366"/>
      <c r="D42" s="273"/>
      <c r="E42" s="199"/>
      <c r="F42" s="366"/>
      <c r="G42" s="366"/>
      <c r="H42" s="512" t="s">
        <v>91</v>
      </c>
      <c r="I42" s="1262" t="s">
        <v>52</v>
      </c>
      <c r="J42" s="1262"/>
      <c r="K42" s="989">
        <v>5.63</v>
      </c>
      <c r="L42" s="282">
        <v>44119</v>
      </c>
      <c r="M42" s="1" t="s">
        <v>398</v>
      </c>
      <c r="N42" s="750">
        <v>3</v>
      </c>
      <c r="O42" s="447"/>
      <c r="P42" s="84"/>
      <c r="Q42" s="145"/>
      <c r="R42" s="273"/>
      <c r="S42" s="366"/>
      <c r="T42" s="294"/>
      <c r="U42" s="86"/>
      <c r="V42" s="366"/>
      <c r="W42" s="294"/>
      <c r="X42" s="294"/>
      <c r="Y42" s="366"/>
    </row>
    <row r="43" spans="1:26">
      <c r="A43" s="340"/>
      <c r="B43" s="366"/>
      <c r="C43" s="366"/>
      <c r="D43" s="273"/>
      <c r="E43" s="366"/>
      <c r="F43" s="366"/>
      <c r="G43" s="366"/>
      <c r="H43" s="512" t="s">
        <v>91</v>
      </c>
      <c r="I43" s="1262" t="s">
        <v>49</v>
      </c>
      <c r="J43" s="1290"/>
      <c r="K43" s="989">
        <v>314</v>
      </c>
      <c r="L43" s="294">
        <v>44124</v>
      </c>
      <c r="M43" s="1" t="s">
        <v>397</v>
      </c>
      <c r="N43" s="749">
        <v>200</v>
      </c>
      <c r="O43" s="447"/>
      <c r="P43" s="907"/>
      <c r="Q43" s="145"/>
      <c r="R43" s="983"/>
      <c r="S43" s="366"/>
      <c r="T43" s="294"/>
      <c r="U43" s="86"/>
      <c r="V43" s="294"/>
      <c r="W43" s="294"/>
      <c r="X43" s="294"/>
      <c r="Y43" s="366"/>
    </row>
    <row r="44" spans="1:26">
      <c r="A44" s="340"/>
      <c r="B44" s="366"/>
      <c r="C44" s="366"/>
      <c r="D44" s="273"/>
      <c r="E44" s="366"/>
      <c r="F44" s="366"/>
      <c r="G44" s="366"/>
      <c r="H44" s="512" t="s">
        <v>91</v>
      </c>
      <c r="I44" s="1263" t="s">
        <v>59</v>
      </c>
      <c r="J44" s="1264"/>
      <c r="K44" s="454">
        <v>144.91</v>
      </c>
      <c r="L44" s="302" t="s">
        <v>177</v>
      </c>
      <c r="M44" s="1" t="s">
        <v>398</v>
      </c>
      <c r="N44" s="751">
        <v>102.73</v>
      </c>
      <c r="O44" s="965"/>
      <c r="P44" s="902"/>
      <c r="Q44" s="145"/>
      <c r="R44" s="540"/>
      <c r="S44" s="366"/>
      <c r="T44" s="294"/>
      <c r="U44" s="86"/>
      <c r="V44" s="294"/>
      <c r="W44" s="366"/>
      <c r="X44" s="366"/>
      <c r="Y44" s="366"/>
    </row>
    <row r="45" spans="1:26">
      <c r="A45" s="340"/>
      <c r="B45" s="199"/>
      <c r="C45" s="199"/>
      <c r="D45" s="273"/>
      <c r="E45" s="199"/>
      <c r="F45" s="366"/>
      <c r="G45" s="366"/>
      <c r="H45" s="512" t="s">
        <v>91</v>
      </c>
      <c r="I45" s="1264" t="s">
        <v>68</v>
      </c>
      <c r="J45" s="1315"/>
      <c r="K45" s="989">
        <f>143.6*2</f>
        <v>287.2</v>
      </c>
      <c r="L45" s="294">
        <v>44124</v>
      </c>
      <c r="M45" s="1" t="s">
        <v>398</v>
      </c>
      <c r="N45" s="751">
        <f>K45/2</f>
        <v>143.6</v>
      </c>
      <c r="O45" s="447"/>
      <c r="P45" s="443"/>
      <c r="Q45" s="363"/>
      <c r="R45" s="983"/>
      <c r="S45" s="366"/>
      <c r="T45" s="366"/>
      <c r="U45" s="294"/>
      <c r="V45" s="294"/>
      <c r="W45" s="294"/>
      <c r="X45" s="294"/>
      <c r="Y45" s="366"/>
    </row>
    <row r="46" spans="1:26">
      <c r="A46" s="340"/>
      <c r="B46" s="199"/>
      <c r="C46" s="366"/>
      <c r="D46" s="273"/>
      <c r="E46" s="199"/>
      <c r="F46" s="366"/>
      <c r="G46" s="366"/>
      <c r="H46" s="512" t="s">
        <v>91</v>
      </c>
      <c r="I46" s="988" t="s">
        <v>174</v>
      </c>
      <c r="J46" s="992"/>
      <c r="K46" s="475">
        <f>337.71+180.88</f>
        <v>518.58999999999992</v>
      </c>
      <c r="L46" s="282">
        <v>44119</v>
      </c>
      <c r="M46" s="1" t="s">
        <v>398</v>
      </c>
      <c r="N46" s="752">
        <f>K46</f>
        <v>518.58999999999992</v>
      </c>
      <c r="O46" s="12"/>
      <c r="P46" s="985"/>
      <c r="Q46" s="363"/>
      <c r="R46" s="365"/>
      <c r="S46" s="366"/>
      <c r="T46" s="294"/>
      <c r="U46" s="294"/>
      <c r="V46" s="294"/>
      <c r="W46" s="294"/>
      <c r="X46" s="294"/>
      <c r="Y46" s="366"/>
    </row>
    <row r="47" spans="1:26">
      <c r="A47" s="340"/>
      <c r="B47" s="199"/>
      <c r="C47" s="366"/>
      <c r="D47" s="273"/>
      <c r="E47" s="199"/>
      <c r="F47" s="366"/>
      <c r="G47" s="366"/>
      <c r="H47" s="993" t="s">
        <v>241</v>
      </c>
      <c r="I47" s="988" t="s">
        <v>176</v>
      </c>
      <c r="J47" s="992"/>
      <c r="K47" s="454" t="s">
        <v>356</v>
      </c>
      <c r="L47" s="294">
        <v>44124</v>
      </c>
      <c r="M47" s="1" t="s">
        <v>398</v>
      </c>
      <c r="N47" s="750" t="str">
        <f>K47</f>
        <v>НЕТ</v>
      </c>
      <c r="O47" s="447"/>
      <c r="P47" s="84"/>
      <c r="Q47" s="363"/>
      <c r="R47" s="365"/>
      <c r="S47" s="366"/>
      <c r="T47" s="294"/>
      <c r="U47" s="294"/>
      <c r="V47" s="294"/>
      <c r="W47" s="294"/>
      <c r="X47" s="294"/>
      <c r="Y47" s="366"/>
    </row>
    <row r="48" spans="1:26">
      <c r="A48" s="340"/>
      <c r="B48" s="199"/>
      <c r="C48" s="366"/>
      <c r="D48" s="273"/>
      <c r="E48" s="232"/>
      <c r="F48" s="366"/>
      <c r="G48" s="366"/>
      <c r="H48" s="512" t="s">
        <v>91</v>
      </c>
      <c r="I48" s="1264" t="s">
        <v>81</v>
      </c>
      <c r="J48" s="1265"/>
      <c r="K48" s="989">
        <v>1547.02</v>
      </c>
      <c r="L48" s="282">
        <v>44119</v>
      </c>
      <c r="M48" s="1" t="s">
        <v>398</v>
      </c>
      <c r="N48" s="750">
        <f>K48/2</f>
        <v>773.51</v>
      </c>
      <c r="O48" s="145"/>
      <c r="P48" s="84"/>
      <c r="Q48" s="84"/>
      <c r="R48" s="84"/>
      <c r="S48" s="84"/>
      <c r="T48" s="294"/>
      <c r="U48" s="366"/>
      <c r="V48" s="294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381</v>
      </c>
      <c r="I49" s="1264" t="s">
        <v>181</v>
      </c>
      <c r="J49" s="1265"/>
      <c r="K49" s="989">
        <v>10</v>
      </c>
      <c r="L49" s="282">
        <v>44119</v>
      </c>
      <c r="M49" s="1" t="s">
        <v>398</v>
      </c>
      <c r="N49" s="752">
        <f>K49</f>
        <v>10</v>
      </c>
      <c r="O49" s="127"/>
      <c r="P49" s="145"/>
      <c r="Q49" s="363"/>
      <c r="R49" s="366"/>
      <c r="S49" s="366"/>
      <c r="T49" s="294"/>
      <c r="U49" s="294"/>
      <c r="V49" s="366"/>
      <c r="W49" s="294"/>
      <c r="X49" s="294"/>
      <c r="Y49" s="366"/>
    </row>
    <row r="50" spans="1:25">
      <c r="A50" s="340" t="s">
        <v>314</v>
      </c>
      <c r="B50" s="199"/>
      <c r="C50" s="366"/>
      <c r="D50" s="273"/>
      <c r="E50" s="232"/>
      <c r="F50" s="366"/>
      <c r="G50" s="366"/>
      <c r="H50" s="512" t="s">
        <v>91</v>
      </c>
      <c r="I50" s="1145" t="s">
        <v>61</v>
      </c>
      <c r="J50" s="1145"/>
      <c r="K50" s="967">
        <v>981.43</v>
      </c>
      <c r="L50" s="294">
        <v>44124</v>
      </c>
      <c r="M50" s="1" t="s">
        <v>398</v>
      </c>
      <c r="N50" s="750"/>
      <c r="P50" s="448"/>
      <c r="Q50" s="365"/>
      <c r="R50" s="365"/>
      <c r="S50" s="366"/>
      <c r="T50" s="294"/>
      <c r="U50" s="294"/>
      <c r="V50" s="366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91</v>
      </c>
      <c r="I51" s="1145" t="s">
        <v>274</v>
      </c>
      <c r="J51" s="1145"/>
      <c r="K51" s="93">
        <f>207.37-129.37</f>
        <v>78</v>
      </c>
      <c r="L51" s="294">
        <v>44124</v>
      </c>
      <c r="M51" s="1" t="s">
        <v>398</v>
      </c>
      <c r="N51" s="749">
        <v>40</v>
      </c>
      <c r="P51" s="145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>
      <c r="A52" s="340"/>
      <c r="B52" s="199"/>
      <c r="C52" s="366"/>
      <c r="D52" s="273"/>
      <c r="E52" s="232"/>
      <c r="F52" s="366"/>
      <c r="G52" s="366"/>
      <c r="H52" s="512" t="s">
        <v>91</v>
      </c>
      <c r="I52" s="1145" t="s">
        <v>275</v>
      </c>
      <c r="J52" s="1145"/>
      <c r="K52" s="93">
        <v>50</v>
      </c>
      <c r="L52" s="282">
        <v>44119</v>
      </c>
      <c r="M52" s="1" t="s">
        <v>398</v>
      </c>
      <c r="N52" s="750">
        <v>50</v>
      </c>
      <c r="P52" s="145"/>
      <c r="Q52" s="273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91</v>
      </c>
      <c r="I53" s="1145" t="s">
        <v>276</v>
      </c>
      <c r="J53" s="1145"/>
      <c r="K53" s="93">
        <v>150</v>
      </c>
      <c r="L53" s="282">
        <v>44134</v>
      </c>
      <c r="M53" s="1" t="s">
        <v>398</v>
      </c>
      <c r="N53" s="750">
        <v>150</v>
      </c>
      <c r="O53" s="12"/>
      <c r="P53" s="145"/>
      <c r="Q53" s="365"/>
      <c r="R53" s="365"/>
      <c r="S53" s="366"/>
      <c r="T53" s="294"/>
      <c r="U53" s="294"/>
      <c r="V53" s="366"/>
      <c r="W53" s="294"/>
      <c r="X53" s="294"/>
      <c r="Y53" s="366"/>
    </row>
    <row r="54" spans="1:25">
      <c r="A54" s="340"/>
      <c r="B54" s="199"/>
      <c r="C54" s="366"/>
      <c r="D54" s="273"/>
      <c r="E54" s="232"/>
      <c r="F54" s="366"/>
      <c r="G54" s="366"/>
      <c r="H54" s="512" t="s">
        <v>91</v>
      </c>
      <c r="I54" s="1145" t="s">
        <v>296</v>
      </c>
      <c r="J54" s="1145"/>
      <c r="K54" s="93">
        <v>18</v>
      </c>
      <c r="L54" s="282">
        <v>44119</v>
      </c>
      <c r="M54" s="1" t="s">
        <v>398</v>
      </c>
      <c r="N54" s="751">
        <v>9</v>
      </c>
      <c r="O54" s="150"/>
      <c r="P54" s="145"/>
      <c r="Q54" s="365"/>
      <c r="R54" s="365"/>
      <c r="S54" s="366"/>
      <c r="T54" s="294"/>
      <c r="U54" s="294"/>
      <c r="V54" s="366"/>
      <c r="W54" s="294"/>
      <c r="X54" s="294"/>
      <c r="Y54" s="366"/>
    </row>
    <row r="55" spans="1:25">
      <c r="A55" s="340"/>
      <c r="B55" s="199"/>
      <c r="C55" s="366"/>
      <c r="D55" s="273"/>
      <c r="E55" s="232"/>
      <c r="F55" s="366"/>
      <c r="G55" s="366"/>
      <c r="H55" s="512" t="s">
        <v>91</v>
      </c>
      <c r="I55" s="1143" t="s">
        <v>345</v>
      </c>
      <c r="J55" s="1144"/>
      <c r="K55" s="145">
        <v>912.71</v>
      </c>
      <c r="L55" s="282">
        <v>44134</v>
      </c>
      <c r="M55" s="1" t="s">
        <v>398</v>
      </c>
      <c r="N55" s="771">
        <f>K55</f>
        <v>912.71</v>
      </c>
      <c r="O55" s="150"/>
      <c r="P55" s="145"/>
      <c r="Q55" s="365"/>
      <c r="R55" s="365"/>
      <c r="S55" s="366"/>
      <c r="T55" s="294"/>
      <c r="U55" s="294"/>
      <c r="V55" s="366"/>
      <c r="W55" s="294"/>
      <c r="X55" s="294"/>
      <c r="Y55" s="366"/>
    </row>
    <row r="56" spans="1:25" ht="15.75" thickBot="1">
      <c r="A56" s="341"/>
      <c r="B56" s="330"/>
      <c r="C56" s="331"/>
      <c r="D56" s="342"/>
      <c r="E56" s="330"/>
      <c r="F56" s="331"/>
      <c r="G56" s="331"/>
      <c r="H56" s="1300" t="s">
        <v>179</v>
      </c>
      <c r="I56" s="1281"/>
      <c r="J56" s="361">
        <f>SUM(K40:K55)</f>
        <v>5417.45</v>
      </c>
      <c r="K56" s="1146" t="s">
        <v>180</v>
      </c>
      <c r="L56" s="1146"/>
      <c r="M56" s="746">
        <v>0</v>
      </c>
      <c r="N56" s="753">
        <f>SUM(N40:N55)</f>
        <v>3085.1400000000003</v>
      </c>
      <c r="P56" s="145"/>
      <c r="Q56" s="365"/>
      <c r="R56" s="366"/>
      <c r="S56" s="366"/>
      <c r="T56" s="294"/>
      <c r="U56" s="366"/>
      <c r="V56" s="366"/>
      <c r="W56" s="366"/>
      <c r="X56" s="366"/>
      <c r="Y56" s="366"/>
    </row>
    <row r="57" spans="1:25" ht="15.75" thickTop="1">
      <c r="A57" s="366"/>
      <c r="B57" s="366"/>
      <c r="C57" s="366"/>
      <c r="D57" s="366"/>
      <c r="E57" s="366"/>
      <c r="F57" s="366"/>
      <c r="G57" s="366"/>
      <c r="H57" s="1162"/>
      <c r="I57" s="1162"/>
      <c r="J57" s="1162"/>
      <c r="K57" s="1162"/>
      <c r="L57" s="366"/>
      <c r="M57" s="441"/>
      <c r="N57" s="1"/>
      <c r="P57" s="145"/>
      <c r="Q57" s="365"/>
      <c r="R57" s="366"/>
      <c r="S57" s="366"/>
      <c r="T57" s="366"/>
      <c r="U57" s="366"/>
      <c r="V57" s="366"/>
      <c r="W57" s="366"/>
      <c r="X57" s="366"/>
      <c r="Y57" s="366"/>
    </row>
    <row r="58" spans="1:25" ht="15" customHeight="1">
      <c r="A58" s="1163" t="s">
        <v>409</v>
      </c>
      <c r="B58" s="1163"/>
      <c r="C58" s="1163"/>
      <c r="D58" s="1163"/>
      <c r="E58" s="1163"/>
      <c r="F58" s="1163"/>
      <c r="G58" s="1163"/>
      <c r="H58" s="1163"/>
      <c r="I58" s="1163"/>
      <c r="J58" s="1163"/>
      <c r="K58" s="1163"/>
      <c r="L58" s="1163"/>
      <c r="M58" s="1163"/>
      <c r="N58" s="1"/>
      <c r="O58" s="150"/>
      <c r="P58" s="145"/>
      <c r="Q58" s="365"/>
      <c r="R58" s="366"/>
      <c r="S58" s="366"/>
      <c r="T58" s="366"/>
      <c r="U58" s="366"/>
      <c r="V58" s="366"/>
      <c r="W58" s="366"/>
      <c r="X58" s="366"/>
    </row>
    <row r="59" spans="1:25" ht="15.75" customHeight="1" thickBot="1">
      <c r="A59" s="1164"/>
      <c r="B59" s="1164"/>
      <c r="C59" s="1164"/>
      <c r="D59" s="1164"/>
      <c r="E59" s="1164"/>
      <c r="F59" s="1164"/>
      <c r="G59" s="1164"/>
      <c r="H59" s="1164"/>
      <c r="I59" s="1164"/>
      <c r="J59" s="1164"/>
      <c r="K59" s="1164"/>
      <c r="L59" s="1164"/>
      <c r="M59" s="1164"/>
      <c r="N59" s="1"/>
      <c r="P59" s="145"/>
      <c r="Q59" s="365"/>
      <c r="R59" s="365"/>
      <c r="S59" s="983"/>
      <c r="T59" s="366"/>
      <c r="U59" s="366"/>
      <c r="V59" s="366"/>
      <c r="W59" s="366"/>
      <c r="X59" s="366"/>
    </row>
    <row r="60" spans="1:25" ht="15.75" thickTop="1">
      <c r="A60" s="1266" t="s">
        <v>317</v>
      </c>
      <c r="B60" s="1166"/>
      <c r="C60" s="1166"/>
      <c r="D60" s="1166"/>
      <c r="E60" s="1166"/>
      <c r="F60" s="1166"/>
      <c r="G60" s="1167"/>
      <c r="H60" s="1282" t="s">
        <v>316</v>
      </c>
      <c r="I60" s="1283"/>
      <c r="J60" s="1283"/>
      <c r="K60" s="1283"/>
      <c r="L60" s="1283"/>
      <c r="M60" s="1284"/>
      <c r="N60" s="1"/>
      <c r="P60" s="84"/>
      <c r="Q60" s="366"/>
      <c r="S60" s="274"/>
      <c r="T60" s="366"/>
      <c r="U60" s="366"/>
      <c r="V60" s="366"/>
      <c r="W60" s="366"/>
      <c r="X60" s="366"/>
    </row>
    <row r="61" spans="1:25">
      <c r="A61" s="324" t="s">
        <v>2</v>
      </c>
      <c r="B61" s="978" t="s">
        <v>34</v>
      </c>
      <c r="C61" s="36" t="s">
        <v>35</v>
      </c>
      <c r="D61" s="36" t="s">
        <v>38</v>
      </c>
      <c r="E61" s="36" t="s">
        <v>42</v>
      </c>
      <c r="F61" s="978" t="s">
        <v>36</v>
      </c>
      <c r="G61" s="100" t="s">
        <v>173</v>
      </c>
      <c r="H61" s="676" t="s">
        <v>2</v>
      </c>
      <c r="I61" s="1285" t="s">
        <v>34</v>
      </c>
      <c r="J61" s="1285"/>
      <c r="K61" s="984" t="s">
        <v>35</v>
      </c>
      <c r="L61" s="1286" t="s">
        <v>173</v>
      </c>
      <c r="M61" s="1287"/>
      <c r="N61" s="1"/>
      <c r="P61" s="448"/>
      <c r="Q61" s="366"/>
      <c r="S61" s="274"/>
      <c r="T61" s="366"/>
      <c r="U61" s="366"/>
      <c r="V61" s="366"/>
      <c r="W61" s="366"/>
      <c r="X61" s="366"/>
    </row>
    <row r="62" spans="1:25">
      <c r="A62" s="325">
        <v>44137</v>
      </c>
      <c r="B62" s="161" t="s">
        <v>353</v>
      </c>
      <c r="C62" s="630">
        <v>236.23</v>
      </c>
      <c r="D62" s="275">
        <v>236.23</v>
      </c>
      <c r="E62" s="542" t="str">
        <f>IF(C62-D62=0,"",C62-D62)</f>
        <v/>
      </c>
      <c r="F62" s="162" t="str">
        <f t="shared" ref="F62:F77" si="4">IF(C62=0,"",IF(C62-D62=0,"оплачено","ОЖИДАЕТСЯ оплата"))</f>
        <v>оплачено</v>
      </c>
      <c r="G62" s="162"/>
      <c r="H62" s="325"/>
      <c r="I62" s="1288"/>
      <c r="J62" s="1289"/>
      <c r="K62" s="480"/>
      <c r="L62" s="1293"/>
      <c r="M62" s="1294"/>
      <c r="N62" s="1"/>
      <c r="P62" s="448"/>
      <c r="Q62" s="366"/>
      <c r="S62" s="366"/>
      <c r="T62" s="84"/>
      <c r="U62" s="366"/>
      <c r="W62" s="366"/>
      <c r="X62" s="366"/>
    </row>
    <row r="63" spans="1:25">
      <c r="A63" s="325"/>
      <c r="B63" s="161" t="s">
        <v>408</v>
      </c>
      <c r="C63" s="630">
        <v>406.76</v>
      </c>
      <c r="D63" s="275">
        <v>406.76</v>
      </c>
      <c r="E63" s="542" t="str">
        <f t="shared" ref="E63:E77" si="5">IF(C63-D63=0,"",C63-D63)</f>
        <v/>
      </c>
      <c r="F63" s="162" t="str">
        <f t="shared" si="4"/>
        <v>оплачено</v>
      </c>
      <c r="G63" s="162"/>
      <c r="H63" s="678"/>
      <c r="I63" s="1288"/>
      <c r="J63" s="1289"/>
      <c r="K63" s="480"/>
      <c r="L63" s="1293"/>
      <c r="M63" s="1294"/>
      <c r="N63" s="1"/>
      <c r="P63" s="448"/>
      <c r="Q63" s="366"/>
      <c r="S63" s="366"/>
      <c r="T63" s="366"/>
      <c r="U63" s="366"/>
      <c r="W63" s="366"/>
      <c r="X63" s="366"/>
    </row>
    <row r="64" spans="1:25">
      <c r="A64" s="325"/>
      <c r="B64" s="161"/>
      <c r="C64" s="275"/>
      <c r="D64" s="275"/>
      <c r="E64" s="542" t="str">
        <f t="shared" si="5"/>
        <v/>
      </c>
      <c r="F64" s="162" t="str">
        <f t="shared" si="4"/>
        <v/>
      </c>
      <c r="G64" s="162"/>
      <c r="H64" s="678"/>
      <c r="I64" s="1288"/>
      <c r="J64" s="1289"/>
      <c r="K64" s="480"/>
      <c r="L64" s="1290"/>
      <c r="M64" s="1291"/>
      <c r="N64" s="1"/>
      <c r="P64" s="448"/>
      <c r="T64" s="366"/>
      <c r="U64" s="366"/>
    </row>
    <row r="65" spans="1:21">
      <c r="A65" s="325"/>
      <c r="B65" s="161"/>
      <c r="C65" s="275"/>
      <c r="D65" s="275"/>
      <c r="E65" s="634" t="str">
        <f t="shared" si="5"/>
        <v/>
      </c>
      <c r="F65" s="161" t="str">
        <f t="shared" si="4"/>
        <v/>
      </c>
      <c r="G65" s="161"/>
      <c r="H65" s="678"/>
      <c r="I65" s="1288"/>
      <c r="J65" s="1289"/>
      <c r="K65" s="480"/>
      <c r="L65" s="1290"/>
      <c r="M65" s="1291"/>
      <c r="N65" s="1"/>
      <c r="P65" s="448"/>
      <c r="U65" s="366"/>
    </row>
    <row r="66" spans="1:21">
      <c r="A66" s="325"/>
      <c r="B66" s="161" t="s">
        <v>353</v>
      </c>
      <c r="C66" s="1009">
        <v>288.67</v>
      </c>
      <c r="D66" s="513">
        <v>288.67</v>
      </c>
      <c r="E66" s="542" t="str">
        <f t="shared" si="5"/>
        <v/>
      </c>
      <c r="F66" s="162" t="str">
        <f t="shared" si="4"/>
        <v>оплачено</v>
      </c>
      <c r="G66" s="162"/>
      <c r="H66" s="678"/>
      <c r="I66" s="1288"/>
      <c r="J66" s="1289"/>
      <c r="K66" s="480"/>
      <c r="L66" s="1290"/>
      <c r="M66" s="1291"/>
      <c r="N66" s="1"/>
      <c r="O66" s="150"/>
      <c r="P66" s="541"/>
      <c r="U66" s="366"/>
    </row>
    <row r="67" spans="1:21">
      <c r="A67" s="325"/>
      <c r="B67" s="161" t="s">
        <v>367</v>
      </c>
      <c r="C67" s="630">
        <v>843.64</v>
      </c>
      <c r="D67" s="275">
        <v>843.64</v>
      </c>
      <c r="E67" s="542" t="str">
        <f t="shared" si="5"/>
        <v/>
      </c>
      <c r="F67" s="162" t="str">
        <f t="shared" si="4"/>
        <v>оплачено</v>
      </c>
      <c r="G67" s="162"/>
      <c r="H67" s="678"/>
      <c r="I67" s="1288"/>
      <c r="J67" s="1289"/>
      <c r="K67" s="480"/>
      <c r="L67" s="1290"/>
      <c r="M67" s="1291"/>
      <c r="N67" s="1"/>
      <c r="P67" s="86"/>
      <c r="U67" s="366"/>
    </row>
    <row r="68" spans="1:21" ht="14.45" customHeight="1">
      <c r="A68" s="325">
        <v>44139</v>
      </c>
      <c r="B68" s="161" t="s">
        <v>367</v>
      </c>
      <c r="C68" s="1010">
        <v>1513.41</v>
      </c>
      <c r="D68" s="911">
        <v>1513.41</v>
      </c>
      <c r="E68" s="542" t="str">
        <f>IF(C68-D68=0,"",C68-D68)</f>
        <v/>
      </c>
      <c r="F68" s="162" t="str">
        <f>IF(C68=0,"",IF(C68-D68=0,"оплачено","ОЖИДАЕТСЯ оплата"))</f>
        <v>оплачено</v>
      </c>
      <c r="G68" s="162"/>
      <c r="H68" s="678"/>
      <c r="I68" s="1288"/>
      <c r="J68" s="1289"/>
      <c r="K68" s="480"/>
      <c r="L68" s="1191"/>
      <c r="M68" s="1292"/>
      <c r="N68" s="1"/>
      <c r="O68" s="150"/>
      <c r="P68" s="86"/>
    </row>
    <row r="69" spans="1:21" ht="14.45" customHeight="1">
      <c r="A69" s="325"/>
      <c r="B69" s="161"/>
      <c r="C69" s="275"/>
      <c r="D69" s="275"/>
      <c r="E69" s="542" t="str">
        <f>IF(C69-D69=0,"",C69-D69)</f>
        <v/>
      </c>
      <c r="F69" s="162" t="str">
        <f>IF(C69=0,"",IF(C69-D69=0,"оплачено","ОЖИДАЕТСЯ оплата"))</f>
        <v/>
      </c>
      <c r="G69" s="162"/>
      <c r="H69" s="678" t="str">
        <f t="shared" ref="H69:I77" si="6">IF(S11="","",S11)</f>
        <v/>
      </c>
      <c r="I69" s="1288"/>
      <c r="J69" s="1289"/>
      <c r="K69" s="480"/>
      <c r="L69" s="1191"/>
      <c r="M69" s="1292"/>
      <c r="N69" s="1"/>
    </row>
    <row r="70" spans="1:21" ht="14.45" customHeight="1">
      <c r="A70" s="325"/>
      <c r="B70" s="161"/>
      <c r="C70" s="275"/>
      <c r="D70" s="275"/>
      <c r="E70" s="542" t="str">
        <f t="shared" si="5"/>
        <v/>
      </c>
      <c r="F70" s="162" t="str">
        <f t="shared" si="4"/>
        <v/>
      </c>
      <c r="G70" s="162"/>
      <c r="H70" s="678" t="str">
        <f t="shared" si="6"/>
        <v/>
      </c>
      <c r="I70" s="1288" t="str">
        <f t="shared" si="6"/>
        <v/>
      </c>
      <c r="J70" s="1289"/>
      <c r="K70" s="480" t="str">
        <f t="shared" ref="K70:K77" si="7">IF(U12="","",U12)</f>
        <v/>
      </c>
      <c r="L70" s="1191"/>
      <c r="M70" s="1292"/>
      <c r="N70" s="1"/>
      <c r="O70" s="366"/>
    </row>
    <row r="71" spans="1:21">
      <c r="A71" s="325"/>
      <c r="B71" s="161"/>
      <c r="C71" s="275"/>
      <c r="D71" s="275"/>
      <c r="E71" s="542" t="str">
        <f t="shared" si="5"/>
        <v/>
      </c>
      <c r="F71" s="162" t="str">
        <f t="shared" si="4"/>
        <v/>
      </c>
      <c r="G71" s="162"/>
      <c r="H71" s="678" t="str">
        <f t="shared" si="6"/>
        <v/>
      </c>
      <c r="I71" s="1288" t="str">
        <f t="shared" si="6"/>
        <v/>
      </c>
      <c r="J71" s="1289"/>
      <c r="K71" s="480" t="str">
        <f t="shared" si="7"/>
        <v/>
      </c>
      <c r="L71" s="1191"/>
      <c r="M71" s="1292"/>
      <c r="N71" s="1"/>
      <c r="O71" s="366"/>
    </row>
    <row r="72" spans="1:21" s="86" customFormat="1">
      <c r="A72" s="325"/>
      <c r="B72" s="161"/>
      <c r="C72" s="275"/>
      <c r="D72" s="275"/>
      <c r="E72" s="542" t="str">
        <f t="shared" si="5"/>
        <v/>
      </c>
      <c r="F72" s="162" t="str">
        <f t="shared" si="4"/>
        <v/>
      </c>
      <c r="G72" s="162"/>
      <c r="H72" s="678" t="str">
        <f t="shared" si="6"/>
        <v/>
      </c>
      <c r="I72" s="1288" t="str">
        <f t="shared" si="6"/>
        <v/>
      </c>
      <c r="J72" s="1289"/>
      <c r="K72" s="480" t="str">
        <f t="shared" si="7"/>
        <v/>
      </c>
      <c r="L72" s="1290"/>
      <c r="M72" s="1291"/>
      <c r="N72" s="366"/>
      <c r="O72" s="84"/>
      <c r="P72" s="1"/>
      <c r="Q72" s="35"/>
      <c r="T72" s="35"/>
      <c r="U72" s="35"/>
    </row>
    <row r="73" spans="1:21">
      <c r="A73" s="325"/>
      <c r="B73" s="161"/>
      <c r="C73" s="275"/>
      <c r="D73" s="934"/>
      <c r="E73" s="542" t="str">
        <f t="shared" si="5"/>
        <v/>
      </c>
      <c r="F73" s="162" t="str">
        <f t="shared" si="4"/>
        <v/>
      </c>
      <c r="G73" s="162"/>
      <c r="H73" s="678" t="str">
        <f t="shared" si="6"/>
        <v/>
      </c>
      <c r="I73" s="1288" t="str">
        <f t="shared" si="6"/>
        <v/>
      </c>
      <c r="J73" s="1289"/>
      <c r="K73" s="480" t="str">
        <f t="shared" si="7"/>
        <v/>
      </c>
      <c r="L73" s="1191"/>
      <c r="M73" s="1292"/>
      <c r="N73" s="150"/>
      <c r="O73" s="366"/>
      <c r="P73" s="1"/>
      <c r="T73" s="86"/>
    </row>
    <row r="74" spans="1:21">
      <c r="A74" s="325"/>
      <c r="B74" s="161"/>
      <c r="C74" s="275"/>
      <c r="D74" s="275"/>
      <c r="E74" s="542" t="str">
        <f>IF(C74-D74=0,"",C74-D74)</f>
        <v/>
      </c>
      <c r="F74" s="162" t="str">
        <f>IF(C74=0,"",IF(C74-D74=0,"оплачено","ОЖИДАЕТСЯ оплата"))</f>
        <v/>
      </c>
      <c r="G74" s="162"/>
      <c r="H74" s="678" t="str">
        <f t="shared" si="6"/>
        <v/>
      </c>
      <c r="I74" s="1288" t="str">
        <f t="shared" si="6"/>
        <v/>
      </c>
      <c r="J74" s="1289"/>
      <c r="K74" s="480" t="str">
        <f t="shared" si="7"/>
        <v/>
      </c>
      <c r="L74" s="1191"/>
      <c r="M74" s="1292"/>
      <c r="N74" s="1"/>
      <c r="O74" s="84"/>
      <c r="P74" s="366"/>
    </row>
    <row r="75" spans="1:21">
      <c r="A75" s="325"/>
      <c r="B75" s="161"/>
      <c r="C75" s="275"/>
      <c r="D75" s="275"/>
      <c r="E75" s="542" t="str">
        <f t="shared" si="5"/>
        <v/>
      </c>
      <c r="F75" s="162" t="str">
        <f t="shared" si="4"/>
        <v/>
      </c>
      <c r="G75" s="162"/>
      <c r="H75" s="678" t="str">
        <f t="shared" si="6"/>
        <v/>
      </c>
      <c r="I75" s="1288" t="str">
        <f t="shared" si="6"/>
        <v/>
      </c>
      <c r="J75" s="1289"/>
      <c r="K75" s="480" t="str">
        <f t="shared" si="7"/>
        <v/>
      </c>
      <c r="L75" s="1191"/>
      <c r="M75" s="1292"/>
      <c r="N75" s="1"/>
      <c r="O75" s="84"/>
      <c r="P75" s="150"/>
    </row>
    <row r="76" spans="1:21">
      <c r="A76" s="325"/>
      <c r="B76" s="161"/>
      <c r="C76" s="275"/>
      <c r="D76" s="275"/>
      <c r="E76" s="542" t="str">
        <f t="shared" si="5"/>
        <v/>
      </c>
      <c r="F76" s="162" t="str">
        <f t="shared" si="4"/>
        <v/>
      </c>
      <c r="G76" s="162"/>
      <c r="H76" s="678" t="str">
        <f t="shared" si="6"/>
        <v/>
      </c>
      <c r="I76" s="1288" t="str">
        <f t="shared" si="6"/>
        <v/>
      </c>
      <c r="J76" s="1289"/>
      <c r="K76" s="480" t="str">
        <f t="shared" si="7"/>
        <v/>
      </c>
      <c r="L76" s="1191"/>
      <c r="M76" s="1292"/>
      <c r="N76" s="1"/>
      <c r="O76" s="366"/>
      <c r="P76" s="1"/>
      <c r="Q76" s="86"/>
    </row>
    <row r="77" spans="1:21">
      <c r="A77" s="325"/>
      <c r="B77" s="161"/>
      <c r="C77" s="275"/>
      <c r="D77" s="275"/>
      <c r="E77" s="542" t="str">
        <f t="shared" si="5"/>
        <v/>
      </c>
      <c r="F77" s="162" t="str">
        <f t="shared" si="4"/>
        <v/>
      </c>
      <c r="G77" s="162"/>
      <c r="H77" s="678" t="str">
        <f t="shared" si="6"/>
        <v/>
      </c>
      <c r="I77" s="1288" t="str">
        <f t="shared" si="6"/>
        <v/>
      </c>
      <c r="J77" s="1289"/>
      <c r="K77" s="480" t="str">
        <f t="shared" si="7"/>
        <v/>
      </c>
      <c r="L77" s="1191"/>
      <c r="M77" s="1292"/>
      <c r="N77" s="1"/>
      <c r="O77" s="84"/>
    </row>
    <row r="78" spans="1:21" ht="15.75" thickBot="1">
      <c r="A78" s="1272" t="s">
        <v>259</v>
      </c>
      <c r="B78" s="1273"/>
      <c r="C78" s="358">
        <f>SUM(C62:C77)</f>
        <v>3288.71</v>
      </c>
      <c r="D78" s="358"/>
      <c r="E78" s="542">
        <f>SUM(E62:E77)</f>
        <v>0</v>
      </c>
      <c r="F78" s="162"/>
      <c r="G78" s="450"/>
      <c r="H78" s="1295" t="s">
        <v>259</v>
      </c>
      <c r="I78" s="1296"/>
      <c r="J78" s="1297"/>
      <c r="K78" s="677">
        <f>SUM(K62:K77)</f>
        <v>0</v>
      </c>
      <c r="L78" s="1298"/>
      <c r="M78" s="1299"/>
      <c r="N78" s="1"/>
      <c r="O78" s="366"/>
      <c r="P78" s="84"/>
      <c r="U78" s="86"/>
    </row>
    <row r="79" spans="1:21" ht="15.75" thickTop="1">
      <c r="A79" s="351"/>
      <c r="B79" s="352"/>
      <c r="C79" s="353"/>
      <c r="D79" s="353"/>
      <c r="E79" s="354"/>
      <c r="F79" s="352"/>
      <c r="G79" s="376"/>
      <c r="H79" s="1171" t="s">
        <v>16</v>
      </c>
      <c r="I79" s="1173" t="s">
        <v>17</v>
      </c>
      <c r="J79" s="1173" t="s">
        <v>21</v>
      </c>
      <c r="K79" s="1173"/>
      <c r="L79" s="1175" t="s">
        <v>93</v>
      </c>
      <c r="M79" s="1177" t="s">
        <v>95</v>
      </c>
      <c r="N79" s="1"/>
      <c r="O79" s="84"/>
      <c r="P79" s="84"/>
    </row>
    <row r="80" spans="1:21" ht="24">
      <c r="A80" s="355"/>
      <c r="B80" s="201"/>
      <c r="C80" s="201"/>
      <c r="D80" s="201"/>
      <c r="E80" s="216"/>
      <c r="F80" s="201"/>
      <c r="G80" s="201"/>
      <c r="H80" s="1172"/>
      <c r="I80" s="1174"/>
      <c r="J80" s="981" t="s">
        <v>21</v>
      </c>
      <c r="K80" s="981" t="s">
        <v>25</v>
      </c>
      <c r="L80" s="1176"/>
      <c r="M80" s="1178"/>
      <c r="N80" s="1"/>
      <c r="O80" s="366"/>
      <c r="P80" s="84"/>
    </row>
    <row r="81" spans="1:25">
      <c r="A81" s="338"/>
      <c r="B81" s="199"/>
      <c r="C81" s="288"/>
      <c r="D81" s="232"/>
      <c r="E81" s="84"/>
      <c r="F81" s="199"/>
      <c r="G81" s="199"/>
      <c r="H81" s="347" t="s">
        <v>163</v>
      </c>
      <c r="I81" s="94">
        <v>2420.3999999999996</v>
      </c>
      <c r="J81" s="94">
        <v>115.5</v>
      </c>
      <c r="K81" s="982">
        <v>132.61000000000001</v>
      </c>
      <c r="L81" s="96">
        <v>22665.5</v>
      </c>
      <c r="M81" s="104">
        <f>L81-I81-J81-K81</f>
        <v>19996.989999999998</v>
      </c>
      <c r="N81" s="150"/>
      <c r="O81" s="448"/>
      <c r="P81" s="439"/>
      <c r="R81" s="86"/>
    </row>
    <row r="82" spans="1:25">
      <c r="A82" s="339"/>
      <c r="B82" s="199"/>
      <c r="C82" s="199"/>
      <c r="D82" s="273"/>
      <c r="E82" s="366"/>
      <c r="F82" s="84"/>
      <c r="G82" s="366"/>
      <c r="H82" s="347" t="s">
        <v>192</v>
      </c>
      <c r="I82" s="94">
        <v>7629.69</v>
      </c>
      <c r="J82" s="94">
        <v>352.29</v>
      </c>
      <c r="K82" s="94">
        <v>193.85000000000002</v>
      </c>
      <c r="L82" s="96">
        <v>10342</v>
      </c>
      <c r="M82" s="104">
        <f>M81-I82-J82-K82+L82</f>
        <v>22163.159999999996</v>
      </c>
      <c r="N82" s="1"/>
      <c r="O82" s="448"/>
      <c r="P82" s="439"/>
      <c r="R82" s="86"/>
    </row>
    <row r="83" spans="1:25">
      <c r="A83" s="339"/>
      <c r="B83" s="366"/>
      <c r="C83" s="199"/>
      <c r="D83" s="273"/>
      <c r="E83" s="366"/>
      <c r="F83" s="366"/>
      <c r="G83" s="366"/>
      <c r="H83" s="347" t="s">
        <v>199</v>
      </c>
      <c r="I83" s="298">
        <v>8423.6400000000012</v>
      </c>
      <c r="J83" s="94">
        <v>921.3</v>
      </c>
      <c r="K83" s="299">
        <v>312.46000000000004</v>
      </c>
      <c r="L83" s="299">
        <v>16668</v>
      </c>
      <c r="M83" s="104">
        <f>M82-I83-J83-K83+L83</f>
        <v>29173.759999999995</v>
      </c>
      <c r="N83" s="1"/>
      <c r="O83" s="448"/>
      <c r="P83" s="436"/>
      <c r="R83" s="86"/>
    </row>
    <row r="84" spans="1:25">
      <c r="A84" s="339"/>
      <c r="B84" s="1"/>
      <c r="C84" s="284"/>
      <c r="D84" s="273"/>
      <c r="E84" s="366"/>
      <c r="F84" s="366"/>
      <c r="G84" s="84"/>
      <c r="H84" s="347" t="s">
        <v>209</v>
      </c>
      <c r="I84" s="299">
        <v>8639.7199999999993</v>
      </c>
      <c r="J84" s="300">
        <v>749.49</v>
      </c>
      <c r="K84" s="526">
        <v>435.1</v>
      </c>
      <c r="L84" s="299">
        <v>17824.919999999998</v>
      </c>
      <c r="M84" s="104">
        <f>M83-I84-J84-K84+L84</f>
        <v>37174.369999999995</v>
      </c>
      <c r="N84" s="92" t="s">
        <v>284</v>
      </c>
      <c r="O84" s="619"/>
      <c r="P84" s="724"/>
      <c r="R84" s="86"/>
    </row>
    <row r="85" spans="1:25">
      <c r="A85" s="339"/>
      <c r="B85" s="199"/>
      <c r="C85" s="1"/>
      <c r="D85" s="273"/>
      <c r="E85" s="366"/>
      <c r="F85" s="366"/>
      <c r="G85" s="366"/>
      <c r="H85" s="348" t="s">
        <v>210</v>
      </c>
      <c r="I85" s="300">
        <v>12605.26</v>
      </c>
      <c r="J85" s="299">
        <v>600.5</v>
      </c>
      <c r="K85" s="300">
        <v>491.64</v>
      </c>
      <c r="L85" s="299">
        <v>15183.9</v>
      </c>
      <c r="M85" s="104">
        <v>36025.39</v>
      </c>
      <c r="N85" s="618">
        <v>38660.869999999995</v>
      </c>
      <c r="O85" s="145"/>
      <c r="P85" s="437"/>
      <c r="Q85" s="86"/>
      <c r="R85" s="86"/>
    </row>
    <row r="86" spans="1:25">
      <c r="A86" s="339"/>
      <c r="B86" s="199"/>
      <c r="C86" s="1"/>
      <c r="D86" s="273"/>
      <c r="E86" s="366"/>
      <c r="F86" s="366"/>
      <c r="G86" s="366"/>
      <c r="H86" s="379" t="s">
        <v>211</v>
      </c>
      <c r="I86" s="689">
        <v>11425.189999999999</v>
      </c>
      <c r="J86" s="438">
        <v>232.2</v>
      </c>
      <c r="K86" s="694">
        <v>262</v>
      </c>
      <c r="L86" s="606">
        <v>11864.4</v>
      </c>
      <c r="M86" s="104">
        <f>M85-I86-J86-K86+L86</f>
        <v>35970.400000000001</v>
      </c>
      <c r="N86" s="1"/>
      <c r="O86" s="366"/>
      <c r="P86" s="437"/>
      <c r="Q86" s="86"/>
      <c r="R86" s="86"/>
      <c r="V86" s="1"/>
    </row>
    <row r="87" spans="1:25">
      <c r="A87" s="339"/>
      <c r="B87" s="199"/>
      <c r="C87" s="1"/>
      <c r="D87" s="273"/>
      <c r="E87" s="366"/>
      <c r="F87" s="366"/>
      <c r="G87" s="366"/>
      <c r="H87" s="347" t="s">
        <v>9</v>
      </c>
      <c r="I87" s="689">
        <v>13612.520000000002</v>
      </c>
      <c r="J87" s="438">
        <f>19+42+25.5+33+4+25+7.5+18+170+1+9+37.5+2+1.4</f>
        <v>394.9</v>
      </c>
      <c r="K87" s="694">
        <f>112.8+296.38+33.5</f>
        <v>442.68</v>
      </c>
      <c r="L87" s="607">
        <f>14352+1353+311+316+73+278</f>
        <v>16683</v>
      </c>
      <c r="M87" s="738">
        <v>37929.35</v>
      </c>
      <c r="N87" s="722" t="s">
        <v>326</v>
      </c>
      <c r="O87" s="723"/>
      <c r="P87" s="437"/>
      <c r="Q87" s="703"/>
      <c r="R87" s="86"/>
      <c r="V87" s="1"/>
    </row>
    <row r="88" spans="1:25">
      <c r="A88" s="339"/>
      <c r="B88" s="199"/>
      <c r="C88" s="1"/>
      <c r="D88" s="273"/>
      <c r="E88" s="366"/>
      <c r="F88" s="366"/>
      <c r="G88" s="366"/>
      <c r="H88" s="347" t="s">
        <v>18</v>
      </c>
      <c r="I88" s="689">
        <v>14474.099999999999</v>
      </c>
      <c r="J88" s="438">
        <v>947.5</v>
      </c>
      <c r="K88" s="694">
        <v>526.15</v>
      </c>
      <c r="L88" s="607">
        <v>19238.8</v>
      </c>
      <c r="M88" s="104">
        <f>M87-I88-J88-K88+L88</f>
        <v>41220.399999999994</v>
      </c>
      <c r="N88" s="84"/>
      <c r="O88" s="366"/>
      <c r="P88" s="437"/>
      <c r="Q88" s="703"/>
      <c r="R88" s="86"/>
      <c r="V88" s="1"/>
    </row>
    <row r="89" spans="1:25">
      <c r="A89" s="339"/>
      <c r="B89" s="199"/>
      <c r="C89" s="1"/>
      <c r="D89" s="273"/>
      <c r="E89" s="366"/>
      <c r="F89" s="366"/>
      <c r="G89" s="366"/>
      <c r="H89" s="379" t="s">
        <v>19</v>
      </c>
      <c r="I89" s="621">
        <v>17170.439999999999</v>
      </c>
      <c r="J89" s="432">
        <v>3911.3</v>
      </c>
      <c r="K89" s="648">
        <f>21.5+122.1+41.6+353.89+95.92+8.2</f>
        <v>643.20999999999992</v>
      </c>
      <c r="L89" s="621">
        <f>660+513.5+514+683.5+535+212+2085+763+334+208+378+75+60+44+972+347+1461+81+303+363+12+44+73+133+667+281+234+225+789+767+1661+682+2828+477.5+365+873.5+390+553</f>
        <v>21647</v>
      </c>
      <c r="M89" s="104">
        <f>M88-I89-J89-K89+L89</f>
        <v>41142.449999999997</v>
      </c>
      <c r="N89" s="84"/>
      <c r="O89" s="366"/>
      <c r="P89" s="437"/>
      <c r="Q89" s="703"/>
      <c r="R89" s="86"/>
      <c r="V89" s="1"/>
    </row>
    <row r="90" spans="1:25">
      <c r="A90" s="339"/>
      <c r="B90" s="199"/>
      <c r="C90" s="1"/>
      <c r="D90" s="273"/>
      <c r="E90" s="366"/>
      <c r="F90" s="366"/>
      <c r="G90" s="366"/>
      <c r="H90" s="347" t="s">
        <v>20</v>
      </c>
      <c r="I90" s="689">
        <v>17084.789999999997</v>
      </c>
      <c r="J90" s="438">
        <v>1384.5</v>
      </c>
      <c r="K90" s="694">
        <f>231.74+381.32</f>
        <v>613.05999999999995</v>
      </c>
      <c r="L90" s="689">
        <f>861.5+275+194+301.5+390+1883.5+794+563+1402.5+380+670+229.5+35+275+150.5+18+76+68+310+1078+448+706+130+132+120+2048+130.5+296+608+1835+355+214.5+280+60+684+606</f>
        <v>18608</v>
      </c>
      <c r="M90" s="733">
        <v>43441.55</v>
      </c>
      <c r="N90" s="84"/>
      <c r="O90" s="366"/>
      <c r="P90" s="646"/>
      <c r="Q90" s="703"/>
      <c r="R90" s="86"/>
      <c r="V90" s="1"/>
    </row>
    <row r="91" spans="1:25">
      <c r="A91" s="339"/>
      <c r="B91" s="199"/>
      <c r="C91" s="1"/>
      <c r="D91" s="273"/>
      <c r="E91" s="366"/>
      <c r="F91" s="366"/>
      <c r="G91" s="366"/>
      <c r="H91" s="347" t="s">
        <v>148</v>
      </c>
      <c r="I91" s="689">
        <v>16010.099999999999</v>
      </c>
      <c r="J91" s="438">
        <f>16+65+35+15+24+192+4.6+315+19+6+29+4+35+35+15+160</f>
        <v>969.6</v>
      </c>
      <c r="K91" s="694">
        <f>318.55+297.05</f>
        <v>615.6</v>
      </c>
      <c r="L91" s="689">
        <f>2329.5+560+1456+491+2680+2008+1170+1743+283+1122+2144+623+348+597.5+612+1914+48.5+1270+194+20+375+514.5+108+1502+669+441+33+712+828+1156+829+50</f>
        <v>28831</v>
      </c>
      <c r="M91" s="104">
        <f>M90-I91-J91-K91+L91</f>
        <v>54677.250000000007</v>
      </c>
      <c r="N91" s="84"/>
      <c r="O91" s="366"/>
      <c r="P91" s="646"/>
      <c r="Q91" s="703"/>
      <c r="R91" s="86"/>
      <c r="V91" s="1"/>
    </row>
    <row r="92" spans="1:25">
      <c r="A92" s="339"/>
      <c r="B92" s="199"/>
      <c r="C92" s="1"/>
      <c r="D92" s="273"/>
      <c r="E92" s="366"/>
      <c r="F92" s="366"/>
      <c r="G92" s="366"/>
      <c r="H92" s="347" t="s">
        <v>162</v>
      </c>
      <c r="I92" s="689">
        <v>18487.2</v>
      </c>
      <c r="J92" s="438"/>
      <c r="K92" s="694">
        <v>733</v>
      </c>
      <c r="L92" s="689">
        <f>1090.5+178+238+342+320+112+163+3418.5+747+1608+1004+396+30+1858+1508+198+163+100+490+552+1725+777+245+1514.5+850.5+1647+348+1827+454</f>
        <v>23904</v>
      </c>
      <c r="M92" s="104">
        <f>M91-I92-J92-K92+L92</f>
        <v>59361.05</v>
      </c>
      <c r="N92" s="84"/>
      <c r="O92" s="366"/>
      <c r="P92" s="646"/>
      <c r="Q92" s="703"/>
      <c r="R92" s="86"/>
      <c r="V92" s="1"/>
    </row>
    <row r="93" spans="1:25" ht="15.75" thickBot="1">
      <c r="A93" s="339"/>
      <c r="B93" s="199"/>
      <c r="C93" s="1"/>
      <c r="D93" s="273"/>
      <c r="E93" s="366"/>
      <c r="F93" s="366"/>
      <c r="G93" s="366"/>
      <c r="H93" s="608" t="s">
        <v>163</v>
      </c>
      <c r="I93" s="622">
        <v>18961.969999999998</v>
      </c>
      <c r="J93" s="610"/>
      <c r="K93" s="695">
        <f>334.04+378.25</f>
        <v>712.29</v>
      </c>
      <c r="L93" s="622">
        <f>15.5+600+364+12+2306+740+1687+96+195.5+330+605+285+1211+2305+437+30+1509+42+443.5+664.5+239+42+42.5+114+364+617+545</f>
        <v>15841.5</v>
      </c>
      <c r="M93" s="104">
        <f>M92-I93-J93-K93+L93</f>
        <v>55528.29</v>
      </c>
      <c r="N93" s="84"/>
      <c r="O93" s="366"/>
      <c r="P93" s="646"/>
      <c r="Q93" s="703"/>
      <c r="R93" s="86"/>
      <c r="V93" s="1"/>
    </row>
    <row r="94" spans="1:25" ht="14.25" customHeight="1" thickTop="1">
      <c r="A94" s="339"/>
      <c r="B94" s="199"/>
      <c r="C94" s="1"/>
      <c r="D94" s="273"/>
      <c r="E94" s="84"/>
      <c r="F94" s="366"/>
      <c r="G94" s="366"/>
      <c r="H94" s="1148" t="s">
        <v>36</v>
      </c>
      <c r="I94" s="1150" t="s">
        <v>178</v>
      </c>
      <c r="J94" s="1151"/>
      <c r="K94" s="1152"/>
      <c r="L94" s="1156" t="s">
        <v>159</v>
      </c>
      <c r="M94" s="1157"/>
      <c r="N94" s="150"/>
      <c r="O94" s="84"/>
      <c r="P94" s="437"/>
      <c r="Q94" s="86"/>
      <c r="R94" s="86"/>
      <c r="V94" s="1"/>
    </row>
    <row r="95" spans="1:25">
      <c r="A95" s="339"/>
      <c r="B95" s="199"/>
      <c r="C95" s="284"/>
      <c r="D95" s="273"/>
      <c r="E95" s="284"/>
      <c r="F95" s="366"/>
      <c r="G95" s="378"/>
      <c r="H95" s="1149"/>
      <c r="I95" s="1153"/>
      <c r="J95" s="1154"/>
      <c r="K95" s="1155"/>
      <c r="L95" s="1158"/>
      <c r="M95" s="1159"/>
      <c r="N95" s="1"/>
      <c r="O95" s="12"/>
      <c r="P95" s="646"/>
      <c r="Q95" s="86"/>
      <c r="R95" s="366"/>
      <c r="S95" s="1"/>
      <c r="V95" s="1"/>
      <c r="W95" s="1"/>
      <c r="X95" s="1"/>
      <c r="Y95" s="1"/>
    </row>
    <row r="96" spans="1:25">
      <c r="A96" s="339"/>
      <c r="B96" s="199"/>
      <c r="C96" s="199"/>
      <c r="D96" s="273"/>
      <c r="E96" s="199"/>
      <c r="F96" s="366"/>
      <c r="G96" s="378"/>
      <c r="H96" s="512" t="s">
        <v>250</v>
      </c>
      <c r="I96" s="1160" t="s">
        <v>47</v>
      </c>
      <c r="J96" s="1160"/>
      <c r="K96" s="990">
        <v>98.88</v>
      </c>
      <c r="L96" s="282">
        <v>44150</v>
      </c>
      <c r="M96" s="44" t="s">
        <v>406</v>
      </c>
      <c r="O96" s="366"/>
      <c r="P96" s="646"/>
      <c r="Q96" s="86"/>
      <c r="R96" s="366"/>
      <c r="S96" s="1"/>
      <c r="T96" s="1"/>
      <c r="V96" s="282"/>
      <c r="W96" s="1"/>
      <c r="X96" s="1"/>
      <c r="Y96" s="1"/>
    </row>
    <row r="97" spans="1:26">
      <c r="A97" s="339"/>
      <c r="B97" s="366"/>
      <c r="C97" s="274"/>
      <c r="D97" s="273"/>
      <c r="E97" s="274"/>
      <c r="F97" s="366"/>
      <c r="G97" s="366"/>
      <c r="H97" s="512" t="s">
        <v>250</v>
      </c>
      <c r="I97" s="1161" t="s">
        <v>51</v>
      </c>
      <c r="J97" s="1161"/>
      <c r="K97" s="989">
        <v>9.17</v>
      </c>
      <c r="L97" s="282">
        <v>44151</v>
      </c>
      <c r="M97" s="44" t="s">
        <v>406</v>
      </c>
      <c r="N97" s="490"/>
      <c r="O97" s="366"/>
      <c r="P97" s="646"/>
      <c r="Q97" s="541"/>
      <c r="R97" s="86"/>
      <c r="S97" s="1"/>
      <c r="T97" s="1"/>
      <c r="V97" s="282"/>
      <c r="W97" s="1"/>
      <c r="X97" s="1"/>
      <c r="Y97" s="1"/>
    </row>
    <row r="98" spans="1:26">
      <c r="A98" s="340"/>
      <c r="B98" s="366"/>
      <c r="C98" s="366"/>
      <c r="D98" s="273"/>
      <c r="E98" s="199"/>
      <c r="F98" s="366"/>
      <c r="G98" s="366"/>
      <c r="H98" s="512" t="s">
        <v>250</v>
      </c>
      <c r="I98" s="1161" t="s">
        <v>52</v>
      </c>
      <c r="J98" s="1161"/>
      <c r="K98" s="989">
        <v>1.7</v>
      </c>
      <c r="L98" s="282">
        <v>44152</v>
      </c>
      <c r="M98" s="44" t="s">
        <v>406</v>
      </c>
      <c r="O98" s="366"/>
      <c r="P98" s="646"/>
      <c r="Q98" s="86"/>
      <c r="R98" s="983"/>
      <c r="S98" s="1"/>
      <c r="T98" s="1"/>
      <c r="V98" s="282"/>
      <c r="W98" s="282"/>
      <c r="X98" s="282"/>
      <c r="Y98" s="1"/>
      <c r="Z98" s="1"/>
    </row>
    <row r="99" spans="1:26">
      <c r="A99" s="340"/>
      <c r="B99" s="366"/>
      <c r="C99" s="366"/>
      <c r="D99" s="273"/>
      <c r="E99" s="366"/>
      <c r="F99" s="366"/>
      <c r="G99" s="366"/>
      <c r="H99" s="512" t="s">
        <v>250</v>
      </c>
      <c r="I99" s="1262" t="s">
        <v>49</v>
      </c>
      <c r="J99" s="1262"/>
      <c r="K99" s="989">
        <v>89</v>
      </c>
      <c r="L99" s="294"/>
      <c r="M99" s="44" t="s">
        <v>171</v>
      </c>
      <c r="O99" s="84"/>
      <c r="P99" s="646"/>
      <c r="Q99" s="366"/>
      <c r="R99" s="86"/>
      <c r="S99" s="1"/>
      <c r="T99" s="282"/>
      <c r="U99" s="1"/>
      <c r="V99" s="282"/>
      <c r="W99" s="282"/>
      <c r="X99" s="282"/>
      <c r="Y99" s="1"/>
      <c r="Z99" s="1"/>
    </row>
    <row r="100" spans="1:26">
      <c r="A100" s="340"/>
      <c r="B100" s="366"/>
      <c r="C100" s="366"/>
      <c r="D100" s="273"/>
      <c r="E100" s="366"/>
      <c r="F100" s="366"/>
      <c r="G100" s="366"/>
      <c r="H100" s="512" t="s">
        <v>250</v>
      </c>
      <c r="I100" s="1276" t="s">
        <v>59</v>
      </c>
      <c r="J100" s="1276"/>
      <c r="K100" s="991">
        <v>638.38</v>
      </c>
      <c r="L100" s="302" t="s">
        <v>177</v>
      </c>
      <c r="M100" s="44" t="s">
        <v>104</v>
      </c>
      <c r="N100" s="490"/>
      <c r="O100" s="84"/>
      <c r="P100" s="646"/>
      <c r="Q100" s="479"/>
      <c r="R100" s="983"/>
      <c r="S100" s="1"/>
      <c r="T100" s="282"/>
      <c r="U100" s="1"/>
      <c r="V100" s="1"/>
      <c r="W100" s="282"/>
      <c r="X100" s="282"/>
      <c r="Y100" s="1"/>
      <c r="Z100" s="1"/>
    </row>
    <row r="101" spans="1:26">
      <c r="A101" s="340"/>
      <c r="B101" s="199"/>
      <c r="C101" s="199"/>
      <c r="D101" s="273"/>
      <c r="E101" s="199"/>
      <c r="F101" s="366"/>
      <c r="G101" s="366"/>
      <c r="H101" s="512" t="s">
        <v>250</v>
      </c>
      <c r="I101" s="1264" t="s">
        <v>68</v>
      </c>
      <c r="J101" s="1265"/>
      <c r="K101" s="989">
        <v>54.53</v>
      </c>
      <c r="L101" s="282">
        <v>44155</v>
      </c>
      <c r="M101" s="44" t="s">
        <v>406</v>
      </c>
      <c r="O101" s="366"/>
      <c r="P101" s="437"/>
      <c r="Q101" s="366"/>
      <c r="R101" s="983"/>
      <c r="S101" s="1"/>
      <c r="T101" s="282"/>
      <c r="U101" s="1"/>
      <c r="V101" s="282"/>
      <c r="W101" s="282"/>
      <c r="X101" s="282"/>
      <c r="Y101" s="1"/>
      <c r="Z101" s="1"/>
    </row>
    <row r="102" spans="1:26">
      <c r="A102" s="340"/>
      <c r="B102" s="199"/>
      <c r="C102" s="366"/>
      <c r="D102" s="273"/>
      <c r="E102" s="199"/>
      <c r="F102" s="366"/>
      <c r="G102" s="366"/>
      <c r="H102" s="512" t="s">
        <v>250</v>
      </c>
      <c r="I102" s="1264" t="s">
        <v>174</v>
      </c>
      <c r="J102" s="1265"/>
      <c r="K102" s="989">
        <f>176.46+44.05</f>
        <v>220.51</v>
      </c>
      <c r="L102" s="282">
        <v>44150</v>
      </c>
      <c r="M102" s="44" t="s">
        <v>406</v>
      </c>
      <c r="O102" s="84"/>
      <c r="P102" s="86"/>
      <c r="Q102" s="366"/>
      <c r="R102" s="983"/>
      <c r="S102" s="983"/>
      <c r="T102" s="282"/>
      <c r="U102" s="282"/>
      <c r="V102" s="282"/>
      <c r="W102" s="1"/>
      <c r="X102" s="1"/>
      <c r="Y102" s="1"/>
      <c r="Z102" s="1"/>
    </row>
    <row r="103" spans="1:26">
      <c r="A103" s="340"/>
      <c r="B103" s="199"/>
      <c r="C103" s="366"/>
      <c r="D103" s="273"/>
      <c r="E103" s="199"/>
      <c r="F103" s="366"/>
      <c r="G103" s="366"/>
      <c r="H103" s="993" t="s">
        <v>241</v>
      </c>
      <c r="I103" s="986" t="s">
        <v>176</v>
      </c>
      <c r="J103" s="987"/>
      <c r="K103" s="989" t="s">
        <v>258</v>
      </c>
      <c r="L103" s="282">
        <v>44155</v>
      </c>
      <c r="M103" s="44" t="s">
        <v>406</v>
      </c>
      <c r="O103" s="84"/>
      <c r="P103" s="86"/>
      <c r="Q103" s="366"/>
      <c r="R103" s="483"/>
      <c r="S103" s="150"/>
      <c r="T103" s="1"/>
      <c r="U103" s="282"/>
      <c r="V103" s="282"/>
      <c r="W103" s="282"/>
      <c r="X103" s="282"/>
      <c r="Y103" s="1"/>
      <c r="Z103" s="1"/>
    </row>
    <row r="104" spans="1:26">
      <c r="A104" s="340"/>
      <c r="B104" s="199"/>
      <c r="C104" s="366"/>
      <c r="D104" s="273"/>
      <c r="E104" s="232"/>
      <c r="F104" s="366"/>
      <c r="G104" s="366"/>
      <c r="H104" s="512" t="s">
        <v>250</v>
      </c>
      <c r="I104" s="1264" t="s">
        <v>81</v>
      </c>
      <c r="J104" s="1265"/>
      <c r="K104" s="989">
        <v>846.4</v>
      </c>
      <c r="L104" s="282">
        <v>44145</v>
      </c>
      <c r="M104" s="44" t="s">
        <v>406</v>
      </c>
      <c r="O104" s="84"/>
      <c r="P104" s="86"/>
      <c r="Q104" s="483"/>
      <c r="R104" s="365"/>
      <c r="S104" s="150"/>
      <c r="T104" s="282"/>
      <c r="U104" s="282"/>
      <c r="V104" s="282"/>
      <c r="W104" s="282"/>
      <c r="X104" s="282"/>
      <c r="Y104" s="366"/>
      <c r="Z104" s="1"/>
    </row>
    <row r="105" spans="1:26">
      <c r="A105" s="340"/>
      <c r="B105" s="199"/>
      <c r="C105" s="366"/>
      <c r="D105" s="273"/>
      <c r="E105" s="232"/>
      <c r="F105" s="366"/>
      <c r="G105" s="366"/>
      <c r="H105" s="512" t="s">
        <v>381</v>
      </c>
      <c r="I105" s="1264" t="s">
        <v>53</v>
      </c>
      <c r="J105" s="1265"/>
      <c r="K105" s="454">
        <v>10</v>
      </c>
      <c r="L105" s="282">
        <v>44150</v>
      </c>
      <c r="M105" s="44" t="s">
        <v>406</v>
      </c>
      <c r="N105" s="490"/>
      <c r="O105" s="84"/>
      <c r="P105" s="86"/>
      <c r="Q105" s="983"/>
      <c r="R105" s="983"/>
      <c r="S105" s="1"/>
      <c r="T105" s="282"/>
      <c r="U105" s="282"/>
      <c r="V105" s="282"/>
      <c r="W105" s="282"/>
      <c r="X105" s="282"/>
      <c r="Y105" s="366"/>
      <c r="Z105" s="1"/>
    </row>
    <row r="106" spans="1:26">
      <c r="A106" s="340"/>
      <c r="B106" s="199"/>
      <c r="C106" s="366"/>
      <c r="D106" s="273"/>
      <c r="E106" s="232"/>
      <c r="F106" s="366"/>
      <c r="G106" s="366"/>
      <c r="H106" s="512" t="s">
        <v>91</v>
      </c>
      <c r="I106" s="1263" t="s">
        <v>276</v>
      </c>
      <c r="J106" s="1263"/>
      <c r="K106" s="637">
        <v>100</v>
      </c>
      <c r="L106" s="282">
        <v>44165</v>
      </c>
      <c r="M106" s="44" t="s">
        <v>406</v>
      </c>
      <c r="O106" s="84"/>
      <c r="P106" s="86"/>
      <c r="Q106" s="983"/>
      <c r="R106" s="983"/>
      <c r="S106" s="366"/>
      <c r="T106" s="282"/>
      <c r="U106" s="282"/>
      <c r="V106" s="282"/>
      <c r="W106" s="282"/>
      <c r="X106" s="282"/>
      <c r="Y106" s="1"/>
      <c r="Z106" s="1"/>
    </row>
    <row r="107" spans="1:26">
      <c r="A107" s="340"/>
      <c r="B107" s="199"/>
      <c r="C107" s="366"/>
      <c r="D107" s="273"/>
      <c r="E107" s="232"/>
      <c r="F107" s="366"/>
      <c r="G107" s="366"/>
      <c r="H107" s="512" t="s">
        <v>250</v>
      </c>
      <c r="I107" s="1263" t="s">
        <v>296</v>
      </c>
      <c r="J107" s="1263"/>
      <c r="K107" s="637">
        <v>9</v>
      </c>
      <c r="L107" s="282">
        <v>44150</v>
      </c>
      <c r="M107" s="44" t="s">
        <v>406</v>
      </c>
      <c r="O107" s="84"/>
      <c r="P107" s="86"/>
      <c r="Q107" s="983"/>
      <c r="R107" s="983"/>
      <c r="S107" s="366"/>
      <c r="T107" s="282"/>
      <c r="U107" s="282"/>
      <c r="V107" s="282"/>
      <c r="W107" s="282"/>
      <c r="X107" s="282"/>
      <c r="Y107" s="1"/>
      <c r="Z107" s="1"/>
    </row>
    <row r="108" spans="1:26">
      <c r="A108" s="340"/>
      <c r="B108" s="199"/>
      <c r="C108" s="366"/>
      <c r="D108" s="273"/>
      <c r="E108" s="232"/>
      <c r="F108" s="366"/>
      <c r="G108" s="366"/>
      <c r="H108" s="512" t="s">
        <v>91</v>
      </c>
      <c r="I108" s="1143" t="s">
        <v>345</v>
      </c>
      <c r="J108" s="1144"/>
      <c r="K108" s="637">
        <v>859.77</v>
      </c>
      <c r="L108" s="282">
        <v>44165</v>
      </c>
      <c r="M108" s="44" t="s">
        <v>406</v>
      </c>
      <c r="O108" s="84"/>
      <c r="P108" s="86"/>
      <c r="Q108" s="983"/>
      <c r="R108" s="983"/>
      <c r="S108" s="366"/>
      <c r="T108" s="282"/>
      <c r="U108" s="282"/>
      <c r="V108" s="282"/>
      <c r="W108" s="282"/>
      <c r="X108" s="282"/>
      <c r="Y108" s="1"/>
      <c r="Z108" s="1"/>
    </row>
    <row r="109" spans="1:26" ht="15.75" thickBot="1">
      <c r="A109" s="341"/>
      <c r="B109" s="330"/>
      <c r="C109" s="331"/>
      <c r="D109" s="342"/>
      <c r="E109" s="330"/>
      <c r="F109" s="331"/>
      <c r="G109" s="331"/>
      <c r="H109" s="1280" t="s">
        <v>179</v>
      </c>
      <c r="I109" s="1281"/>
      <c r="J109" s="361">
        <f>SUM(K96:K108)</f>
        <v>2937.34</v>
      </c>
      <c r="K109" s="1146" t="s">
        <v>180</v>
      </c>
      <c r="L109" s="1146"/>
      <c r="M109" s="514">
        <v>0</v>
      </c>
      <c r="O109" s="84"/>
      <c r="P109" s="86"/>
      <c r="Q109" s="983"/>
      <c r="R109" s="365"/>
      <c r="S109" s="366"/>
      <c r="T109" s="282"/>
      <c r="U109" s="282"/>
      <c r="V109" s="1"/>
      <c r="W109" s="282"/>
      <c r="X109" s="282"/>
      <c r="Y109" s="1"/>
      <c r="Z109" s="1"/>
    </row>
    <row r="110" spans="1:26" ht="15.75" thickTop="1">
      <c r="C110" s="491"/>
      <c r="D110" s="491"/>
      <c r="O110" s="84"/>
      <c r="P110" s="86"/>
      <c r="Q110" s="983"/>
      <c r="R110" s="365"/>
      <c r="S110" s="366"/>
      <c r="T110" s="282"/>
      <c r="U110" s="282"/>
      <c r="V110" s="1"/>
      <c r="W110" s="282"/>
      <c r="X110" s="282"/>
      <c r="Y110" s="1"/>
      <c r="Z110" s="1"/>
    </row>
    <row r="111" spans="1:26" ht="15" customHeight="1">
      <c r="A111" s="1163" t="s">
        <v>386</v>
      </c>
      <c r="B111" s="1163"/>
      <c r="C111" s="1163"/>
      <c r="D111" s="1163"/>
      <c r="E111" s="1163"/>
      <c r="F111" s="1163"/>
      <c r="G111" s="1163"/>
      <c r="H111" s="1163"/>
      <c r="I111" s="1163"/>
      <c r="J111" s="1163"/>
      <c r="K111" s="1163"/>
      <c r="L111" s="1163"/>
      <c r="M111" s="1163"/>
      <c r="O111" s="84"/>
      <c r="P111" s="86"/>
      <c r="Q111" s="983"/>
      <c r="R111" s="983"/>
      <c r="S111" s="1"/>
      <c r="T111" s="282"/>
      <c r="U111" s="282"/>
      <c r="V111" s="1"/>
      <c r="W111" s="1"/>
      <c r="X111" s="1"/>
      <c r="Y111" s="1"/>
      <c r="Z111" s="1"/>
    </row>
    <row r="112" spans="1:26" ht="15.75" customHeight="1" thickBot="1">
      <c r="A112" s="1164"/>
      <c r="B112" s="1164"/>
      <c r="C112" s="1164"/>
      <c r="D112" s="1164"/>
      <c r="E112" s="1164"/>
      <c r="F112" s="1164"/>
      <c r="G112" s="1164"/>
      <c r="H112" s="1164"/>
      <c r="I112" s="1164"/>
      <c r="J112" s="1164"/>
      <c r="K112" s="1164"/>
      <c r="L112" s="1164"/>
      <c r="M112" s="1164"/>
      <c r="O112" s="84"/>
      <c r="P112" s="86"/>
      <c r="Q112" s="983"/>
      <c r="R112" s="983"/>
      <c r="S112" s="1"/>
      <c r="T112" s="1"/>
      <c r="U112" s="282"/>
      <c r="V112" s="1"/>
      <c r="W112" s="1"/>
      <c r="X112" s="1"/>
      <c r="Y112" s="1"/>
      <c r="Z112" s="1"/>
    </row>
    <row r="113" spans="1:26" ht="15.75" thickTop="1">
      <c r="A113" s="1301" t="s">
        <v>43</v>
      </c>
      <c r="B113" s="1268"/>
      <c r="C113" s="1268"/>
      <c r="D113" s="1268"/>
      <c r="E113" s="1268"/>
      <c r="F113" s="1302"/>
      <c r="G113" s="323"/>
      <c r="O113" s="84"/>
      <c r="P113" s="86"/>
      <c r="Q113" s="647"/>
      <c r="R113" s="983"/>
      <c r="S113" s="1"/>
      <c r="T113" s="1"/>
      <c r="U113" s="282"/>
      <c r="V113" s="1"/>
      <c r="W113" s="1"/>
      <c r="X113" s="1"/>
      <c r="Y113" s="1"/>
      <c r="Z113" s="1"/>
    </row>
    <row r="114" spans="1:26">
      <c r="A114" s="1213" t="s">
        <v>342</v>
      </c>
      <c r="B114" s="1214"/>
      <c r="C114" s="979" t="s">
        <v>35</v>
      </c>
      <c r="D114" s="979" t="s">
        <v>38</v>
      </c>
      <c r="E114" s="979" t="s">
        <v>42</v>
      </c>
      <c r="F114" s="979" t="s">
        <v>44</v>
      </c>
      <c r="G114" s="1"/>
      <c r="O114" s="84"/>
      <c r="P114" s="86"/>
      <c r="Q114" s="983"/>
      <c r="R114" s="983"/>
      <c r="S114" s="1"/>
      <c r="T114" s="1"/>
      <c r="U114" s="1"/>
      <c r="W114" s="1"/>
      <c r="X114" s="1"/>
      <c r="Y114" s="1"/>
      <c r="Z114" s="1"/>
    </row>
    <row r="115" spans="1:26">
      <c r="A115" s="1290" t="s">
        <v>40</v>
      </c>
      <c r="B115" s="1271"/>
      <c r="C115" s="967">
        <v>981.43</v>
      </c>
      <c r="D115" s="967">
        <v>981.43</v>
      </c>
      <c r="E115" s="481">
        <v>0</v>
      </c>
      <c r="F115" s="3"/>
      <c r="G115" s="1"/>
      <c r="O115" s="84"/>
      <c r="P115" s="86"/>
      <c r="Q115" s="983"/>
      <c r="R115" s="983"/>
      <c r="S115" s="1"/>
      <c r="T115" s="1"/>
      <c r="U115" s="1"/>
      <c r="W115" s="1"/>
      <c r="X115" s="1"/>
      <c r="Y115" s="1"/>
      <c r="Z115" s="1"/>
    </row>
    <row r="116" spans="1:26">
      <c r="A116" s="340"/>
      <c r="B116" s="366"/>
      <c r="C116" s="498">
        <f>SUM(C115:C115)</f>
        <v>981.43</v>
      </c>
      <c r="D116" s="366"/>
      <c r="E116" s="84"/>
      <c r="F116" s="366"/>
      <c r="G116" s="1"/>
      <c r="K116" s="490"/>
      <c r="O116" s="84"/>
      <c r="P116" s="86"/>
      <c r="Q116" s="983"/>
      <c r="R116" s="983"/>
      <c r="T116" s="1"/>
      <c r="U116" s="1"/>
      <c r="Z116" s="1"/>
    </row>
    <row r="117" spans="1:26">
      <c r="A117" s="340"/>
      <c r="B117" s="366"/>
      <c r="C117" s="366"/>
      <c r="D117" s="366"/>
      <c r="E117" s="366"/>
      <c r="F117" s="366"/>
      <c r="G117" s="1"/>
      <c r="O117" s="84"/>
      <c r="P117" s="86"/>
      <c r="Q117" s="983"/>
      <c r="R117" s="983"/>
      <c r="U117" s="1"/>
      <c r="Z117" s="1"/>
    </row>
    <row r="118" spans="1:26">
      <c r="A118" s="340"/>
      <c r="B118" s="366"/>
      <c r="C118" s="366"/>
      <c r="D118" s="366"/>
      <c r="E118" s="366"/>
      <c r="F118" s="366"/>
      <c r="G118" s="1"/>
      <c r="M118" s="490"/>
      <c r="O118" s="84"/>
      <c r="P118" s="86"/>
      <c r="Q118" s="983"/>
      <c r="R118" s="983"/>
      <c r="U118" s="1"/>
      <c r="Z118" s="1"/>
    </row>
    <row r="119" spans="1:26">
      <c r="A119" s="340"/>
      <c r="B119" s="366"/>
      <c r="C119" s="366"/>
      <c r="D119" s="366"/>
      <c r="E119" s="366"/>
      <c r="F119" s="366"/>
      <c r="G119" s="1"/>
      <c r="O119" s="84"/>
      <c r="P119" s="86"/>
      <c r="Q119" s="983"/>
      <c r="R119" s="983"/>
      <c r="U119" s="1"/>
    </row>
    <row r="120" spans="1:26">
      <c r="A120" s="43"/>
      <c r="B120" s="1"/>
      <c r="C120" s="366"/>
      <c r="D120" s="1"/>
      <c r="E120" s="1"/>
      <c r="F120" s="1"/>
      <c r="G120" s="1"/>
      <c r="M120" s="1"/>
      <c r="O120" s="84"/>
      <c r="P120" s="86"/>
      <c r="Q120" s="983"/>
      <c r="R120" s="983"/>
    </row>
    <row r="121" spans="1:26">
      <c r="A121" s="43"/>
      <c r="B121" s="1"/>
      <c r="C121" s="366"/>
      <c r="D121" s="1"/>
      <c r="E121" s="1"/>
      <c r="F121" s="1"/>
      <c r="G121" s="1"/>
      <c r="M121" s="1"/>
      <c r="O121" s="84"/>
      <c r="P121" s="86"/>
      <c r="Q121" s="983"/>
      <c r="R121" s="983"/>
    </row>
    <row r="122" spans="1:26">
      <c r="A122" s="43"/>
      <c r="B122" s="1"/>
      <c r="C122" s="366"/>
      <c r="D122" s="1"/>
      <c r="E122" s="1"/>
      <c r="F122" s="1"/>
      <c r="G122" s="1"/>
      <c r="M122" s="1"/>
      <c r="O122" s="84"/>
      <c r="P122" s="86"/>
      <c r="Q122" s="983"/>
      <c r="R122" s="983"/>
    </row>
    <row r="123" spans="1:26">
      <c r="A123" s="43"/>
      <c r="B123" s="1"/>
      <c r="C123" s="366"/>
      <c r="D123" s="1"/>
      <c r="E123" s="1"/>
      <c r="F123" s="1"/>
      <c r="G123" s="1"/>
      <c r="M123" s="366"/>
      <c r="O123" s="84"/>
      <c r="P123" s="86"/>
      <c r="Q123" s="983"/>
      <c r="R123" s="983"/>
    </row>
    <row r="124" spans="1:26">
      <c r="A124" s="43"/>
      <c r="B124" s="1"/>
      <c r="C124" s="366"/>
      <c r="D124" s="1"/>
      <c r="E124" s="1"/>
      <c r="F124" s="1"/>
      <c r="G124" s="1"/>
      <c r="M124" s="366"/>
      <c r="O124" s="84"/>
      <c r="P124" s="86"/>
      <c r="Q124" s="983"/>
      <c r="R124" s="983"/>
    </row>
    <row r="125" spans="1:26">
      <c r="A125" s="43"/>
      <c r="B125" s="1"/>
      <c r="C125" s="366"/>
      <c r="D125" s="1"/>
      <c r="E125" s="1"/>
      <c r="F125" s="1"/>
      <c r="G125" s="1"/>
      <c r="M125" s="1"/>
      <c r="O125" s="84"/>
      <c r="P125" s="86"/>
      <c r="Q125" s="983"/>
      <c r="R125" s="983"/>
    </row>
    <row r="126" spans="1:26">
      <c r="A126" s="43"/>
      <c r="B126" s="1"/>
      <c r="C126" s="366"/>
      <c r="D126" s="1"/>
      <c r="E126" s="1"/>
      <c r="F126" s="1"/>
      <c r="G126" s="1"/>
      <c r="M126" s="1"/>
      <c r="O126" s="84"/>
      <c r="P126" s="86"/>
      <c r="Q126" s="983"/>
      <c r="R126" s="983"/>
    </row>
    <row r="127" spans="1:26">
      <c r="A127" s="43"/>
      <c r="B127" s="1"/>
      <c r="C127" s="366"/>
      <c r="D127" s="1"/>
      <c r="E127" s="1"/>
      <c r="F127" s="1"/>
      <c r="G127" s="1"/>
      <c r="M127" s="1"/>
      <c r="O127" s="84"/>
      <c r="P127" s="86"/>
      <c r="Q127" s="86"/>
      <c r="R127" s="983"/>
    </row>
    <row r="128" spans="1:26">
      <c r="A128" s="43"/>
      <c r="B128" s="1"/>
      <c r="C128" s="366"/>
      <c r="D128" s="1"/>
      <c r="E128" s="1"/>
      <c r="F128" s="1"/>
      <c r="G128" s="1"/>
      <c r="M128" s="1"/>
      <c r="O128" s="84"/>
      <c r="P128" s="86"/>
      <c r="Q128" s="86"/>
      <c r="R128" s="983"/>
    </row>
    <row r="129" spans="1:26">
      <c r="A129" s="43"/>
      <c r="B129" s="1"/>
      <c r="C129" s="366"/>
      <c r="D129" s="1"/>
      <c r="E129" s="1"/>
      <c r="F129" s="1"/>
      <c r="G129" s="1"/>
      <c r="O129" s="84"/>
      <c r="P129" s="86"/>
      <c r="Q129" s="86"/>
      <c r="R129" s="983"/>
    </row>
    <row r="130" spans="1:26">
      <c r="A130" s="43"/>
      <c r="B130" s="1"/>
      <c r="C130" s="366"/>
      <c r="D130" s="1"/>
      <c r="E130" s="1"/>
      <c r="F130" s="1"/>
      <c r="G130" s="1"/>
      <c r="O130" s="84"/>
      <c r="P130" s="86"/>
      <c r="Q130" s="86"/>
      <c r="R130" s="983"/>
    </row>
    <row r="131" spans="1:26">
      <c r="C131" s="446"/>
      <c r="O131" s="84"/>
      <c r="P131" s="86"/>
      <c r="Q131" s="86"/>
      <c r="R131" s="145"/>
    </row>
    <row r="132" spans="1:26">
      <c r="A132" s="12"/>
      <c r="C132" s="446"/>
      <c r="O132" s="84"/>
      <c r="P132" s="86"/>
      <c r="Q132" s="86"/>
      <c r="R132" s="366"/>
    </row>
    <row r="133" spans="1:26">
      <c r="C133" s="446"/>
      <c r="O133" s="84"/>
      <c r="R133" s="366"/>
    </row>
    <row r="134" spans="1:26" s="1" customFormat="1" ht="12.75" customHeight="1">
      <c r="A134" s="448"/>
      <c r="B134" s="199"/>
      <c r="D134" s="273"/>
      <c r="E134" s="366"/>
      <c r="F134" s="366"/>
      <c r="G134" s="366"/>
      <c r="H134" s="538"/>
      <c r="I134" s="902"/>
      <c r="J134" s="437"/>
      <c r="K134" s="605"/>
      <c r="L134" s="605"/>
      <c r="M134" s="436"/>
      <c r="O134" s="84"/>
      <c r="P134" s="84"/>
      <c r="Q134" s="145"/>
      <c r="R134" s="84"/>
      <c r="S134" s="84"/>
      <c r="T134" s="366"/>
      <c r="U134" s="366"/>
      <c r="V134" s="366"/>
      <c r="W134" s="366"/>
      <c r="X134" s="366"/>
      <c r="Y134" s="366"/>
      <c r="Z134" s="366"/>
    </row>
    <row r="135" spans="1:26">
      <c r="C135" s="446"/>
      <c r="O135" s="84"/>
      <c r="R135" s="366"/>
    </row>
    <row r="136" spans="1:26">
      <c r="C136" s="446"/>
      <c r="O136" s="150"/>
      <c r="R136" s="366"/>
    </row>
    <row r="137" spans="1:26">
      <c r="C137" s="446"/>
      <c r="R137" s="366"/>
    </row>
    <row r="138" spans="1:26">
      <c r="C138" s="446"/>
      <c r="R138" s="366"/>
    </row>
    <row r="139" spans="1:26">
      <c r="C139" s="446"/>
      <c r="R139" s="910"/>
    </row>
    <row r="140" spans="1:26">
      <c r="C140" s="446"/>
    </row>
  </sheetData>
  <mergeCells count="131">
    <mergeCell ref="A113:F113"/>
    <mergeCell ref="A114:B114"/>
    <mergeCell ref="A115:B115"/>
    <mergeCell ref="I106:J106"/>
    <mergeCell ref="I107:J107"/>
    <mergeCell ref="I108:J108"/>
    <mergeCell ref="H109:I109"/>
    <mergeCell ref="K109:L109"/>
    <mergeCell ref="A111:M112"/>
    <mergeCell ref="I99:J99"/>
    <mergeCell ref="I100:J100"/>
    <mergeCell ref="I101:J101"/>
    <mergeCell ref="I102:J102"/>
    <mergeCell ref="I104:J104"/>
    <mergeCell ref="I105:J105"/>
    <mergeCell ref="H94:H95"/>
    <mergeCell ref="I94:K95"/>
    <mergeCell ref="L94:M95"/>
    <mergeCell ref="I96:J96"/>
    <mergeCell ref="I97:J97"/>
    <mergeCell ref="I98:J98"/>
    <mergeCell ref="I77:J77"/>
    <mergeCell ref="L77:M77"/>
    <mergeCell ref="A78:B78"/>
    <mergeCell ref="H78:J78"/>
    <mergeCell ref="L78:M78"/>
    <mergeCell ref="H79:H80"/>
    <mergeCell ref="I79:I80"/>
    <mergeCell ref="J79:K79"/>
    <mergeCell ref="L79:L80"/>
    <mergeCell ref="M79:M80"/>
    <mergeCell ref="I74:J74"/>
    <mergeCell ref="L74:M74"/>
    <mergeCell ref="I75:J75"/>
    <mergeCell ref="L75:M75"/>
    <mergeCell ref="I76:J76"/>
    <mergeCell ref="L76:M76"/>
    <mergeCell ref="I71:J71"/>
    <mergeCell ref="L71:M71"/>
    <mergeCell ref="I72:J72"/>
    <mergeCell ref="L72:M72"/>
    <mergeCell ref="I73:J73"/>
    <mergeCell ref="L73:M73"/>
    <mergeCell ref="I68:J68"/>
    <mergeCell ref="L68:M68"/>
    <mergeCell ref="I69:J69"/>
    <mergeCell ref="L69:M69"/>
    <mergeCell ref="I70:J70"/>
    <mergeCell ref="L70:M70"/>
    <mergeCell ref="I65:J65"/>
    <mergeCell ref="L65:M65"/>
    <mergeCell ref="I66:J66"/>
    <mergeCell ref="L66:M66"/>
    <mergeCell ref="I67:J67"/>
    <mergeCell ref="L67:M67"/>
    <mergeCell ref="I62:J62"/>
    <mergeCell ref="L62:M62"/>
    <mergeCell ref="I63:J63"/>
    <mergeCell ref="L63:M63"/>
    <mergeCell ref="I64:J64"/>
    <mergeCell ref="L64:M64"/>
    <mergeCell ref="K56:L56"/>
    <mergeCell ref="H57:K57"/>
    <mergeCell ref="A58:M59"/>
    <mergeCell ref="A60:G60"/>
    <mergeCell ref="H60:M60"/>
    <mergeCell ref="I61:J61"/>
    <mergeCell ref="L61:M61"/>
    <mergeCell ref="I51:J51"/>
    <mergeCell ref="I52:J52"/>
    <mergeCell ref="I53:J53"/>
    <mergeCell ref="I54:J54"/>
    <mergeCell ref="I55:J55"/>
    <mergeCell ref="H56:I56"/>
    <mergeCell ref="I43:J43"/>
    <mergeCell ref="I44:J44"/>
    <mergeCell ref="I45:J45"/>
    <mergeCell ref="I48:J48"/>
    <mergeCell ref="I49:J49"/>
    <mergeCell ref="I50:J50"/>
    <mergeCell ref="H38:H39"/>
    <mergeCell ref="I38:K39"/>
    <mergeCell ref="L38:M39"/>
    <mergeCell ref="I40:J40"/>
    <mergeCell ref="I41:J41"/>
    <mergeCell ref="I42:J42"/>
    <mergeCell ref="A20:B20"/>
    <mergeCell ref="H20:J20"/>
    <mergeCell ref="L20:M20"/>
    <mergeCell ref="H21:H22"/>
    <mergeCell ref="I21:I22"/>
    <mergeCell ref="J21:K21"/>
    <mergeCell ref="L21:L22"/>
    <mergeCell ref="M21:M22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</mergeCells>
  <printOptions horizontalCentered="1" verticalCentered="1"/>
  <pageMargins left="0" right="0" top="0" bottom="0" header="0" footer="0"/>
  <pageSetup paperSize="9" scale="73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7"/>
  <sheetViews>
    <sheetView zoomScaleNormal="100" zoomScaleSheetLayoutView="115" zoomScalePageLayoutView="70" workbookViewId="0">
      <pane xSplit="1" ySplit="1" topLeftCell="B32" activePane="bottomRight" state="frozen"/>
      <selection pane="topRight" activeCell="B1" sqref="B1"/>
      <selection pane="bottomLeft" activeCell="A4" sqref="A4"/>
      <selection pane="bottomRight" activeCell="G13" sqref="G13"/>
    </sheetView>
  </sheetViews>
  <sheetFormatPr defaultColWidth="9.140625" defaultRowHeight="15"/>
  <cols>
    <col min="1" max="1" width="12.7109375" style="35" customWidth="1"/>
    <col min="2" max="2" width="6" style="35" customWidth="1"/>
    <col min="3" max="3" width="16.7109375" style="35" customWidth="1"/>
    <col min="4" max="4" width="13.140625" style="35" customWidth="1"/>
    <col min="5" max="5" width="14" style="35" customWidth="1"/>
    <col min="6" max="6" width="15.28515625" style="35" customWidth="1"/>
    <col min="7" max="7" width="16.7109375" style="35" customWidth="1"/>
    <col min="8" max="13" width="18.7109375" style="35" customWidth="1"/>
    <col min="14" max="16384" width="9.140625" style="35"/>
  </cols>
  <sheetData>
    <row r="1" spans="1:16" ht="13.5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15" t="s">
        <v>191</v>
      </c>
      <c r="I1" s="463" t="s">
        <v>240</v>
      </c>
      <c r="J1" s="463" t="s">
        <v>371</v>
      </c>
      <c r="K1" s="463"/>
      <c r="L1" s="463"/>
    </row>
    <row r="2" spans="1:16" ht="11.1" customHeight="1">
      <c r="B2" s="16">
        <f>IF(C2="","",WEEKDAY(C2,2))</f>
        <v>7</v>
      </c>
      <c r="C2" s="17">
        <v>44136</v>
      </c>
      <c r="D2" s="757"/>
      <c r="E2" s="757">
        <v>924.45</v>
      </c>
      <c r="F2" s="873">
        <v>1100.7</v>
      </c>
      <c r="G2" s="227"/>
      <c r="H2" s="979"/>
      <c r="I2" s="669"/>
      <c r="J2" s="463"/>
      <c r="K2" s="463"/>
      <c r="L2" s="463"/>
    </row>
    <row r="3" spans="1:16" ht="11.1" customHeight="1">
      <c r="B3" s="16">
        <f t="shared" ref="B3:B31" si="0">IF(C3="","",WEEKDAY(C3,2))</f>
        <v>1</v>
      </c>
      <c r="C3" s="17">
        <v>44137</v>
      </c>
      <c r="D3" s="757"/>
      <c r="E3" s="757">
        <v>685.7</v>
      </c>
      <c r="F3" s="873">
        <v>216.2</v>
      </c>
      <c r="G3" s="227"/>
      <c r="H3" s="979"/>
      <c r="I3" s="670"/>
      <c r="J3" s="463"/>
      <c r="K3" s="463"/>
      <c r="L3" s="463"/>
    </row>
    <row r="4" spans="1:16" ht="11.1" customHeight="1">
      <c r="B4" s="16">
        <f t="shared" si="0"/>
        <v>2</v>
      </c>
      <c r="C4" s="17">
        <v>44138</v>
      </c>
      <c r="D4" s="757">
        <v>373.6</v>
      </c>
      <c r="E4" s="757"/>
      <c r="F4" s="873"/>
      <c r="G4" s="227">
        <v>300.39999999999998</v>
      </c>
      <c r="H4" s="979"/>
      <c r="I4" s="670"/>
      <c r="J4" s="463"/>
      <c r="K4" s="463"/>
      <c r="L4" s="463"/>
    </row>
    <row r="5" spans="1:16" ht="11.1" customHeight="1">
      <c r="B5" s="16">
        <f t="shared" si="0"/>
        <v>3</v>
      </c>
      <c r="C5" s="17">
        <v>44139</v>
      </c>
      <c r="D5" s="757">
        <v>797.9</v>
      </c>
      <c r="E5" s="757"/>
      <c r="F5" s="873"/>
      <c r="G5" s="227">
        <v>856</v>
      </c>
      <c r="H5" s="979"/>
      <c r="I5" s="85"/>
      <c r="J5" s="463"/>
      <c r="K5" s="463"/>
      <c r="L5" s="463"/>
    </row>
    <row r="6" spans="1:16" ht="11.1" customHeight="1">
      <c r="B6" s="16">
        <f t="shared" si="0"/>
        <v>4</v>
      </c>
      <c r="C6" s="17">
        <v>44140</v>
      </c>
      <c r="D6" s="757">
        <v>667.7</v>
      </c>
      <c r="E6" s="739">
        <v>4.5</v>
      </c>
      <c r="F6" s="873">
        <f>192+149+34+31</f>
        <v>406</v>
      </c>
      <c r="G6" s="227"/>
      <c r="H6" s="979"/>
      <c r="I6" s="85"/>
      <c r="J6" s="463"/>
      <c r="K6" s="463"/>
      <c r="L6" s="463"/>
    </row>
    <row r="7" spans="1:16" ht="11.1" customHeight="1">
      <c r="B7" s="16">
        <f t="shared" si="0"/>
        <v>5</v>
      </c>
      <c r="C7" s="17">
        <v>44141</v>
      </c>
      <c r="D7" s="757"/>
      <c r="E7" s="757">
        <v>995.9</v>
      </c>
      <c r="F7" s="873">
        <v>350.11</v>
      </c>
      <c r="G7" s="227"/>
      <c r="H7" s="875"/>
      <c r="I7" s="85"/>
      <c r="J7" s="463"/>
      <c r="K7" s="463"/>
      <c r="L7" s="463"/>
    </row>
    <row r="8" spans="1:16" ht="11.1" customHeight="1">
      <c r="B8" s="16">
        <f t="shared" si="0"/>
        <v>6</v>
      </c>
      <c r="C8" s="17">
        <v>44142</v>
      </c>
      <c r="D8" s="757"/>
      <c r="E8" s="757">
        <v>473.7</v>
      </c>
      <c r="F8" s="873"/>
      <c r="G8" s="227">
        <v>315.55</v>
      </c>
      <c r="H8" s="885"/>
      <c r="I8" s="726"/>
      <c r="J8" s="463"/>
      <c r="K8" s="463"/>
      <c r="L8" s="463"/>
    </row>
    <row r="9" spans="1:16" ht="11.1" customHeight="1">
      <c r="B9" s="16">
        <f t="shared" si="0"/>
        <v>7</v>
      </c>
      <c r="C9" s="17">
        <v>44143</v>
      </c>
      <c r="D9" s="757">
        <v>650.4</v>
      </c>
      <c r="E9" s="757"/>
      <c r="F9" s="873"/>
      <c r="G9" s="227">
        <v>571.9</v>
      </c>
      <c r="H9" s="18"/>
      <c r="I9" s="726"/>
      <c r="J9" s="463"/>
      <c r="K9" s="463"/>
      <c r="L9" s="463"/>
    </row>
    <row r="10" spans="1:16" ht="11.1" customHeight="1">
      <c r="B10" s="16">
        <f t="shared" si="0"/>
        <v>1</v>
      </c>
      <c r="C10" s="17">
        <v>44144</v>
      </c>
      <c r="D10" s="757"/>
      <c r="E10" s="757">
        <v>348.1</v>
      </c>
      <c r="F10" s="873">
        <v>281.51</v>
      </c>
      <c r="G10" s="227"/>
      <c r="H10" s="431"/>
      <c r="I10" s="726"/>
      <c r="J10" s="463"/>
      <c r="K10" s="463"/>
      <c r="L10" s="463"/>
    </row>
    <row r="11" spans="1:16" ht="11.1" customHeight="1">
      <c r="B11" s="16">
        <f t="shared" si="0"/>
        <v>2</v>
      </c>
      <c r="C11" s="17">
        <v>44145</v>
      </c>
      <c r="D11" s="757">
        <v>448.6</v>
      </c>
      <c r="E11" s="757"/>
      <c r="F11" s="873"/>
      <c r="G11" s="227">
        <v>634</v>
      </c>
      <c r="H11" s="226"/>
      <c r="I11" s="979"/>
      <c r="J11" s="463"/>
      <c r="K11" s="465"/>
      <c r="L11" s="463"/>
      <c r="N11" s="86"/>
      <c r="O11" s="86"/>
      <c r="P11" s="86"/>
    </row>
    <row r="12" spans="1:16" ht="11.1" customHeight="1">
      <c r="B12" s="16">
        <f t="shared" si="0"/>
        <v>3</v>
      </c>
      <c r="C12" s="17">
        <v>44146</v>
      </c>
      <c r="D12" s="757">
        <v>719</v>
      </c>
      <c r="E12" s="757"/>
      <c r="F12" s="873"/>
      <c r="G12" s="227">
        <v>304.8</v>
      </c>
      <c r="H12" s="226"/>
      <c r="I12" s="726"/>
      <c r="J12" s="463"/>
      <c r="K12" s="465"/>
      <c r="L12" s="463"/>
      <c r="N12" s="86"/>
      <c r="O12" s="86"/>
      <c r="P12" s="86"/>
    </row>
    <row r="13" spans="1:16" ht="11.1" customHeight="1">
      <c r="B13" s="16">
        <f t="shared" si="0"/>
        <v>4</v>
      </c>
      <c r="C13" s="17">
        <v>44147</v>
      </c>
      <c r="D13" s="757"/>
      <c r="E13" s="757">
        <v>720.25</v>
      </c>
      <c r="F13" s="873"/>
      <c r="G13" s="227">
        <v>525.5</v>
      </c>
      <c r="H13" s="226"/>
      <c r="I13" s="726"/>
      <c r="J13" s="463"/>
      <c r="K13" s="465"/>
      <c r="L13" s="463"/>
      <c r="N13" s="86"/>
      <c r="O13" s="86"/>
      <c r="P13" s="86"/>
    </row>
    <row r="14" spans="1:16" ht="11.1" customHeight="1">
      <c r="B14" s="16">
        <f t="shared" si="0"/>
        <v>5</v>
      </c>
      <c r="C14" s="17">
        <v>44148</v>
      </c>
      <c r="D14" s="757"/>
      <c r="E14" s="757">
        <v>2268.3000000000002</v>
      </c>
      <c r="F14" s="873">
        <v>844.2</v>
      </c>
      <c r="G14" s="227"/>
      <c r="H14" s="226"/>
      <c r="I14" s="726"/>
      <c r="J14" s="463"/>
      <c r="K14" s="465"/>
      <c r="L14" s="463"/>
      <c r="N14" s="86"/>
      <c r="O14" s="86"/>
      <c r="P14" s="86"/>
    </row>
    <row r="15" spans="1:16" ht="11.25" customHeight="1">
      <c r="A15" s="86"/>
      <c r="B15" s="16">
        <f t="shared" si="0"/>
        <v>6</v>
      </c>
      <c r="C15" s="17">
        <v>44149</v>
      </c>
      <c r="D15" s="757">
        <v>1402.95</v>
      </c>
      <c r="E15" s="757"/>
      <c r="F15" s="873">
        <v>862.3</v>
      </c>
      <c r="G15" s="227"/>
      <c r="H15" s="979"/>
      <c r="I15" s="14"/>
      <c r="J15" s="463"/>
      <c r="K15" s="465"/>
      <c r="L15" s="463"/>
      <c r="N15" s="86"/>
      <c r="O15" s="86"/>
      <c r="P15" s="86"/>
    </row>
    <row r="16" spans="1:16" ht="12.75" customHeight="1">
      <c r="A16" s="86"/>
      <c r="B16" s="16">
        <f t="shared" si="0"/>
        <v>7</v>
      </c>
      <c r="C16" s="17">
        <v>44150</v>
      </c>
      <c r="D16" s="757">
        <v>1017</v>
      </c>
      <c r="E16" s="757"/>
      <c r="F16" s="873"/>
      <c r="G16" s="227">
        <v>1019.6</v>
      </c>
      <c r="H16" s="885"/>
      <c r="I16" s="726"/>
      <c r="J16" s="463"/>
      <c r="K16" s="465"/>
      <c r="L16" s="465"/>
      <c r="M16" s="86"/>
      <c r="N16" s="86"/>
      <c r="O16" s="86"/>
      <c r="P16" s="86"/>
    </row>
    <row r="17" spans="1:16" ht="11.1" customHeight="1">
      <c r="A17" s="86"/>
      <c r="B17" s="16">
        <f t="shared" si="0"/>
        <v>1</v>
      </c>
      <c r="C17" s="17">
        <v>44151</v>
      </c>
      <c r="D17" s="757"/>
      <c r="E17" s="757">
        <v>671.9</v>
      </c>
      <c r="F17" s="873"/>
      <c r="G17" s="227">
        <v>303.10000000000002</v>
      </c>
      <c r="H17" s="14"/>
      <c r="I17" s="726"/>
      <c r="J17" s="463"/>
      <c r="K17" s="465"/>
      <c r="L17" s="467"/>
      <c r="M17" s="86"/>
      <c r="N17" s="86"/>
      <c r="O17" s="86"/>
      <c r="P17" s="86"/>
    </row>
    <row r="18" spans="1:16" ht="11.1" customHeight="1">
      <c r="A18" s="86"/>
      <c r="B18" s="16">
        <f t="shared" si="0"/>
        <v>2</v>
      </c>
      <c r="C18" s="17">
        <v>44152</v>
      </c>
      <c r="D18" s="757"/>
      <c r="E18" s="757">
        <v>1502.2</v>
      </c>
      <c r="F18" s="873"/>
      <c r="G18" s="227">
        <v>1184.4000000000001</v>
      </c>
      <c r="H18" s="226"/>
      <c r="I18" s="726"/>
      <c r="J18" s="463"/>
      <c r="K18" s="465"/>
      <c r="L18" s="465"/>
      <c r="M18" s="86"/>
      <c r="N18" s="86"/>
      <c r="O18" s="86"/>
      <c r="P18" s="86"/>
    </row>
    <row r="19" spans="1:16" ht="11.1" customHeight="1">
      <c r="A19" s="86"/>
      <c r="B19" s="16">
        <f t="shared" si="0"/>
        <v>3</v>
      </c>
      <c r="C19" s="17">
        <v>44153</v>
      </c>
      <c r="D19" s="757">
        <v>894.3</v>
      </c>
      <c r="E19" s="757"/>
      <c r="F19" s="873">
        <v>606.79999999999995</v>
      </c>
      <c r="G19" s="227"/>
      <c r="H19" s="14"/>
      <c r="I19" s="726"/>
      <c r="J19" s="463"/>
      <c r="K19" s="465"/>
      <c r="L19" s="465"/>
      <c r="M19" s="86"/>
      <c r="N19" s="86"/>
      <c r="O19" s="86"/>
      <c r="P19" s="86"/>
    </row>
    <row r="20" spans="1:16" s="86" customFormat="1" ht="11.1" customHeight="1">
      <c r="A20" s="474"/>
      <c r="B20" s="16">
        <f t="shared" si="0"/>
        <v>4</v>
      </c>
      <c r="C20" s="17">
        <v>44154</v>
      </c>
      <c r="D20" s="757">
        <v>1370.2</v>
      </c>
      <c r="E20" s="739">
        <v>349.6</v>
      </c>
      <c r="F20" s="873">
        <v>1043.5999999999999</v>
      </c>
      <c r="G20" s="227"/>
      <c r="H20" s="22"/>
      <c r="I20" s="727"/>
      <c r="J20" s="465"/>
      <c r="K20" s="465"/>
      <c r="L20" s="465"/>
    </row>
    <row r="21" spans="1:16" s="86" customFormat="1" ht="11.1" customHeight="1">
      <c r="B21" s="16">
        <f t="shared" si="0"/>
        <v>5</v>
      </c>
      <c r="C21" s="17">
        <v>44155</v>
      </c>
      <c r="D21" s="739">
        <v>43.5</v>
      </c>
      <c r="E21" s="757">
        <v>1758.7</v>
      </c>
      <c r="F21" s="873"/>
      <c r="G21" s="227">
        <v>858.5</v>
      </c>
      <c r="H21" s="226"/>
      <c r="I21" s="727"/>
      <c r="J21" s="465"/>
      <c r="K21" s="465"/>
      <c r="L21" s="465"/>
    </row>
    <row r="22" spans="1:16" s="86" customFormat="1" ht="11.1" customHeight="1">
      <c r="B22" s="16">
        <f t="shared" si="0"/>
        <v>6</v>
      </c>
      <c r="C22" s="17">
        <v>44156</v>
      </c>
      <c r="D22" s="739">
        <v>17</v>
      </c>
      <c r="E22" s="757">
        <v>1037</v>
      </c>
      <c r="F22" s="873"/>
      <c r="G22" s="227">
        <v>1146.9000000000001</v>
      </c>
      <c r="H22" s="226"/>
      <c r="I22" s="727"/>
      <c r="J22" s="465"/>
      <c r="K22" s="465"/>
      <c r="L22" s="465"/>
    </row>
    <row r="23" spans="1:16" s="86" customFormat="1" ht="11.1" customHeight="1">
      <c r="A23" s="888"/>
      <c r="B23" s="16">
        <f t="shared" si="0"/>
        <v>7</v>
      </c>
      <c r="C23" s="17">
        <v>44157</v>
      </c>
      <c r="D23" s="757">
        <v>900.5</v>
      </c>
      <c r="E23" s="739">
        <v>7</v>
      </c>
      <c r="F23" s="873"/>
      <c r="G23" s="227">
        <v>867.6</v>
      </c>
      <c r="H23" s="475"/>
      <c r="I23" s="727"/>
      <c r="J23" s="465"/>
      <c r="K23" s="465"/>
      <c r="L23" s="465"/>
    </row>
    <row r="24" spans="1:16" s="86" customFormat="1" ht="10.5" customHeight="1">
      <c r="A24" s="888"/>
      <c r="B24" s="16">
        <f t="shared" si="0"/>
        <v>1</v>
      </c>
      <c r="C24" s="17">
        <v>44158</v>
      </c>
      <c r="D24" s="757">
        <v>556.4</v>
      </c>
      <c r="E24" s="739">
        <v>12.5</v>
      </c>
      <c r="F24" s="873">
        <v>207</v>
      </c>
      <c r="G24" s="227"/>
      <c r="H24" s="226"/>
      <c r="I24" s="727"/>
      <c r="J24" s="465"/>
      <c r="K24" s="704"/>
      <c r="L24" s="465"/>
    </row>
    <row r="25" spans="1:16" s="86" customFormat="1" ht="11.1" customHeight="1">
      <c r="B25" s="16">
        <f t="shared" si="0"/>
        <v>2</v>
      </c>
      <c r="C25" s="17">
        <v>44159</v>
      </c>
      <c r="D25" s="757"/>
      <c r="E25" s="757">
        <v>415</v>
      </c>
      <c r="F25" s="873">
        <v>532.1</v>
      </c>
      <c r="G25" s="227"/>
      <c r="H25" s="226"/>
      <c r="I25" s="727"/>
      <c r="J25" s="465"/>
      <c r="K25" s="465"/>
      <c r="L25" s="476"/>
    </row>
    <row r="26" spans="1:16" s="86" customFormat="1" ht="11.1" customHeight="1">
      <c r="B26" s="16">
        <f t="shared" si="0"/>
        <v>3</v>
      </c>
      <c r="C26" s="17">
        <v>44160</v>
      </c>
      <c r="D26" s="757"/>
      <c r="E26" s="757">
        <v>752.22</v>
      </c>
      <c r="F26" s="873">
        <v>578.9</v>
      </c>
      <c r="G26" s="227"/>
      <c r="H26" s="226"/>
      <c r="I26" s="727"/>
      <c r="J26" s="465"/>
      <c r="K26" s="465"/>
      <c r="L26" s="476"/>
    </row>
    <row r="27" spans="1:16" s="86" customFormat="1" ht="11.1" customHeight="1">
      <c r="B27" s="16">
        <f t="shared" si="0"/>
        <v>4</v>
      </c>
      <c r="C27" s="17">
        <v>44161</v>
      </c>
      <c r="D27" s="757">
        <v>702.5</v>
      </c>
      <c r="E27" s="757"/>
      <c r="F27" s="873"/>
      <c r="G27" s="227">
        <v>513.70000000000005</v>
      </c>
      <c r="H27" s="226"/>
      <c r="I27" s="727"/>
      <c r="J27" s="468"/>
      <c r="K27" s="468"/>
      <c r="L27" s="468"/>
      <c r="M27" s="366"/>
      <c r="N27" s="366"/>
      <c r="O27" s="366"/>
      <c r="P27" s="366"/>
    </row>
    <row r="28" spans="1:16" s="86" customFormat="1" ht="10.5" customHeight="1">
      <c r="A28" s="474"/>
      <c r="B28" s="16">
        <f t="shared" si="0"/>
        <v>5</v>
      </c>
      <c r="C28" s="17">
        <v>44162</v>
      </c>
      <c r="D28" s="757">
        <v>884.8</v>
      </c>
      <c r="E28" s="757"/>
      <c r="F28" s="873"/>
      <c r="G28" s="227">
        <v>691.4</v>
      </c>
      <c r="H28" s="226"/>
      <c r="I28" s="727"/>
      <c r="J28" s="468"/>
      <c r="K28" s="468"/>
      <c r="L28" s="468"/>
      <c r="M28" s="366"/>
      <c r="N28" s="366"/>
      <c r="O28" s="366"/>
      <c r="P28" s="366"/>
    </row>
    <row r="29" spans="1:16" s="86" customFormat="1" ht="10.5" customHeight="1">
      <c r="B29" s="16">
        <f t="shared" si="0"/>
        <v>6</v>
      </c>
      <c r="C29" s="17">
        <v>44163</v>
      </c>
      <c r="D29" s="739">
        <v>22</v>
      </c>
      <c r="E29" s="757">
        <v>540.70000000000005</v>
      </c>
      <c r="F29" s="702">
        <v>632.1</v>
      </c>
      <c r="G29" s="226"/>
      <c r="H29" s="226"/>
      <c r="I29" s="727"/>
      <c r="J29" s="468"/>
      <c r="K29" s="466"/>
      <c r="L29" s="466"/>
      <c r="M29" s="366"/>
      <c r="N29" s="366"/>
      <c r="O29" s="366"/>
      <c r="P29" s="366"/>
    </row>
    <row r="30" spans="1:16" s="86" customFormat="1" ht="11.1" customHeight="1">
      <c r="B30" s="16">
        <f t="shared" si="0"/>
        <v>7</v>
      </c>
      <c r="C30" s="17">
        <v>44164</v>
      </c>
      <c r="D30" s="757"/>
      <c r="E30" s="757">
        <v>573.1</v>
      </c>
      <c r="F30" s="702"/>
      <c r="G30" s="226">
        <v>617.5</v>
      </c>
      <c r="H30" s="226"/>
      <c r="I30" s="727"/>
      <c r="J30" s="466"/>
      <c r="K30" s="468"/>
      <c r="L30" s="466"/>
      <c r="M30" s="366"/>
      <c r="N30" s="366"/>
      <c r="O30" s="366"/>
      <c r="P30" s="366"/>
    </row>
    <row r="31" spans="1:16" s="86" customFormat="1" ht="11.1" customHeight="1">
      <c r="A31" s="474"/>
      <c r="B31" s="16">
        <f t="shared" si="0"/>
        <v>1</v>
      </c>
      <c r="C31" s="17">
        <v>44165</v>
      </c>
      <c r="D31" s="757">
        <v>669</v>
      </c>
      <c r="E31" s="739">
        <v>43</v>
      </c>
      <c r="F31" s="702"/>
      <c r="G31" s="226">
        <v>589.6</v>
      </c>
      <c r="H31" s="22"/>
      <c r="I31" s="728"/>
      <c r="J31" s="469"/>
      <c r="K31" s="469"/>
      <c r="L31" s="469"/>
      <c r="M31" s="366"/>
      <c r="N31" s="366"/>
      <c r="O31" s="366"/>
      <c r="P31" s="366"/>
    </row>
    <row r="32" spans="1:16" s="86" customFormat="1" ht="11.25" customHeight="1">
      <c r="A32" s="474"/>
      <c r="B32" s="994"/>
      <c r="C32" s="115"/>
      <c r="D32" s="995"/>
      <c r="E32" s="995"/>
      <c r="F32" s="725"/>
      <c r="G32" s="305"/>
      <c r="H32" s="366"/>
      <c r="I32" s="469"/>
      <c r="J32" s="469"/>
      <c r="K32" s="469"/>
      <c r="L32" s="469"/>
      <c r="M32" s="145"/>
      <c r="N32" s="366"/>
      <c r="O32" s="366"/>
      <c r="P32" s="366"/>
    </row>
    <row r="33" spans="1:22" ht="14.1" customHeight="1" thickBot="1">
      <c r="B33" s="21"/>
      <c r="C33" s="574" t="s">
        <v>225</v>
      </c>
      <c r="D33" s="85">
        <v>15</v>
      </c>
      <c r="E33" s="85">
        <v>15</v>
      </c>
      <c r="F33" s="85">
        <f>COUNT(F2:F32)</f>
        <v>13</v>
      </c>
      <c r="G33" s="85">
        <f>COUNT(G2:G32)</f>
        <v>17</v>
      </c>
      <c r="I33" s="469"/>
      <c r="J33" s="469"/>
      <c r="K33" s="469"/>
      <c r="L33" s="469"/>
      <c r="M33" s="366"/>
      <c r="N33" s="366"/>
      <c r="O33" s="366"/>
      <c r="P33" s="366"/>
    </row>
    <row r="34" spans="1:22" ht="14.1" customHeight="1" thickBot="1">
      <c r="B34" s="21"/>
      <c r="C34" s="85" t="s">
        <v>73</v>
      </c>
      <c r="D34" s="238">
        <f>SUM(D2:D32)</f>
        <v>12137.349999999999</v>
      </c>
      <c r="E34" s="238">
        <f>SUM(E2:E32)</f>
        <v>14083.820000000002</v>
      </c>
      <c r="F34" s="238">
        <f>SUM(F2:F32)</f>
        <v>7661.52</v>
      </c>
      <c r="G34" s="238">
        <f>SUM(G2:G32)</f>
        <v>11300.45</v>
      </c>
      <c r="H34" s="1"/>
      <c r="I34" s="253" t="s">
        <v>189</v>
      </c>
      <c r="J34" s="292" t="s">
        <v>190</v>
      </c>
      <c r="K34" s="452" t="s">
        <v>219</v>
      </c>
      <c r="L34" s="363"/>
      <c r="M34" s="366"/>
      <c r="N34" s="366"/>
      <c r="O34" s="366"/>
      <c r="P34" s="366"/>
    </row>
    <row r="35" spans="1:22" ht="14.1" customHeight="1" thickBot="1">
      <c r="B35" s="21"/>
      <c r="C35" s="85" t="s">
        <v>22</v>
      </c>
      <c r="D35" s="238">
        <v>12127.05</v>
      </c>
      <c r="E35" s="238">
        <v>13727.62</v>
      </c>
      <c r="F35" s="238">
        <v>7493.06</v>
      </c>
      <c r="G35" s="238">
        <v>10037.75</v>
      </c>
      <c r="H35" s="12"/>
      <c r="I35" s="292">
        <f>SUM(D2:E32)</f>
        <v>26221.170000000002</v>
      </c>
      <c r="J35" s="292">
        <f>SUM(F2:G32)</f>
        <v>18961.969999999998</v>
      </c>
      <c r="K35" s="453">
        <f>SUM(I2:I32)</f>
        <v>0</v>
      </c>
      <c r="L35" s="363"/>
      <c r="M35" s="366"/>
      <c r="N35" s="366"/>
      <c r="O35" s="366"/>
      <c r="P35" s="366"/>
    </row>
    <row r="36" spans="1:22" ht="14.1" customHeight="1">
      <c r="B36" s="21"/>
      <c r="C36" s="85" t="s">
        <v>5</v>
      </c>
      <c r="D36" s="88">
        <f t="shared" ref="D36:G36" si="1">ABS(D34-D35)</f>
        <v>10.299999999999272</v>
      </c>
      <c r="E36" s="88">
        <f t="shared" si="1"/>
        <v>356.20000000000073</v>
      </c>
      <c r="F36" s="88">
        <f t="shared" si="1"/>
        <v>168.46000000000004</v>
      </c>
      <c r="G36" s="88">
        <f t="shared" si="1"/>
        <v>1262.7000000000007</v>
      </c>
      <c r="H36" s="1"/>
      <c r="I36" s="363"/>
      <c r="J36" s="363"/>
      <c r="K36" s="363"/>
      <c r="L36" s="363"/>
      <c r="M36" s="366"/>
      <c r="N36" s="366"/>
      <c r="O36" s="366"/>
      <c r="P36" s="366"/>
    </row>
    <row r="37" spans="1:22" ht="14.1" customHeight="1">
      <c r="B37" s="21"/>
      <c r="C37" s="700" t="s">
        <v>233</v>
      </c>
      <c r="D37" s="89">
        <f t="shared" ref="D37:E37" si="2">ROUND(D36*1%,2)</f>
        <v>0.1</v>
      </c>
      <c r="E37" s="89">
        <f t="shared" si="2"/>
        <v>3.56</v>
      </c>
      <c r="F37" s="89">
        <f>ROUND(F36*1%,2)</f>
        <v>1.68</v>
      </c>
      <c r="G37" s="89">
        <f>ROUND(G36*1%,2)</f>
        <v>12.63</v>
      </c>
      <c r="H37" s="1"/>
      <c r="I37" s="363"/>
      <c r="J37" s="363"/>
      <c r="K37" s="363"/>
      <c r="L37" s="363"/>
      <c r="M37" s="366"/>
      <c r="N37" s="366"/>
      <c r="O37" s="366"/>
      <c r="P37" s="366"/>
    </row>
    <row r="38" spans="1:22" ht="14.1" customHeight="1">
      <c r="B38" s="21"/>
      <c r="C38" s="699" t="s">
        <v>234</v>
      </c>
      <c r="D38" s="89">
        <f>ROUND(3%*D35,2)</f>
        <v>363.81</v>
      </c>
      <c r="E38" s="89">
        <f>ROUND(3%*E35,2)</f>
        <v>411.83</v>
      </c>
      <c r="F38" s="89">
        <f>ROUND(3%*F35,2)</f>
        <v>224.79</v>
      </c>
      <c r="G38" s="89">
        <f>ROUND(3%*G35,2)</f>
        <v>301.13</v>
      </c>
      <c r="H38" s="1"/>
      <c r="I38" s="145"/>
      <c r="J38" s="145"/>
      <c r="K38" s="366"/>
      <c r="L38" s="363"/>
      <c r="M38" s="366"/>
      <c r="N38" s="366"/>
      <c r="O38" s="366"/>
      <c r="P38" s="366"/>
    </row>
    <row r="39" spans="1:22" ht="12.75" customHeight="1">
      <c r="B39" s="21"/>
      <c r="C39" s="85" t="s">
        <v>7</v>
      </c>
      <c r="D39" s="87">
        <v>50</v>
      </c>
      <c r="E39" s="87">
        <v>50</v>
      </c>
      <c r="F39" s="87"/>
      <c r="G39" s="87">
        <v>40</v>
      </c>
      <c r="H39" s="12"/>
      <c r="I39" s="145"/>
      <c r="J39" s="366"/>
      <c r="K39" s="366"/>
      <c r="L39" s="363"/>
      <c r="M39" s="366"/>
      <c r="N39" s="366"/>
      <c r="O39" s="366"/>
      <c r="P39" s="366"/>
    </row>
    <row r="40" spans="1:22" ht="14.1" customHeight="1">
      <c r="B40" s="21"/>
      <c r="C40" s="85" t="s">
        <v>14</v>
      </c>
      <c r="D40" s="87">
        <f>ROUND(20*D33,2)</f>
        <v>300</v>
      </c>
      <c r="E40" s="87">
        <f>ROUND(20*E33,2)</f>
        <v>300</v>
      </c>
      <c r="F40" s="87">
        <f>ROUND(25*F33,2)</f>
        <v>325</v>
      </c>
      <c r="G40" s="88">
        <f>ROUND(25*G33,2)</f>
        <v>425</v>
      </c>
      <c r="H40" s="8"/>
      <c r="I40" s="283"/>
      <c r="J40" s="145"/>
      <c r="K40" s="145"/>
      <c r="L40" s="363"/>
      <c r="M40" s="366"/>
      <c r="N40" s="366"/>
      <c r="O40" s="366"/>
      <c r="P40" s="366"/>
    </row>
    <row r="41" spans="1:22" ht="14.1" customHeight="1">
      <c r="B41" s="974"/>
      <c r="C41" s="975" t="s">
        <v>48</v>
      </c>
      <c r="E41" s="241">
        <v>50</v>
      </c>
      <c r="F41" s="87">
        <v>113</v>
      </c>
      <c r="G41" s="87">
        <v>205</v>
      </c>
      <c r="I41" s="145"/>
      <c r="J41" s="366"/>
      <c r="K41" s="366"/>
      <c r="L41" s="363"/>
      <c r="M41" s="366"/>
      <c r="N41" s="366"/>
      <c r="O41" s="366"/>
      <c r="P41" s="366"/>
    </row>
    <row r="42" spans="1:22" ht="14.1" customHeight="1">
      <c r="B42" s="21"/>
      <c r="C42" s="756" t="s">
        <v>94</v>
      </c>
      <c r="D42" s="18">
        <v>337.71</v>
      </c>
      <c r="E42" s="241">
        <v>180.88</v>
      </c>
      <c r="F42" s="87">
        <v>176.46</v>
      </c>
      <c r="G42" s="87">
        <v>44</v>
      </c>
      <c r="H42" s="12"/>
      <c r="I42" s="283"/>
      <c r="J42" s="145"/>
      <c r="K42" s="366"/>
      <c r="L42" s="366"/>
      <c r="M42" s="366"/>
      <c r="N42" s="366"/>
      <c r="O42" s="366"/>
      <c r="P42" s="366"/>
    </row>
    <row r="43" spans="1:22" ht="14.1" customHeight="1">
      <c r="B43" s="21"/>
      <c r="C43" s="756" t="s">
        <v>401</v>
      </c>
      <c r="D43" s="18">
        <v>48</v>
      </c>
      <c r="E43" s="241"/>
      <c r="F43" s="87">
        <v>200</v>
      </c>
      <c r="G43" s="87">
        <v>50</v>
      </c>
      <c r="H43" s="12"/>
      <c r="I43" s="283"/>
      <c r="J43" s="145"/>
      <c r="K43" s="366"/>
      <c r="L43" s="366"/>
      <c r="M43" s="366"/>
      <c r="N43" s="366"/>
      <c r="O43" s="366"/>
      <c r="P43" s="366"/>
    </row>
    <row r="44" spans="1:22" ht="14.1" customHeight="1">
      <c r="B44" s="21"/>
      <c r="C44" s="245" t="s">
        <v>77</v>
      </c>
      <c r="D44" s="455">
        <f>D37+D38+D39+D40-D42-D43</f>
        <v>328.2000000000001</v>
      </c>
      <c r="E44" s="455">
        <f>E45-E42-E41</f>
        <v>534.51</v>
      </c>
      <c r="F44" s="455">
        <f>F37+F38+F40-F41-F42-F43</f>
        <v>62.009999999999991</v>
      </c>
      <c r="G44" s="455">
        <f>G37+G38+G39+G40-G41-G42-G43</f>
        <v>479.76</v>
      </c>
      <c r="H44" s="8"/>
      <c r="I44" s="145">
        <f>G45+F45</f>
        <v>1330.23</v>
      </c>
      <c r="J44" s="145"/>
      <c r="K44" s="366"/>
      <c r="L44" s="366"/>
      <c r="M44" s="366"/>
      <c r="N44" s="366"/>
      <c r="O44" s="366"/>
      <c r="P44" s="366"/>
    </row>
    <row r="45" spans="1:22" ht="14.1" customHeight="1">
      <c r="B45" s="21"/>
      <c r="C45" s="286" t="s">
        <v>45</v>
      </c>
      <c r="D45" s="287">
        <f>D37+D38+D39+D40</f>
        <v>713.91000000000008</v>
      </c>
      <c r="E45" s="287">
        <f>E37+E38+E39+E40</f>
        <v>765.39</v>
      </c>
      <c r="F45" s="287">
        <f>F37+F38+F40</f>
        <v>551.47</v>
      </c>
      <c r="G45" s="287">
        <f>G37+G38+G39+G40</f>
        <v>778.76</v>
      </c>
      <c r="I45" s="461"/>
      <c r="J45" s="366"/>
      <c r="K45" s="366"/>
      <c r="L45" s="366"/>
      <c r="M45" s="366"/>
      <c r="N45" s="366"/>
      <c r="O45" s="366"/>
      <c r="P45" s="366"/>
      <c r="Q45" s="1"/>
      <c r="R45" s="1"/>
      <c r="S45" s="1"/>
      <c r="T45" s="1"/>
      <c r="U45" s="1"/>
      <c r="V45" s="1"/>
    </row>
    <row r="46" spans="1:22" ht="14.1" customHeight="1">
      <c r="B46" s="21"/>
      <c r="C46" s="169"/>
      <c r="D46" s="364"/>
      <c r="E46" s="461"/>
      <c r="F46" s="8"/>
      <c r="G46" s="8"/>
      <c r="H46" s="8"/>
      <c r="I46" s="283"/>
      <c r="J46" s="145"/>
      <c r="K46" s="366"/>
      <c r="L46" s="366"/>
      <c r="M46" s="366"/>
      <c r="N46" s="366"/>
      <c r="O46" s="366"/>
      <c r="P46" s="366"/>
      <c r="Q46" s="1"/>
      <c r="R46" s="1"/>
      <c r="S46" s="1"/>
      <c r="T46" s="1"/>
      <c r="U46" s="1"/>
      <c r="V46" s="1"/>
    </row>
    <row r="47" spans="1:22" s="86" customFormat="1" ht="14.1" customHeight="1">
      <c r="A47" s="168"/>
      <c r="B47" s="474"/>
      <c r="C47" s="363"/>
      <c r="D47" s="363"/>
      <c r="E47" s="363"/>
      <c r="F47" s="363"/>
      <c r="G47" s="983"/>
      <c r="H47" s="8"/>
      <c r="I47" s="68"/>
      <c r="J47" s="145"/>
      <c r="K47" s="366"/>
      <c r="L47" s="366"/>
      <c r="M47" s="145"/>
      <c r="N47" s="366"/>
      <c r="O47" s="366"/>
      <c r="P47" s="366"/>
      <c r="Q47" s="366"/>
      <c r="R47" s="366"/>
      <c r="S47" s="366"/>
      <c r="T47" s="366"/>
      <c r="U47" s="366"/>
      <c r="V47" s="366"/>
    </row>
    <row r="48" spans="1:22" s="86" customFormat="1" ht="12.95" customHeight="1">
      <c r="A48" s="168"/>
      <c r="B48" s="474"/>
      <c r="C48" s="145"/>
      <c r="D48" s="145">
        <f>D44+E44+E41</f>
        <v>912.71</v>
      </c>
      <c r="E48" s="145">
        <f>F44+G44+F41+G41</f>
        <v>859.77</v>
      </c>
      <c r="F48" s="168"/>
      <c r="G48" s="168"/>
      <c r="H48" s="168"/>
      <c r="I48" s="72"/>
      <c r="J48" s="366"/>
      <c r="K48" s="366"/>
      <c r="L48" s="366"/>
      <c r="M48" s="145"/>
      <c r="N48" s="366"/>
      <c r="O48" s="366"/>
      <c r="P48" s="366"/>
      <c r="Q48" s="366"/>
      <c r="R48" s="366"/>
      <c r="S48" s="366"/>
      <c r="T48" s="366"/>
      <c r="U48" s="366"/>
      <c r="V48" s="366"/>
    </row>
    <row r="49" spans="1:22" ht="12.95" customHeight="1">
      <c r="B49" s="32"/>
      <c r="C49" s="1"/>
      <c r="D49" s="1"/>
      <c r="E49" s="12"/>
      <c r="G49" s="8"/>
      <c r="H49" s="207"/>
      <c r="I49" s="68"/>
      <c r="J49" s="366"/>
      <c r="K49" s="366"/>
      <c r="L49" s="366"/>
      <c r="M49" s="366"/>
      <c r="N49" s="366"/>
      <c r="O49" s="366"/>
      <c r="P49" s="366"/>
      <c r="Q49" s="1"/>
      <c r="R49" s="1"/>
      <c r="S49" s="1"/>
      <c r="T49" s="1"/>
      <c r="U49" s="1"/>
      <c r="V49" s="1"/>
    </row>
    <row r="50" spans="1:22" s="86" customFormat="1" ht="12.95" customHeight="1">
      <c r="B50" s="501"/>
      <c r="C50" s="502"/>
      <c r="D50" s="524"/>
      <c r="E50" s="502"/>
      <c r="F50" s="524"/>
      <c r="G50" s="502"/>
      <c r="H50" s="503"/>
      <c r="I50" s="980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</row>
    <row r="51" spans="1:22" s="86" customFormat="1" ht="12.95" customHeight="1">
      <c r="C51" s="502"/>
      <c r="D51" s="524"/>
      <c r="E51" s="524"/>
      <c r="F51" s="524"/>
      <c r="G51" s="502"/>
      <c r="H51" s="168"/>
      <c r="I51" s="525"/>
      <c r="J51" s="502"/>
      <c r="K51" s="502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</row>
    <row r="52" spans="1:22" s="86" customFormat="1" ht="12" customHeight="1">
      <c r="A52" s="366"/>
      <c r="B52" s="366"/>
      <c r="C52" s="502"/>
      <c r="D52" s="502"/>
      <c r="E52" s="524"/>
      <c r="F52" s="524"/>
      <c r="G52" s="502"/>
      <c r="H52" s="503"/>
      <c r="I52" s="502"/>
      <c r="J52" s="502"/>
      <c r="K52" s="502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</row>
    <row r="53" spans="1:22" s="86" customFormat="1" ht="18.75">
      <c r="A53" s="366"/>
      <c r="B53" s="366"/>
      <c r="C53" s="366"/>
      <c r="D53" s="366"/>
      <c r="E53" s="144"/>
      <c r="F53" s="168"/>
      <c r="H53" s="503"/>
      <c r="I53" s="502"/>
      <c r="J53" s="502"/>
      <c r="K53" s="502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</row>
    <row r="54" spans="1:22" s="86" customFormat="1">
      <c r="A54" s="366"/>
      <c r="B54" s="366"/>
      <c r="C54" s="366"/>
      <c r="D54" s="145"/>
      <c r="E54" s="144"/>
      <c r="I54" s="143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5" customHeight="1">
      <c r="A55" s="366"/>
      <c r="B55" s="366"/>
      <c r="C55" s="366"/>
      <c r="D55" s="145"/>
      <c r="E55" s="144"/>
      <c r="H55" s="524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s="86" customFormat="1" ht="15" customHeight="1">
      <c r="A56" s="366"/>
      <c r="B56" s="366"/>
      <c r="C56" s="366"/>
      <c r="D56" s="145"/>
      <c r="E56" s="144"/>
      <c r="H56" s="524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</row>
    <row r="57" spans="1:22" s="86" customFormat="1" ht="15" customHeight="1">
      <c r="A57" s="366"/>
      <c r="B57" s="366"/>
      <c r="C57" s="366"/>
      <c r="D57" s="366"/>
      <c r="E57" s="144"/>
      <c r="H57" s="524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>
      <c r="A58" s="366"/>
      <c r="B58" s="366"/>
      <c r="C58" s="366"/>
      <c r="D58" s="366"/>
      <c r="E58" s="144"/>
      <c r="H58" s="168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>
      <c r="A59" s="366"/>
      <c r="B59" s="366"/>
      <c r="C59" s="366"/>
      <c r="D59" s="366"/>
      <c r="E59" s="144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>
      <c r="A60" s="366"/>
      <c r="B60" s="366"/>
      <c r="C60" s="366"/>
      <c r="D60" s="366"/>
      <c r="E60" s="144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>
      <c r="A61" s="366"/>
      <c r="B61" s="366"/>
      <c r="C61" s="366"/>
      <c r="D61" s="366"/>
      <c r="E61" s="144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 s="86" customFormat="1">
      <c r="A62" s="366"/>
      <c r="B62" s="366"/>
      <c r="C62" s="366"/>
      <c r="D62" s="366"/>
      <c r="E62" s="144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</row>
    <row r="63" spans="1:22">
      <c r="A63" s="1"/>
      <c r="B63" s="1"/>
      <c r="C63" s="1"/>
      <c r="D63" s="1"/>
      <c r="E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1"/>
      <c r="D67" s="1"/>
      <c r="E67" s="11"/>
    </row>
    <row r="68" spans="1:22">
      <c r="A68" s="1"/>
      <c r="B68" s="1"/>
      <c r="C68" s="1"/>
      <c r="D68" s="1"/>
      <c r="E68" s="11"/>
    </row>
    <row r="69" spans="1:22">
      <c r="A69" s="1"/>
      <c r="B69" s="1"/>
      <c r="C69" s="1"/>
      <c r="D69" s="1"/>
      <c r="E69" s="11"/>
    </row>
    <row r="70" spans="1:22">
      <c r="A70" s="1"/>
      <c r="B70" s="1"/>
      <c r="C70" s="1"/>
      <c r="D70" s="1"/>
      <c r="E70" s="11"/>
    </row>
    <row r="71" spans="1:22">
      <c r="A71" s="1"/>
      <c r="B71" s="1"/>
      <c r="C71" s="1"/>
      <c r="D71" s="1"/>
      <c r="E71" s="11"/>
    </row>
    <row r="72" spans="1:22">
      <c r="A72" s="1"/>
      <c r="B72" s="1"/>
      <c r="C72" s="1"/>
      <c r="D72" s="1"/>
      <c r="E72" s="11"/>
    </row>
    <row r="73" spans="1:22">
      <c r="A73" s="1"/>
      <c r="B73" s="1"/>
      <c r="C73" s="1"/>
      <c r="D73" s="1"/>
      <c r="E73" s="11"/>
    </row>
    <row r="74" spans="1:22">
      <c r="A74" s="1"/>
      <c r="B74" s="1"/>
      <c r="C74" s="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A93" s="1"/>
      <c r="B93" s="1"/>
      <c r="E93" s="2"/>
    </row>
    <row r="94" spans="1:5">
      <c r="B94" s="1"/>
      <c r="E94" s="2"/>
    </row>
    <row r="95" spans="1:5">
      <c r="B95" s="1"/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conditionalFormatting sqref="B2:G32">
    <cfRule type="expression" dxfId="37" priority="1">
      <formula>$B2=7</formula>
    </cfRule>
    <cfRule type="expression" dxfId="36" priority="2">
      <formula>$B2=6</formula>
    </cfRule>
  </conditionalFormatting>
  <pageMargins left="0.7" right="0.7" top="0.75" bottom="0.75" header="0.3" footer="0.3"/>
  <pageSetup paperSize="11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zoomScaleNormal="100" zoomScaleSheetLayoutView="100" workbookViewId="0">
      <selection activeCell="S14" sqref="S14"/>
    </sheetView>
  </sheetViews>
  <sheetFormatPr defaultRowHeight="15"/>
  <cols>
    <col min="1" max="1" width="9.140625" style="35"/>
    <col min="4" max="4" width="9.140625" style="35"/>
    <col min="5" max="5" width="6" style="35" customWidth="1"/>
    <col min="9" max="10" width="9.140625" style="35"/>
  </cols>
  <sheetData>
    <row r="1" spans="1:15">
      <c r="A1" s="1198" t="s">
        <v>190</v>
      </c>
      <c r="B1" s="1198"/>
      <c r="C1" s="1198"/>
      <c r="D1" s="1198"/>
      <c r="E1" s="1198"/>
      <c r="F1" s="1198"/>
      <c r="G1" s="1198"/>
      <c r="H1" s="1198"/>
      <c r="J1" s="1198" t="s">
        <v>189</v>
      </c>
      <c r="K1" s="1198"/>
      <c r="L1" s="1198"/>
      <c r="M1" s="1198"/>
      <c r="N1" s="1198"/>
      <c r="O1" s="1198"/>
    </row>
    <row r="2" spans="1:15" s="35" customFormat="1">
      <c r="A2" s="1198" t="s">
        <v>393</v>
      </c>
      <c r="B2" s="1198"/>
      <c r="C2" s="1198"/>
      <c r="D2" s="1198"/>
      <c r="E2" s="923"/>
      <c r="F2" s="1198" t="s">
        <v>392</v>
      </c>
      <c r="G2" s="1198"/>
      <c r="H2" s="1198"/>
      <c r="J2" s="1318" t="s">
        <v>393</v>
      </c>
      <c r="K2" s="1318"/>
      <c r="L2" s="1318"/>
      <c r="M2" s="1318"/>
      <c r="N2" s="1319" t="s">
        <v>392</v>
      </c>
      <c r="O2" s="1319"/>
    </row>
    <row r="3" spans="1:15">
      <c r="A3" s="922" t="s">
        <v>390</v>
      </c>
      <c r="B3" s="36" t="s">
        <v>387</v>
      </c>
      <c r="C3" s="36" t="s">
        <v>388</v>
      </c>
      <c r="D3" s="36" t="s">
        <v>389</v>
      </c>
      <c r="E3" s="234"/>
      <c r="F3" s="36" t="s">
        <v>387</v>
      </c>
      <c r="G3" s="36" t="s">
        <v>388</v>
      </c>
      <c r="H3" s="36" t="s">
        <v>389</v>
      </c>
      <c r="I3" s="234"/>
      <c r="J3" s="451" t="s">
        <v>390</v>
      </c>
      <c r="K3" s="931" t="s">
        <v>387</v>
      </c>
      <c r="L3" s="931" t="s">
        <v>388</v>
      </c>
      <c r="M3" s="931" t="s">
        <v>389</v>
      </c>
      <c r="N3" s="1319"/>
      <c r="O3" s="1319"/>
    </row>
    <row r="4" spans="1:15">
      <c r="A4" s="151">
        <v>44075</v>
      </c>
      <c r="B4" s="36">
        <v>237.5</v>
      </c>
      <c r="C4" s="36">
        <v>168</v>
      </c>
      <c r="D4" s="36">
        <f>C4+B4</f>
        <v>405.5</v>
      </c>
      <c r="E4" s="234"/>
      <c r="F4" s="930">
        <v>237.5</v>
      </c>
      <c r="G4" s="930">
        <v>168</v>
      </c>
      <c r="H4" s="922">
        <f>G4+F4</f>
        <v>405.5</v>
      </c>
      <c r="J4" s="932">
        <v>44075</v>
      </c>
      <c r="K4" s="931">
        <v>134</v>
      </c>
      <c r="L4" s="931">
        <v>228.4</v>
      </c>
      <c r="M4" s="931">
        <f t="shared" ref="M4:M18" si="0">IF(K4="","",L4+K4)</f>
        <v>362.4</v>
      </c>
      <c r="N4" s="1317">
        <v>503.4</v>
      </c>
      <c r="O4" s="1317"/>
    </row>
    <row r="5" spans="1:15">
      <c r="A5" s="151">
        <v>44076</v>
      </c>
      <c r="B5" s="36">
        <v>366.1</v>
      </c>
      <c r="C5" s="36">
        <v>167</v>
      </c>
      <c r="D5" s="36">
        <f t="shared" ref="D5:D18" si="1">C5+B5</f>
        <v>533.1</v>
      </c>
      <c r="E5" s="234"/>
      <c r="F5" s="930">
        <v>366.1</v>
      </c>
      <c r="G5" s="930">
        <v>167</v>
      </c>
      <c r="H5" s="922">
        <f t="shared" ref="H5:H17" si="2">G5+F5</f>
        <v>533.1</v>
      </c>
      <c r="J5" s="932">
        <v>44076</v>
      </c>
      <c r="K5" s="931">
        <v>230</v>
      </c>
      <c r="L5" s="931">
        <v>255.5</v>
      </c>
      <c r="M5" s="931">
        <f t="shared" si="0"/>
        <v>485.5</v>
      </c>
      <c r="N5" s="1317">
        <v>1054.8</v>
      </c>
      <c r="O5" s="1317"/>
    </row>
    <row r="6" spans="1:15">
      <c r="A6" s="151">
        <v>44077</v>
      </c>
      <c r="B6" s="36">
        <v>177</v>
      </c>
      <c r="C6" s="36">
        <v>295</v>
      </c>
      <c r="D6" s="36">
        <f t="shared" si="1"/>
        <v>472</v>
      </c>
      <c r="E6" s="234"/>
      <c r="F6" s="930">
        <v>177</v>
      </c>
      <c r="G6" s="930">
        <v>295</v>
      </c>
      <c r="H6" s="922">
        <f t="shared" si="2"/>
        <v>472</v>
      </c>
      <c r="J6" s="932">
        <v>44077</v>
      </c>
      <c r="K6" s="931">
        <v>0</v>
      </c>
      <c r="L6" s="931">
        <v>157.30000000000001</v>
      </c>
      <c r="M6" s="931">
        <f t="shared" si="0"/>
        <v>157.30000000000001</v>
      </c>
      <c r="N6" s="1321">
        <v>398.8</v>
      </c>
      <c r="O6" s="1321"/>
    </row>
    <row r="7" spans="1:15">
      <c r="A7" s="151">
        <v>44078</v>
      </c>
      <c r="B7" s="36">
        <v>292</v>
      </c>
      <c r="C7" s="36">
        <v>232.8</v>
      </c>
      <c r="D7" s="36">
        <f t="shared" si="1"/>
        <v>524.79999999999995</v>
      </c>
      <c r="E7" s="234"/>
      <c r="F7" s="930">
        <f>295.5+90</f>
        <v>385.5</v>
      </c>
      <c r="G7" s="930">
        <v>232.8</v>
      </c>
      <c r="H7" s="922">
        <f t="shared" si="2"/>
        <v>618.29999999999995</v>
      </c>
      <c r="J7" s="932">
        <v>44078</v>
      </c>
      <c r="K7" s="931">
        <v>50</v>
      </c>
      <c r="L7" s="931">
        <v>173</v>
      </c>
      <c r="M7" s="931">
        <f t="shared" si="0"/>
        <v>223</v>
      </c>
      <c r="N7" s="1317">
        <v>447</v>
      </c>
      <c r="O7" s="1317"/>
    </row>
    <row r="8" spans="1:15">
      <c r="A8" s="151">
        <v>44079</v>
      </c>
      <c r="B8" s="36">
        <v>460.9</v>
      </c>
      <c r="C8" s="36">
        <v>156</v>
      </c>
      <c r="D8" s="36">
        <f t="shared" si="1"/>
        <v>616.9</v>
      </c>
      <c r="E8" s="234"/>
      <c r="F8" s="930">
        <v>460.9</v>
      </c>
      <c r="G8" s="930">
        <v>156</v>
      </c>
      <c r="H8" s="922">
        <f t="shared" si="2"/>
        <v>616.9</v>
      </c>
      <c r="J8" s="932">
        <v>44079</v>
      </c>
      <c r="K8" s="931">
        <v>8</v>
      </c>
      <c r="L8" s="931">
        <v>122</v>
      </c>
      <c r="M8" s="931">
        <f t="shared" si="0"/>
        <v>130</v>
      </c>
      <c r="N8" s="1317">
        <f>284.25+26</f>
        <v>310.25</v>
      </c>
      <c r="O8" s="1317"/>
    </row>
    <row r="9" spans="1:15">
      <c r="A9" s="151">
        <v>44080</v>
      </c>
      <c r="B9" s="36">
        <v>194</v>
      </c>
      <c r="C9" s="36">
        <v>92.5</v>
      </c>
      <c r="D9" s="36">
        <f t="shared" si="1"/>
        <v>286.5</v>
      </c>
      <c r="E9" s="234"/>
      <c r="F9" s="930">
        <v>194</v>
      </c>
      <c r="G9" s="930">
        <v>92.5</v>
      </c>
      <c r="H9" s="922">
        <f t="shared" si="2"/>
        <v>286.5</v>
      </c>
      <c r="J9" s="932">
        <v>44080</v>
      </c>
      <c r="K9" s="931">
        <v>98</v>
      </c>
      <c r="L9" s="931">
        <v>175.5</v>
      </c>
      <c r="M9" s="931">
        <f t="shared" si="0"/>
        <v>273.5</v>
      </c>
      <c r="N9" s="1317">
        <v>592.5</v>
      </c>
      <c r="O9" s="1317"/>
    </row>
    <row r="10" spans="1:15">
      <c r="A10" s="151">
        <v>44081</v>
      </c>
      <c r="B10" s="36">
        <v>193.5</v>
      </c>
      <c r="C10" s="36">
        <v>23</v>
      </c>
      <c r="D10" s="36">
        <f t="shared" si="1"/>
        <v>216.5</v>
      </c>
      <c r="E10" s="234"/>
      <c r="F10" s="930">
        <v>193.5</v>
      </c>
      <c r="G10" s="930">
        <v>23</v>
      </c>
      <c r="H10" s="922">
        <f t="shared" si="2"/>
        <v>216.5</v>
      </c>
      <c r="J10" s="932">
        <v>44081</v>
      </c>
      <c r="K10" s="931">
        <v>54.5</v>
      </c>
      <c r="L10" s="931">
        <v>115.4</v>
      </c>
      <c r="M10" s="931">
        <f t="shared" si="0"/>
        <v>169.9</v>
      </c>
      <c r="N10" s="1317">
        <v>350.7</v>
      </c>
      <c r="O10" s="1317"/>
    </row>
    <row r="11" spans="1:15">
      <c r="A11" s="151">
        <v>44082</v>
      </c>
      <c r="B11" s="36">
        <v>250.5</v>
      </c>
      <c r="C11" s="36">
        <v>177.9</v>
      </c>
      <c r="D11" s="36">
        <f t="shared" si="1"/>
        <v>428.4</v>
      </c>
      <c r="E11" s="234"/>
      <c r="F11" s="930">
        <f>250.5+111</f>
        <v>361.5</v>
      </c>
      <c r="G11" s="930">
        <v>177.9</v>
      </c>
      <c r="H11" s="922">
        <f t="shared" si="2"/>
        <v>539.4</v>
      </c>
      <c r="J11" s="932">
        <v>44082</v>
      </c>
      <c r="K11" s="931">
        <v>48</v>
      </c>
      <c r="L11" s="931">
        <v>361</v>
      </c>
      <c r="M11" s="931">
        <f t="shared" si="0"/>
        <v>409</v>
      </c>
      <c r="N11" s="1317">
        <v>1151.5999999999999</v>
      </c>
      <c r="O11" s="1317"/>
    </row>
    <row r="12" spans="1:15">
      <c r="A12" s="151">
        <v>44083</v>
      </c>
      <c r="B12" s="36">
        <v>193.5</v>
      </c>
      <c r="C12" s="36">
        <v>180.45</v>
      </c>
      <c r="D12" s="36">
        <f t="shared" si="1"/>
        <v>373.95</v>
      </c>
      <c r="E12" s="234"/>
      <c r="F12" s="930">
        <v>193.5</v>
      </c>
      <c r="G12" s="930">
        <v>180.45</v>
      </c>
      <c r="H12" s="922">
        <f t="shared" si="2"/>
        <v>373.95</v>
      </c>
      <c r="J12" s="932">
        <v>44083</v>
      </c>
      <c r="K12" s="931">
        <v>56</v>
      </c>
      <c r="L12" s="931">
        <v>232.7</v>
      </c>
      <c r="M12" s="931">
        <f t="shared" si="0"/>
        <v>288.7</v>
      </c>
      <c r="N12" s="1317">
        <v>639.20000000000005</v>
      </c>
      <c r="O12" s="1317"/>
    </row>
    <row r="13" spans="1:15">
      <c r="A13" s="151">
        <v>44084</v>
      </c>
      <c r="B13" s="36">
        <v>214.5</v>
      </c>
      <c r="C13" s="36">
        <v>139.5</v>
      </c>
      <c r="D13" s="36">
        <f t="shared" si="1"/>
        <v>354</v>
      </c>
      <c r="E13" s="234"/>
      <c r="F13" s="930">
        <v>214.5</v>
      </c>
      <c r="G13" s="930">
        <v>139.5</v>
      </c>
      <c r="H13" s="922">
        <f t="shared" si="2"/>
        <v>354</v>
      </c>
      <c r="J13" s="932">
        <v>44084</v>
      </c>
      <c r="K13" s="931">
        <v>155.19999999999999</v>
      </c>
      <c r="L13" s="931">
        <v>346.6</v>
      </c>
      <c r="M13" s="931">
        <f t="shared" si="0"/>
        <v>501.8</v>
      </c>
      <c r="N13" s="1317">
        <f>900.61+45</f>
        <v>945.61</v>
      </c>
      <c r="O13" s="1317"/>
    </row>
    <row r="14" spans="1:15">
      <c r="A14" s="151">
        <v>44085</v>
      </c>
      <c r="B14" s="36">
        <v>107</v>
      </c>
      <c r="C14" s="36">
        <v>244.5</v>
      </c>
      <c r="D14" s="36">
        <f t="shared" si="1"/>
        <v>351.5</v>
      </c>
      <c r="E14" s="234"/>
      <c r="F14" s="930">
        <v>107</v>
      </c>
      <c r="G14" s="930">
        <v>244.5</v>
      </c>
      <c r="H14" s="922">
        <f t="shared" si="2"/>
        <v>351.5</v>
      </c>
      <c r="J14" s="932">
        <v>44085</v>
      </c>
      <c r="K14" s="931">
        <v>29</v>
      </c>
      <c r="L14" s="931">
        <v>363.51</v>
      </c>
      <c r="M14" s="931">
        <f t="shared" si="0"/>
        <v>392.51</v>
      </c>
      <c r="N14" s="1317">
        <v>838.51</v>
      </c>
      <c r="O14" s="1317"/>
    </row>
    <row r="15" spans="1:15">
      <c r="A15" s="151">
        <v>44086</v>
      </c>
      <c r="B15" s="36">
        <v>195.9</v>
      </c>
      <c r="C15" s="36">
        <v>257</v>
      </c>
      <c r="D15" s="36">
        <f t="shared" si="1"/>
        <v>452.9</v>
      </c>
      <c r="E15" s="234"/>
      <c r="F15" s="930">
        <v>195.9</v>
      </c>
      <c r="G15" s="930">
        <v>257</v>
      </c>
      <c r="H15" s="922">
        <f t="shared" si="2"/>
        <v>452.9</v>
      </c>
      <c r="J15" s="932">
        <v>44086</v>
      </c>
      <c r="K15" s="931">
        <v>382.5</v>
      </c>
      <c r="L15" s="931">
        <v>283.8</v>
      </c>
      <c r="M15" s="931">
        <f t="shared" si="0"/>
        <v>666.3</v>
      </c>
      <c r="N15" s="1317">
        <v>961.15</v>
      </c>
      <c r="O15" s="1317"/>
    </row>
    <row r="16" spans="1:15">
      <c r="A16" s="151">
        <v>44087</v>
      </c>
      <c r="B16" s="36">
        <v>492.4</v>
      </c>
      <c r="C16" s="36">
        <v>136.5</v>
      </c>
      <c r="D16" s="36">
        <f t="shared" si="1"/>
        <v>628.9</v>
      </c>
      <c r="E16" s="234"/>
      <c r="F16" s="930">
        <v>503.4</v>
      </c>
      <c r="G16" s="930">
        <v>136.5</v>
      </c>
      <c r="H16" s="922">
        <f t="shared" si="2"/>
        <v>639.9</v>
      </c>
      <c r="J16" s="932">
        <v>44087</v>
      </c>
      <c r="K16" s="931">
        <v>169</v>
      </c>
      <c r="L16" s="931">
        <v>278</v>
      </c>
      <c r="M16" s="931">
        <f t="shared" si="0"/>
        <v>447</v>
      </c>
      <c r="N16" s="1317">
        <f>825+10</f>
        <v>835</v>
      </c>
      <c r="O16" s="1317"/>
    </row>
    <row r="17" spans="1:16">
      <c r="A17" s="151">
        <v>44088</v>
      </c>
      <c r="B17" s="36">
        <v>243.5</v>
      </c>
      <c r="C17" s="36">
        <v>272.5</v>
      </c>
      <c r="D17" s="36">
        <f t="shared" si="1"/>
        <v>516</v>
      </c>
      <c r="E17" s="234"/>
      <c r="F17" s="930">
        <v>243.5</v>
      </c>
      <c r="G17" s="930">
        <v>272.5</v>
      </c>
      <c r="H17" s="922">
        <f t="shared" si="2"/>
        <v>516</v>
      </c>
      <c r="J17" s="932">
        <v>44088</v>
      </c>
      <c r="K17" s="931">
        <v>180.5</v>
      </c>
      <c r="L17" s="931">
        <v>315.5</v>
      </c>
      <c r="M17" s="931">
        <f t="shared" si="0"/>
        <v>496</v>
      </c>
      <c r="N17" s="1317">
        <v>831</v>
      </c>
      <c r="O17" s="1317"/>
    </row>
    <row r="18" spans="1:16" ht="14.1" customHeight="1">
      <c r="A18" s="151">
        <v>44089</v>
      </c>
      <c r="B18" s="36">
        <v>486.7</v>
      </c>
      <c r="C18" s="36">
        <v>398.1</v>
      </c>
      <c r="D18" s="36">
        <f t="shared" si="1"/>
        <v>884.8</v>
      </c>
      <c r="E18" s="234"/>
      <c r="F18" s="930">
        <v>486.7</v>
      </c>
      <c r="G18" s="930">
        <v>398.1</v>
      </c>
      <c r="H18" s="922">
        <f>G18+F18</f>
        <v>884.8</v>
      </c>
      <c r="J18" s="932">
        <v>44089</v>
      </c>
      <c r="K18" s="931"/>
      <c r="L18" s="931"/>
      <c r="M18" s="931" t="str">
        <f t="shared" si="0"/>
        <v/>
      </c>
      <c r="N18" s="1317">
        <v>1261.8</v>
      </c>
      <c r="O18" s="1317"/>
    </row>
    <row r="19" spans="1:16" ht="14.1" customHeight="1">
      <c r="A19" s="151">
        <v>44090</v>
      </c>
      <c r="B19" s="36"/>
      <c r="C19" s="36"/>
      <c r="D19" s="36" t="str">
        <f>IF(B19="","",C19+B19)</f>
        <v/>
      </c>
      <c r="E19" s="234"/>
      <c r="F19" s="922"/>
      <c r="G19" s="922"/>
      <c r="H19" s="36" t="str">
        <f>IF(F19="","",G19+F19)</f>
        <v/>
      </c>
      <c r="J19" s="932">
        <v>44090</v>
      </c>
      <c r="K19" s="931">
        <v>154.1</v>
      </c>
      <c r="L19" s="931">
        <v>510.9</v>
      </c>
      <c r="M19" s="931">
        <f>IF(K19="","",L19+K19)</f>
        <v>665</v>
      </c>
      <c r="N19" s="1317">
        <f>33+1225.9</f>
        <v>1258.9000000000001</v>
      </c>
      <c r="O19" s="1317"/>
    </row>
    <row r="20" spans="1:16" ht="14.1" hidden="1" customHeight="1">
      <c r="A20" s="151">
        <v>44091</v>
      </c>
      <c r="B20" s="36"/>
      <c r="C20" s="36"/>
      <c r="D20" s="36" t="str">
        <f t="shared" ref="D20:D33" si="3">IF(B20="","",C20+B20)</f>
        <v/>
      </c>
      <c r="E20" s="234"/>
      <c r="F20" s="922"/>
      <c r="G20" s="922"/>
      <c r="H20" s="36" t="str">
        <f t="shared" ref="H20:H33" si="4">IF(F20="","",G20+F20)</f>
        <v/>
      </c>
      <c r="J20" s="932">
        <v>44091</v>
      </c>
      <c r="K20" s="931"/>
      <c r="L20" s="931"/>
      <c r="M20" s="931" t="str">
        <f t="shared" ref="M20:M33" si="5">IF(K20="","",L20+K20)</f>
        <v/>
      </c>
      <c r="N20" s="1320"/>
      <c r="O20" s="1320"/>
      <c r="P20" s="8"/>
    </row>
    <row r="21" spans="1:16" ht="14.1" hidden="1" customHeight="1">
      <c r="A21" s="151">
        <v>44092</v>
      </c>
      <c r="B21" s="36"/>
      <c r="C21" s="36"/>
      <c r="D21" s="36" t="str">
        <f t="shared" si="3"/>
        <v/>
      </c>
      <c r="E21" s="234"/>
      <c r="F21" s="922"/>
      <c r="G21" s="922"/>
      <c r="H21" s="36" t="str">
        <f t="shared" si="4"/>
        <v/>
      </c>
      <c r="J21" s="932">
        <v>44092</v>
      </c>
      <c r="K21" s="931"/>
      <c r="L21" s="931"/>
      <c r="M21" s="931" t="str">
        <f t="shared" si="5"/>
        <v/>
      </c>
      <c r="N21" s="1320"/>
      <c r="O21" s="1320"/>
    </row>
    <row r="22" spans="1:16" ht="14.1" hidden="1" customHeight="1">
      <c r="A22" s="151">
        <v>44093</v>
      </c>
      <c r="B22" s="36"/>
      <c r="C22" s="36"/>
      <c r="D22" s="36" t="str">
        <f t="shared" si="3"/>
        <v/>
      </c>
      <c r="E22" s="234"/>
      <c r="F22" s="922"/>
      <c r="G22" s="922"/>
      <c r="H22" s="36" t="str">
        <f t="shared" si="4"/>
        <v/>
      </c>
      <c r="J22" s="932">
        <v>44093</v>
      </c>
      <c r="K22" s="931"/>
      <c r="L22" s="931"/>
      <c r="M22" s="931" t="str">
        <f t="shared" si="5"/>
        <v/>
      </c>
      <c r="N22" s="1320"/>
      <c r="O22" s="1320"/>
    </row>
    <row r="23" spans="1:16" ht="14.1" hidden="1" customHeight="1">
      <c r="A23" s="151">
        <v>44094</v>
      </c>
      <c r="B23" s="36"/>
      <c r="C23" s="36"/>
      <c r="D23" s="36" t="str">
        <f t="shared" si="3"/>
        <v/>
      </c>
      <c r="E23" s="234"/>
      <c r="F23" s="922"/>
      <c r="G23" s="922"/>
      <c r="H23" s="36" t="str">
        <f t="shared" si="4"/>
        <v/>
      </c>
      <c r="J23" s="932">
        <v>44094</v>
      </c>
      <c r="K23" s="931"/>
      <c r="L23" s="931"/>
      <c r="M23" s="931" t="str">
        <f t="shared" si="5"/>
        <v/>
      </c>
      <c r="N23" s="1320"/>
      <c r="O23" s="1320"/>
    </row>
    <row r="24" spans="1:16" ht="14.1" hidden="1" customHeight="1">
      <c r="A24" s="151">
        <v>44095</v>
      </c>
      <c r="B24" s="36"/>
      <c r="C24" s="36"/>
      <c r="D24" s="36" t="str">
        <f t="shared" si="3"/>
        <v/>
      </c>
      <c r="E24" s="234"/>
      <c r="F24" s="922"/>
      <c r="G24" s="922"/>
      <c r="H24" s="36" t="str">
        <f t="shared" si="4"/>
        <v/>
      </c>
      <c r="J24" s="932">
        <v>44095</v>
      </c>
      <c r="K24" s="931"/>
      <c r="L24" s="931"/>
      <c r="M24" s="931" t="str">
        <f t="shared" si="5"/>
        <v/>
      </c>
      <c r="N24" s="1320"/>
      <c r="O24" s="1320"/>
    </row>
    <row r="25" spans="1:16" ht="14.1" hidden="1" customHeight="1">
      <c r="A25" s="151">
        <v>44096</v>
      </c>
      <c r="B25" s="36"/>
      <c r="C25" s="36"/>
      <c r="D25" s="36" t="str">
        <f t="shared" si="3"/>
        <v/>
      </c>
      <c r="E25" s="234"/>
      <c r="F25" s="922"/>
      <c r="G25" s="922"/>
      <c r="H25" s="36" t="str">
        <f t="shared" si="4"/>
        <v/>
      </c>
      <c r="J25" s="932">
        <v>44096</v>
      </c>
      <c r="K25" s="931"/>
      <c r="L25" s="931"/>
      <c r="M25" s="931" t="str">
        <f t="shared" si="5"/>
        <v/>
      </c>
      <c r="N25" s="1320"/>
      <c r="O25" s="1320"/>
    </row>
    <row r="26" spans="1:16" ht="14.1" hidden="1" customHeight="1">
      <c r="A26" s="151">
        <v>44097</v>
      </c>
      <c r="B26" s="922"/>
      <c r="C26" s="922"/>
      <c r="D26" s="36" t="str">
        <f t="shared" si="3"/>
        <v/>
      </c>
      <c r="E26" s="234"/>
      <c r="F26" s="922"/>
      <c r="G26" s="922"/>
      <c r="H26" s="36" t="str">
        <f t="shared" si="4"/>
        <v/>
      </c>
      <c r="J26" s="932">
        <v>44097</v>
      </c>
      <c r="K26" s="451"/>
      <c r="L26" s="451"/>
      <c r="M26" s="931" t="str">
        <f t="shared" si="5"/>
        <v/>
      </c>
      <c r="N26" s="1320"/>
      <c r="O26" s="1320"/>
    </row>
    <row r="27" spans="1:16" ht="14.1" hidden="1" customHeight="1">
      <c r="A27" s="151">
        <v>44098</v>
      </c>
      <c r="B27" s="922"/>
      <c r="C27" s="922"/>
      <c r="D27" s="36" t="str">
        <f t="shared" si="3"/>
        <v/>
      </c>
      <c r="E27" s="234"/>
      <c r="F27" s="922"/>
      <c r="G27" s="922"/>
      <c r="H27" s="36" t="str">
        <f t="shared" si="4"/>
        <v/>
      </c>
      <c r="J27" s="932">
        <v>44098</v>
      </c>
      <c r="K27" s="451"/>
      <c r="L27" s="451"/>
      <c r="M27" s="931" t="str">
        <f t="shared" si="5"/>
        <v/>
      </c>
      <c r="N27" s="1320"/>
      <c r="O27" s="1320"/>
    </row>
    <row r="28" spans="1:16" ht="14.1" hidden="1" customHeight="1">
      <c r="A28" s="151">
        <v>44099</v>
      </c>
      <c r="B28" s="922"/>
      <c r="C28" s="922"/>
      <c r="D28" s="36" t="str">
        <f t="shared" si="3"/>
        <v/>
      </c>
      <c r="E28" s="234"/>
      <c r="F28" s="922"/>
      <c r="G28" s="922"/>
      <c r="H28" s="36" t="str">
        <f t="shared" si="4"/>
        <v/>
      </c>
      <c r="J28" s="932">
        <v>44099</v>
      </c>
      <c r="K28" s="451"/>
      <c r="L28" s="451"/>
      <c r="M28" s="931" t="str">
        <f t="shared" si="5"/>
        <v/>
      </c>
      <c r="N28" s="1320"/>
      <c r="O28" s="1320"/>
    </row>
    <row r="29" spans="1:16" ht="14.1" hidden="1" customHeight="1">
      <c r="A29" s="151">
        <v>44100</v>
      </c>
      <c r="B29" s="922"/>
      <c r="C29" s="922"/>
      <c r="D29" s="36" t="str">
        <f t="shared" si="3"/>
        <v/>
      </c>
      <c r="E29" s="234"/>
      <c r="F29" s="922"/>
      <c r="G29" s="922"/>
      <c r="H29" s="36" t="str">
        <f t="shared" si="4"/>
        <v/>
      </c>
      <c r="J29" s="932">
        <v>44100</v>
      </c>
      <c r="K29" s="451"/>
      <c r="L29" s="451"/>
      <c r="M29" s="931" t="str">
        <f t="shared" si="5"/>
        <v/>
      </c>
      <c r="N29" s="1320"/>
      <c r="O29" s="1320"/>
    </row>
    <row r="30" spans="1:16" ht="14.1" hidden="1" customHeight="1">
      <c r="A30" s="151">
        <v>44101</v>
      </c>
      <c r="B30" s="922"/>
      <c r="C30" s="922"/>
      <c r="D30" s="36" t="str">
        <f t="shared" si="3"/>
        <v/>
      </c>
      <c r="E30" s="234"/>
      <c r="F30" s="922"/>
      <c r="G30" s="922"/>
      <c r="H30" s="36" t="str">
        <f t="shared" si="4"/>
        <v/>
      </c>
      <c r="J30" s="932">
        <v>44101</v>
      </c>
      <c r="K30" s="451"/>
      <c r="L30" s="451"/>
      <c r="M30" s="931" t="str">
        <f t="shared" si="5"/>
        <v/>
      </c>
      <c r="N30" s="1320"/>
      <c r="O30" s="1320"/>
    </row>
    <row r="31" spans="1:16" ht="14.1" hidden="1" customHeight="1">
      <c r="A31" s="151">
        <v>44102</v>
      </c>
      <c r="B31" s="922"/>
      <c r="C31" s="922"/>
      <c r="D31" s="36" t="str">
        <f t="shared" si="3"/>
        <v/>
      </c>
      <c r="E31" s="234"/>
      <c r="F31" s="922"/>
      <c r="G31" s="922"/>
      <c r="H31" s="36" t="str">
        <f t="shared" si="4"/>
        <v/>
      </c>
      <c r="J31" s="932">
        <v>44102</v>
      </c>
      <c r="K31" s="451"/>
      <c r="L31" s="451"/>
      <c r="M31" s="931" t="str">
        <f t="shared" si="5"/>
        <v/>
      </c>
      <c r="N31" s="1320"/>
      <c r="O31" s="1320"/>
    </row>
    <row r="32" spans="1:16" ht="14.1" hidden="1" customHeight="1">
      <c r="A32" s="151">
        <v>44103</v>
      </c>
      <c r="B32" s="922"/>
      <c r="C32" s="922"/>
      <c r="D32" s="36" t="str">
        <f t="shared" si="3"/>
        <v/>
      </c>
      <c r="E32" s="234"/>
      <c r="F32" s="922"/>
      <c r="G32" s="922"/>
      <c r="H32" s="36" t="str">
        <f t="shared" si="4"/>
        <v/>
      </c>
      <c r="J32" s="932">
        <v>44103</v>
      </c>
      <c r="K32" s="451"/>
      <c r="L32" s="451"/>
      <c r="M32" s="931" t="str">
        <f t="shared" si="5"/>
        <v/>
      </c>
      <c r="N32" s="1320"/>
      <c r="O32" s="1320"/>
    </row>
    <row r="33" spans="1:15" ht="14.1" hidden="1" customHeight="1">
      <c r="A33" s="151">
        <v>44104</v>
      </c>
      <c r="B33" s="922"/>
      <c r="C33" s="922"/>
      <c r="D33" s="36" t="str">
        <f t="shared" si="3"/>
        <v/>
      </c>
      <c r="E33" s="234"/>
      <c r="F33" s="922"/>
      <c r="G33" s="922"/>
      <c r="H33" s="36" t="str">
        <f t="shared" si="4"/>
        <v/>
      </c>
      <c r="J33" s="932">
        <v>44104</v>
      </c>
      <c r="K33" s="451"/>
      <c r="L33" s="451"/>
      <c r="M33" s="931" t="str">
        <f t="shared" si="5"/>
        <v/>
      </c>
      <c r="N33" s="1320"/>
      <c r="O33" s="1320"/>
    </row>
    <row r="34" spans="1:15" ht="14.1" customHeight="1">
      <c r="A34" s="446" t="s">
        <v>391</v>
      </c>
      <c r="B34" s="35">
        <f>SUM(B4:B33)</f>
        <v>4105</v>
      </c>
      <c r="C34" s="35">
        <f>SUM(C4:C33)</f>
        <v>2940.75</v>
      </c>
      <c r="D34" s="35">
        <f>SUM(D4:D33)</f>
        <v>7045.7499999999991</v>
      </c>
      <c r="F34" s="35">
        <f>SUM(F4:F33)</f>
        <v>4320.5</v>
      </c>
      <c r="G34" s="35">
        <f>SUM(G4:G33)</f>
        <v>2940.75</v>
      </c>
      <c r="H34" s="35">
        <f>SUM(H4:H33)</f>
        <v>7261.2499999999991</v>
      </c>
      <c r="J34" s="933" t="s">
        <v>391</v>
      </c>
      <c r="K34" s="924">
        <f>SUM(K4:K33)</f>
        <v>1748.8</v>
      </c>
      <c r="L34" s="924">
        <f>SUM(L4:L33)</f>
        <v>3919.11</v>
      </c>
      <c r="M34" s="924">
        <f>SUM(M4:M33)</f>
        <v>5667.9100000000008</v>
      </c>
      <c r="N34" s="1322">
        <f>SUM(N4:O19)</f>
        <v>12380.219999999998</v>
      </c>
      <c r="O34" s="1323"/>
    </row>
    <row r="35" spans="1:15">
      <c r="A35" s="446"/>
      <c r="B35" s="35"/>
      <c r="C35" s="35"/>
    </row>
    <row r="36" spans="1:15">
      <c r="B36" s="35"/>
      <c r="C36" s="35"/>
    </row>
    <row r="37" spans="1:15">
      <c r="B37" s="35"/>
      <c r="C37" s="35"/>
    </row>
    <row r="38" spans="1:15">
      <c r="B38" s="35"/>
      <c r="C38" s="35"/>
    </row>
    <row r="39" spans="1:15">
      <c r="B39" s="35"/>
      <c r="C39" s="35"/>
    </row>
    <row r="40" spans="1:15">
      <c r="B40" s="35"/>
      <c r="C40" s="35"/>
    </row>
    <row r="41" spans="1:15">
      <c r="B41" s="35"/>
      <c r="C41" s="35"/>
    </row>
    <row r="42" spans="1:15">
      <c r="B42" s="35"/>
      <c r="C42" s="35"/>
    </row>
    <row r="43" spans="1:15">
      <c r="B43" s="35"/>
      <c r="C43" s="35"/>
    </row>
    <row r="44" spans="1:15">
      <c r="B44" s="35"/>
      <c r="C44" s="35"/>
    </row>
    <row r="45" spans="1:15">
      <c r="B45" s="35"/>
      <c r="C45" s="35"/>
    </row>
    <row r="46" spans="1:15">
      <c r="B46" s="35"/>
      <c r="C46" s="35"/>
    </row>
    <row r="47" spans="1:15">
      <c r="B47" s="35"/>
      <c r="C47" s="35"/>
    </row>
    <row r="48" spans="1:15">
      <c r="B48" s="35"/>
      <c r="C48" s="35"/>
    </row>
    <row r="49" spans="2:3">
      <c r="B49" s="35"/>
      <c r="C49" s="35"/>
    </row>
    <row r="50" spans="2:3">
      <c r="B50" s="35"/>
      <c r="C50" s="35"/>
    </row>
    <row r="51" spans="2:3">
      <c r="B51" s="35"/>
      <c r="C51" s="35"/>
    </row>
    <row r="52" spans="2:3">
      <c r="B52" s="35"/>
      <c r="C52" s="35"/>
    </row>
    <row r="53" spans="2:3">
      <c r="B53" s="35"/>
      <c r="C53" s="35"/>
    </row>
    <row r="54" spans="2:3">
      <c r="B54" s="35"/>
      <c r="C54" s="35"/>
    </row>
    <row r="55" spans="2:3">
      <c r="B55" s="35"/>
      <c r="C55" s="35"/>
    </row>
    <row r="56" spans="2:3">
      <c r="B56" s="35"/>
      <c r="C56" s="35"/>
    </row>
    <row r="57" spans="2:3">
      <c r="B57" s="35"/>
      <c r="C57" s="35"/>
    </row>
    <row r="58" spans="2:3">
      <c r="B58" s="35"/>
      <c r="C58" s="35"/>
    </row>
    <row r="59" spans="2:3">
      <c r="B59" s="35"/>
      <c r="C59" s="35"/>
    </row>
    <row r="60" spans="2:3">
      <c r="B60" s="35"/>
      <c r="C60" s="35"/>
    </row>
    <row r="61" spans="2:3">
      <c r="B61" s="35"/>
      <c r="C61" s="35"/>
    </row>
    <row r="62" spans="2:3">
      <c r="B62" s="35"/>
      <c r="C62" s="35"/>
    </row>
    <row r="63" spans="2:3">
      <c r="B63" s="35"/>
      <c r="C63" s="35"/>
    </row>
    <row r="64" spans="2:3">
      <c r="B64" s="35"/>
      <c r="C64" s="35"/>
    </row>
    <row r="65" spans="2:3">
      <c r="B65" s="35"/>
      <c r="C65" s="35"/>
    </row>
    <row r="66" spans="2:3">
      <c r="B66" s="35"/>
      <c r="C66" s="35"/>
    </row>
    <row r="67" spans="2:3">
      <c r="B67" s="35"/>
      <c r="C67" s="35"/>
    </row>
    <row r="68" spans="2:3">
      <c r="B68" s="35"/>
      <c r="C68" s="35"/>
    </row>
    <row r="69" spans="2:3">
      <c r="B69" s="35"/>
      <c r="C69" s="35"/>
    </row>
    <row r="70" spans="2:3">
      <c r="B70" s="35"/>
      <c r="C70" s="35"/>
    </row>
    <row r="71" spans="2:3">
      <c r="B71" s="35"/>
      <c r="C71" s="35"/>
    </row>
    <row r="72" spans="2:3">
      <c r="B72" s="35"/>
      <c r="C72" s="35"/>
    </row>
    <row r="73" spans="2:3">
      <c r="B73" s="35"/>
      <c r="C73" s="35"/>
    </row>
    <row r="74" spans="2:3">
      <c r="B74" s="35"/>
      <c r="C74" s="35"/>
    </row>
    <row r="75" spans="2:3">
      <c r="B75" s="35"/>
      <c r="C75" s="35"/>
    </row>
    <row r="76" spans="2:3">
      <c r="B76" s="35"/>
      <c r="C76" s="35"/>
    </row>
    <row r="77" spans="2:3">
      <c r="B77" s="35"/>
      <c r="C77" s="35"/>
    </row>
    <row r="78" spans="2:3">
      <c r="B78" s="35"/>
      <c r="C78" s="35"/>
    </row>
    <row r="79" spans="2:3">
      <c r="B79" s="35"/>
      <c r="C79" s="35"/>
    </row>
    <row r="80" spans="2:3">
      <c r="B80" s="35"/>
      <c r="C80" s="35"/>
    </row>
    <row r="81" spans="2:3">
      <c r="B81" s="35"/>
      <c r="C81" s="35"/>
    </row>
    <row r="82" spans="2:3">
      <c r="B82" s="35"/>
      <c r="C82" s="35"/>
    </row>
    <row r="83" spans="2:3">
      <c r="B83" s="35"/>
      <c r="C83" s="35"/>
    </row>
    <row r="84" spans="2:3">
      <c r="B84" s="35"/>
      <c r="C84" s="35"/>
    </row>
    <row r="85" spans="2:3">
      <c r="B85" s="35"/>
      <c r="C85" s="35"/>
    </row>
    <row r="86" spans="2:3">
      <c r="B86" s="35"/>
      <c r="C86" s="35"/>
    </row>
    <row r="87" spans="2:3">
      <c r="B87" s="35"/>
      <c r="C87" s="35"/>
    </row>
    <row r="88" spans="2:3">
      <c r="B88" s="35"/>
      <c r="C88" s="35"/>
    </row>
    <row r="89" spans="2:3">
      <c r="B89" s="35"/>
      <c r="C89" s="35"/>
    </row>
    <row r="90" spans="2:3">
      <c r="B90" s="35"/>
      <c r="C90" s="35"/>
    </row>
    <row r="91" spans="2:3">
      <c r="B91" s="35"/>
      <c r="C91" s="35"/>
    </row>
    <row r="92" spans="2:3">
      <c r="B92" s="35"/>
      <c r="C92" s="35"/>
    </row>
    <row r="93" spans="2:3">
      <c r="B93" s="35"/>
      <c r="C93" s="35"/>
    </row>
    <row r="94" spans="2:3">
      <c r="B94" s="35"/>
      <c r="C94" s="35"/>
    </row>
    <row r="95" spans="2:3">
      <c r="B95" s="35"/>
      <c r="C95" s="35"/>
    </row>
    <row r="96" spans="2:3">
      <c r="B96" s="35"/>
      <c r="C96" s="35"/>
    </row>
    <row r="97" spans="2:3">
      <c r="B97" s="35"/>
      <c r="C97" s="35"/>
    </row>
    <row r="98" spans="2:3">
      <c r="B98" s="35"/>
      <c r="C98" s="35"/>
    </row>
    <row r="99" spans="2:3">
      <c r="B99" s="35"/>
      <c r="C99" s="35"/>
    </row>
    <row r="100" spans="2:3">
      <c r="B100" s="35"/>
      <c r="C100" s="35"/>
    </row>
    <row r="101" spans="2:3">
      <c r="B101" s="35"/>
      <c r="C101" s="35"/>
    </row>
    <row r="102" spans="2:3">
      <c r="B102" s="35"/>
      <c r="C102" s="35"/>
    </row>
    <row r="103" spans="2:3">
      <c r="B103" s="35"/>
      <c r="C103" s="35"/>
    </row>
    <row r="104" spans="2:3">
      <c r="B104" s="35"/>
      <c r="C104" s="35"/>
    </row>
    <row r="105" spans="2:3">
      <c r="B105" s="35"/>
      <c r="C105" s="35"/>
    </row>
    <row r="106" spans="2:3">
      <c r="B106" s="35"/>
      <c r="C106" s="35"/>
    </row>
    <row r="107" spans="2:3">
      <c r="B107" s="35"/>
      <c r="C107" s="35"/>
    </row>
    <row r="108" spans="2:3">
      <c r="B108" s="35"/>
      <c r="C108" s="35"/>
    </row>
    <row r="109" spans="2:3">
      <c r="B109" s="35"/>
      <c r="C109" s="35"/>
    </row>
  </sheetData>
  <mergeCells count="37">
    <mergeCell ref="N34:O34"/>
    <mergeCell ref="N29:O29"/>
    <mergeCell ref="N30:O30"/>
    <mergeCell ref="N31:O31"/>
    <mergeCell ref="N32:O32"/>
    <mergeCell ref="N33:O33"/>
    <mergeCell ref="N16:O16"/>
    <mergeCell ref="N5:O5"/>
    <mergeCell ref="N6:O6"/>
    <mergeCell ref="N7:O7"/>
    <mergeCell ref="N8:O8"/>
    <mergeCell ref="N9:O9"/>
    <mergeCell ref="N11:O11"/>
    <mergeCell ref="N12:O12"/>
    <mergeCell ref="N13:O13"/>
    <mergeCell ref="N14:O14"/>
    <mergeCell ref="N15:O15"/>
    <mergeCell ref="N10:O10"/>
    <mergeCell ref="N27:O27"/>
    <mergeCell ref="N28:O28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4:O4"/>
    <mergeCell ref="J1:O1"/>
    <mergeCell ref="J2:M2"/>
    <mergeCell ref="N2:O3"/>
    <mergeCell ref="A1:H1"/>
    <mergeCell ref="A2:D2"/>
    <mergeCell ref="F2:H2"/>
  </mergeCells>
  <conditionalFormatting sqref="N4:N19">
    <cfRule type="expression" dxfId="35" priority="1">
      <formula>$B4=7</formula>
    </cfRule>
    <cfRule type="expression" dxfId="34" priority="2">
      <formula>$B4=6</formula>
    </cfRule>
  </conditionalFormatting>
  <pageMargins left="0.7" right="0.7" top="0.75" bottom="0.75" header="0.3" footer="0.3"/>
  <pageSetup paperSize="11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43"/>
  <sheetViews>
    <sheetView view="pageBreakPreview" zoomScale="70" zoomScaleNormal="85" zoomScaleSheetLayoutView="70" zoomScalePageLayoutView="70" workbookViewId="0">
      <selection activeCell="B67" sqref="B67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1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411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1003"/>
      <c r="O2" s="1001"/>
      <c r="P2" s="1001"/>
      <c r="Q2" s="1001"/>
      <c r="R2" s="366"/>
      <c r="S2" s="1001"/>
      <c r="T2" s="1001"/>
      <c r="U2" s="1001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1003"/>
      <c r="O3" s="366"/>
      <c r="P3" s="366"/>
      <c r="Q3" s="366"/>
      <c r="R3" s="366"/>
      <c r="S3" s="366"/>
      <c r="T3" s="366"/>
      <c r="U3" s="366"/>
      <c r="V3" s="1001"/>
      <c r="W3" s="1001"/>
      <c r="X3" s="366"/>
      <c r="Y3" s="1001"/>
      <c r="Z3" s="629"/>
      <c r="AA3" s="366"/>
      <c r="AB3" s="366"/>
      <c r="AC3" s="366"/>
      <c r="AD3" s="1001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998" t="s">
        <v>34</v>
      </c>
      <c r="C4" s="36" t="s">
        <v>35</v>
      </c>
      <c r="D4" s="36" t="s">
        <v>38</v>
      </c>
      <c r="E4" s="36" t="s">
        <v>42</v>
      </c>
      <c r="F4" s="998" t="s">
        <v>36</v>
      </c>
      <c r="G4" s="100" t="s">
        <v>173</v>
      </c>
      <c r="H4" s="676" t="s">
        <v>2</v>
      </c>
      <c r="I4" s="1285" t="s">
        <v>34</v>
      </c>
      <c r="J4" s="1285"/>
      <c r="K4" s="1005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325">
        <v>44167</v>
      </c>
      <c r="B5" s="161" t="s">
        <v>257</v>
      </c>
      <c r="C5" s="275">
        <v>727.14</v>
      </c>
      <c r="D5" s="275">
        <v>727.14</v>
      </c>
      <c r="E5" s="542" t="str">
        <f t="shared" ref="E5:E19" si="0">IF(C5-D5=0,"",C5-D5)</f>
        <v/>
      </c>
      <c r="F5" s="162" t="str">
        <f t="shared" ref="F5:F19" si="1">IF(C5=0,"",IF(C5-D5=0,"оплачено","ОЖИДАЕТСЯ оплата"))</f>
        <v>оплачено</v>
      </c>
      <c r="G5" s="161"/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1020" customFormat="1">
      <c r="A6" s="1014"/>
      <c r="B6" s="167" t="s">
        <v>334</v>
      </c>
      <c r="C6" s="1013">
        <v>75</v>
      </c>
      <c r="D6" s="1013">
        <v>75</v>
      </c>
      <c r="E6" s="966" t="str">
        <f t="shared" si="0"/>
        <v/>
      </c>
      <c r="F6" s="167" t="str">
        <f t="shared" si="1"/>
        <v>оплачено</v>
      </c>
      <c r="G6" s="167" t="s">
        <v>131</v>
      </c>
      <c r="H6" s="1015"/>
      <c r="I6" s="1325"/>
      <c r="J6" s="1326"/>
      <c r="K6" s="1016"/>
      <c r="L6" s="1327"/>
      <c r="M6" s="1328"/>
      <c r="N6" s="1017"/>
      <c r="O6" s="1018"/>
      <c r="P6" s="1017"/>
      <c r="Q6" s="1018"/>
      <c r="R6" s="1017"/>
      <c r="S6" s="1019"/>
      <c r="T6" s="1017"/>
      <c r="U6" s="1018"/>
      <c r="V6" s="1017"/>
      <c r="W6" s="1017"/>
      <c r="X6" s="1017"/>
      <c r="Y6" s="1019"/>
      <c r="Z6" s="1017"/>
      <c r="AA6" s="1017"/>
      <c r="AB6" s="1017"/>
      <c r="AC6" s="1017"/>
      <c r="AD6" s="1019"/>
      <c r="AE6" s="1017"/>
      <c r="AF6" s="1204"/>
      <c r="AG6" s="1204"/>
      <c r="AH6" s="1017"/>
      <c r="AI6" s="1017"/>
    </row>
    <row r="7" spans="1:35" s="86" customFormat="1">
      <c r="A7" s="325">
        <v>44180</v>
      </c>
      <c r="B7" s="161" t="s">
        <v>257</v>
      </c>
      <c r="C7" s="275">
        <v>411.32</v>
      </c>
      <c r="D7" s="275">
        <v>411.32</v>
      </c>
      <c r="E7" s="542" t="str">
        <f t="shared" si="0"/>
        <v/>
      </c>
      <c r="F7" s="162" t="str">
        <f t="shared" si="1"/>
        <v>оплачено</v>
      </c>
      <c r="G7" s="161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44173</v>
      </c>
      <c r="B8" s="161" t="s">
        <v>257</v>
      </c>
      <c r="C8" s="275">
        <v>364.39</v>
      </c>
      <c r="D8" s="275">
        <v>364.39</v>
      </c>
      <c r="E8" s="542" t="str">
        <f t="shared" si="0"/>
        <v/>
      </c>
      <c r="F8" s="162" t="str">
        <f t="shared" si="1"/>
        <v>оплачено</v>
      </c>
      <c r="G8" s="161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44166</v>
      </c>
      <c r="B9" s="161" t="s">
        <v>155</v>
      </c>
      <c r="C9" s="275">
        <v>66.349999999999994</v>
      </c>
      <c r="D9" s="275">
        <v>66.349999999999994</v>
      </c>
      <c r="E9" s="634" t="str">
        <f t="shared" si="0"/>
        <v/>
      </c>
      <c r="F9" s="161" t="str">
        <f t="shared" si="1"/>
        <v>оплачено</v>
      </c>
      <c r="G9" s="161" t="s">
        <v>219</v>
      </c>
      <c r="H9" s="678"/>
      <c r="I9" s="1288"/>
      <c r="J9" s="1289"/>
      <c r="K9" s="480"/>
      <c r="L9" s="1290"/>
      <c r="M9" s="1291"/>
      <c r="N9" s="1012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s="86" customFormat="1" ht="15.75" customHeight="1">
      <c r="A10" s="325">
        <v>44167</v>
      </c>
      <c r="B10" s="161" t="s">
        <v>415</v>
      </c>
      <c r="C10" s="275">
        <v>355.07</v>
      </c>
      <c r="D10" s="275">
        <v>355.07</v>
      </c>
      <c r="E10" s="634" t="str">
        <f t="shared" si="0"/>
        <v/>
      </c>
      <c r="F10" s="161" t="str">
        <f t="shared" si="1"/>
        <v>оплачено</v>
      </c>
      <c r="G10" s="161" t="s">
        <v>219</v>
      </c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s="86" customFormat="1" ht="15.75" customHeight="1">
      <c r="A11" s="325">
        <v>44186</v>
      </c>
      <c r="B11" s="161" t="s">
        <v>419</v>
      </c>
      <c r="C11" s="275">
        <v>183.83</v>
      </c>
      <c r="D11" s="275">
        <v>183.83</v>
      </c>
      <c r="E11" s="634" t="str">
        <f t="shared" si="0"/>
        <v/>
      </c>
      <c r="F11" s="161" t="str">
        <f t="shared" si="1"/>
        <v>оплачено</v>
      </c>
      <c r="G11" s="161"/>
      <c r="H11" s="678"/>
      <c r="I11" s="1288"/>
      <c r="J11" s="1289"/>
      <c r="K11" s="480"/>
      <c r="L11" s="1290"/>
      <c r="M11" s="1291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s="86" customFormat="1" ht="14.25" customHeight="1">
      <c r="A12" s="325">
        <v>44194</v>
      </c>
      <c r="B12" s="161" t="s">
        <v>325</v>
      </c>
      <c r="C12" s="275">
        <v>817.05</v>
      </c>
      <c r="D12" s="275">
        <v>817.05</v>
      </c>
      <c r="E12" s="634" t="str">
        <f t="shared" si="0"/>
        <v/>
      </c>
      <c r="F12" s="161" t="str">
        <f t="shared" si="1"/>
        <v>оплачено</v>
      </c>
      <c r="G12" s="161"/>
      <c r="H12" s="678"/>
      <c r="I12" s="1288"/>
      <c r="J12" s="1289"/>
      <c r="K12" s="480"/>
      <c r="L12" s="1290"/>
      <c r="M12" s="1291"/>
      <c r="N12" s="766"/>
      <c r="O12" s="447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1"/>
      <c r="H13" s="678"/>
      <c r="I13" s="1288"/>
      <c r="J13" s="1289"/>
      <c r="K13" s="480"/>
      <c r="L13" s="1191"/>
      <c r="M13" s="1292"/>
      <c r="N13" s="766"/>
      <c r="O13" s="936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 t="shared" si="0"/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935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3000.1499999999996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1002" t="s">
        <v>21</v>
      </c>
      <c r="K22" s="1002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/>
      <c r="P24" s="366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447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 t="shared" ref="M31:M35" si="3">M30-I31-J31-K31+L31</f>
        <v>75409.000000000015</v>
      </c>
      <c r="N31" s="1"/>
      <c r="O31" s="44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 t="shared" si="3"/>
        <v>68068.100000000006</v>
      </c>
      <c r="N32" s="1"/>
      <c r="O32" s="44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 t="shared" si="3"/>
        <v>69125.030000000013</v>
      </c>
      <c r="N33" s="1"/>
      <c r="O33" s="12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20</v>
      </c>
      <c r="I34" s="689">
        <v>28716.309999999994</v>
      </c>
      <c r="J34" s="438">
        <v>4480.1000000000004</v>
      </c>
      <c r="K34" s="607">
        <f>741.01+462.85</f>
        <v>1203.8600000000001</v>
      </c>
      <c r="L34" s="607">
        <v>40057.5</v>
      </c>
      <c r="M34" s="104">
        <f t="shared" si="3"/>
        <v>74782.260000000009</v>
      </c>
      <c r="N34" s="1"/>
      <c r="O34" s="44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>
      <c r="A35" s="339"/>
      <c r="B35" s="199"/>
      <c r="C35" s="1"/>
      <c r="D35" s="273"/>
      <c r="E35" s="366"/>
      <c r="F35" s="366"/>
      <c r="G35" s="366"/>
      <c r="H35" s="347" t="s">
        <v>148</v>
      </c>
      <c r="I35" s="689">
        <v>26800.16</v>
      </c>
      <c r="J35" s="438">
        <f>4+53+32.5+311.5+375+214+61.3+1914+130.5+597.5+16.8+2.5+2148.5+28+491+24</f>
        <v>6404.1</v>
      </c>
      <c r="K35" s="607">
        <f>835.3+489.85</f>
        <v>1325.15</v>
      </c>
      <c r="L35" s="960">
        <f>3255+623+28+192+21+427+2680+9605+4070+1513+315+1563.5+1878+808.5+417+35+1146+2886+540+1020+66+1156+773.5+396+2643.5+1976+588+375+1850.5</f>
        <v>42847.5</v>
      </c>
      <c r="M35" s="104">
        <f t="shared" si="3"/>
        <v>83100.350000000006</v>
      </c>
      <c r="N35" s="1"/>
      <c r="O35" s="44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>
      <c r="A36" s="339"/>
      <c r="B36" s="199"/>
      <c r="C36" s="1"/>
      <c r="D36" s="273"/>
      <c r="E36" s="366"/>
      <c r="F36" s="366"/>
      <c r="G36" s="366"/>
      <c r="H36" s="347" t="s">
        <v>162</v>
      </c>
      <c r="I36" s="689">
        <v>25796.49</v>
      </c>
      <c r="J36" s="438">
        <f>2.2+22+11+100+1+324+64.2+163+106+6+211.5+238+369+166+327.5+1+30+198</f>
        <v>2340.4</v>
      </c>
      <c r="K36" s="607">
        <v>1417.21</v>
      </c>
      <c r="L36" s="960">
        <f>1442+786+491+108+201+501+256+1197+2570+42+883.5+330+192+1658+539+1550.5+1020.5+410+1497+230+17+879+290.5+569+1403.5+696+517+2100+1076.5+482+811</f>
        <v>24746</v>
      </c>
      <c r="M36" s="104">
        <f>M35-I36-J36-K36+L36</f>
        <v>78292.25</v>
      </c>
      <c r="N36" s="1"/>
      <c r="O36" s="447"/>
      <c r="P36" s="84"/>
      <c r="Q36" s="145"/>
      <c r="R36" s="84"/>
      <c r="S36" s="541"/>
      <c r="T36" s="86"/>
      <c r="U36" s="86"/>
      <c r="V36" s="86"/>
      <c r="W36" s="86"/>
      <c r="X36" s="86"/>
      <c r="Y36" s="366"/>
      <c r="Z36" s="366"/>
    </row>
    <row r="37" spans="1:26" ht="12.75" customHeight="1">
      <c r="A37" s="339"/>
      <c r="B37" s="199"/>
      <c r="C37" s="1"/>
      <c r="D37" s="273"/>
      <c r="E37" s="366"/>
      <c r="F37" s="366"/>
      <c r="G37" s="366"/>
      <c r="H37" s="379" t="s">
        <v>163</v>
      </c>
      <c r="I37" s="621">
        <v>26221.170000000002</v>
      </c>
      <c r="J37" s="432">
        <f>16.8+18.5+21+481+291+23+197.5+70.2+18+706.5+91+23+42+175+2+617+9+611</f>
        <v>3413.5</v>
      </c>
      <c r="K37" s="734">
        <f>538.23+638.25</f>
        <v>1176.48</v>
      </c>
      <c r="L37" s="1040">
        <f>600+18+110+3039+866+639+533.5+48+72+1216+449.5+602+112+5408+228+20+1228+80+1766.5+1774+202+236+466+411.5+30.5+195+5659.5+327.5</f>
        <v>26337.5</v>
      </c>
      <c r="M37" s="104">
        <f>M35-I37-J37-K37+L37</f>
        <v>78626.700000000012</v>
      </c>
      <c r="N37" s="1"/>
      <c r="O37" s="447"/>
      <c r="P37" s="84"/>
      <c r="Q37" s="145"/>
      <c r="R37" s="84"/>
      <c r="S37" s="541"/>
      <c r="T37" s="86"/>
      <c r="U37" s="86"/>
      <c r="V37" s="86"/>
      <c r="W37" s="86"/>
      <c r="X37" s="86"/>
      <c r="Y37" s="366"/>
      <c r="Z37" s="366"/>
    </row>
    <row r="38" spans="1:26" ht="12.75" customHeight="1" thickBot="1">
      <c r="A38" s="339"/>
      <c r="B38" s="199"/>
      <c r="C38" s="1"/>
      <c r="D38" s="273"/>
      <c r="E38" s="366"/>
      <c r="F38" s="366"/>
      <c r="G38" s="366"/>
      <c r="H38" s="608" t="s">
        <v>192</v>
      </c>
      <c r="I38" s="622">
        <v>25688.519999999993</v>
      </c>
      <c r="J38" s="610">
        <f>41+87+50.5+210+23.5+38+126+28.2+92.2+278.5+147.5</f>
        <v>1122.4000000000001</v>
      </c>
      <c r="K38" s="611">
        <v>929.44</v>
      </c>
      <c r="L38" s="941">
        <f>46+773+1131+329+628.5+1201+628.5+1037+56+222+428+150+1972+3098+1100.5+1593.5+138.5+165+921+1224+272.5+527+292.5</f>
        <v>17934.5</v>
      </c>
      <c r="M38" s="104">
        <f>M36-I38-J38-K38+L38</f>
        <v>68486.390000000014</v>
      </c>
      <c r="N38" s="1"/>
      <c r="O38" s="447"/>
      <c r="P38" s="84"/>
      <c r="Q38" s="145"/>
      <c r="R38" s="84"/>
      <c r="S38" s="541"/>
      <c r="T38" s="86"/>
      <c r="U38" s="86"/>
      <c r="V38" s="86"/>
      <c r="W38" s="86"/>
      <c r="X38" s="86"/>
      <c r="Y38" s="366"/>
      <c r="Z38" s="366"/>
    </row>
    <row r="39" spans="1:26" ht="12.75" customHeight="1" thickTop="1">
      <c r="A39" s="339"/>
      <c r="B39" s="199"/>
      <c r="C39" s="1"/>
      <c r="D39" s="273"/>
      <c r="E39" s="84"/>
      <c r="F39" s="366"/>
      <c r="G39" s="366"/>
      <c r="H39" s="1148" t="s">
        <v>36</v>
      </c>
      <c r="I39" s="1150" t="s">
        <v>178</v>
      </c>
      <c r="J39" s="1151"/>
      <c r="K39" s="1152"/>
      <c r="L39" s="1156" t="s">
        <v>159</v>
      </c>
      <c r="M39" s="1156"/>
      <c r="N39" s="747" t="s">
        <v>341</v>
      </c>
      <c r="O39" s="447"/>
      <c r="P39" s="84"/>
      <c r="Q39" s="145"/>
      <c r="R39" s="145"/>
      <c r="S39" s="86"/>
      <c r="T39" s="86"/>
      <c r="U39" s="86"/>
      <c r="V39" s="86"/>
      <c r="W39" s="86"/>
      <c r="X39" s="86"/>
      <c r="Y39" s="366"/>
      <c r="Z39" s="366"/>
    </row>
    <row r="40" spans="1:26" ht="13.5" customHeight="1">
      <c r="A40" s="339"/>
      <c r="B40" s="199"/>
      <c r="C40" s="284"/>
      <c r="D40" s="273"/>
      <c r="E40" s="284"/>
      <c r="F40" s="366"/>
      <c r="G40" s="378"/>
      <c r="H40" s="1149"/>
      <c r="I40" s="1153"/>
      <c r="J40" s="1154"/>
      <c r="K40" s="1155"/>
      <c r="L40" s="1158"/>
      <c r="M40" s="1158"/>
      <c r="N40" s="748" t="s">
        <v>189</v>
      </c>
      <c r="O40" s="447"/>
      <c r="P40" s="84"/>
      <c r="Q40" s="145"/>
      <c r="R40" s="84"/>
      <c r="S40" s="86"/>
      <c r="T40" s="86"/>
      <c r="U40" s="86"/>
      <c r="V40" s="294"/>
      <c r="W40" s="86"/>
      <c r="X40" s="86"/>
      <c r="Y40" s="366"/>
      <c r="Z40" s="366"/>
    </row>
    <row r="41" spans="1:26" ht="15.75" customHeight="1">
      <c r="A41" s="339"/>
      <c r="B41" s="199"/>
      <c r="C41" s="199"/>
      <c r="D41" s="273"/>
      <c r="E41" s="199"/>
      <c r="F41" s="366"/>
      <c r="G41" s="378"/>
      <c r="H41" s="512" t="s">
        <v>250</v>
      </c>
      <c r="I41" s="1278" t="s">
        <v>47</v>
      </c>
      <c r="J41" s="1278"/>
      <c r="K41" s="1005">
        <f>328.13+11.74</f>
        <v>339.87</v>
      </c>
      <c r="L41" s="282">
        <v>44180</v>
      </c>
      <c r="M41" s="1" t="s">
        <v>397</v>
      </c>
      <c r="N41" s="749">
        <v>132</v>
      </c>
      <c r="O41" s="447" t="s">
        <v>416</v>
      </c>
      <c r="P41" s="84"/>
      <c r="Q41" s="145"/>
      <c r="R41" s="84"/>
      <c r="S41" s="86"/>
      <c r="T41" s="86"/>
      <c r="U41" s="86"/>
      <c r="V41" s="294"/>
      <c r="W41" s="86"/>
      <c r="X41" s="86"/>
      <c r="Y41" s="366"/>
      <c r="Z41" s="366"/>
    </row>
    <row r="42" spans="1:26">
      <c r="A42" s="339"/>
      <c r="B42" s="366"/>
      <c r="C42" s="274"/>
      <c r="D42" s="273"/>
      <c r="E42" s="274"/>
      <c r="F42" s="366"/>
      <c r="G42" s="366"/>
      <c r="H42" s="512" t="s">
        <v>250</v>
      </c>
      <c r="I42" s="1262" t="s">
        <v>51</v>
      </c>
      <c r="J42" s="1262"/>
      <c r="K42" s="1004">
        <v>71.83</v>
      </c>
      <c r="L42" s="282">
        <v>44180</v>
      </c>
      <c r="M42" s="1" t="s">
        <v>397</v>
      </c>
      <c r="N42" s="750">
        <v>40</v>
      </c>
      <c r="O42" s="447"/>
      <c r="P42" s="84"/>
      <c r="Q42" s="145"/>
      <c r="R42" s="273"/>
      <c r="S42" s="366"/>
      <c r="T42" s="86"/>
      <c r="U42" s="86"/>
      <c r="V42" s="294"/>
      <c r="W42" s="294"/>
      <c r="X42" s="294"/>
      <c r="Y42" s="366"/>
    </row>
    <row r="43" spans="1:26">
      <c r="A43" s="340"/>
      <c r="B43" s="366"/>
      <c r="C43" s="366"/>
      <c r="D43" s="273"/>
      <c r="E43" s="199"/>
      <c r="F43" s="366"/>
      <c r="G43" s="366"/>
      <c r="H43" s="512" t="s">
        <v>250</v>
      </c>
      <c r="I43" s="1262" t="s">
        <v>52</v>
      </c>
      <c r="J43" s="1262"/>
      <c r="K43" s="1004">
        <v>5.63</v>
      </c>
      <c r="L43" s="282">
        <v>44180</v>
      </c>
      <c r="M43" s="1" t="s">
        <v>397</v>
      </c>
      <c r="N43" s="750">
        <v>3</v>
      </c>
      <c r="O43" s="447"/>
      <c r="P43" s="84"/>
      <c r="Q43" s="145"/>
      <c r="R43" s="273"/>
      <c r="S43" s="366"/>
      <c r="T43" s="294"/>
      <c r="U43" s="86"/>
      <c r="V43" s="366"/>
      <c r="W43" s="294"/>
      <c r="X43" s="294"/>
      <c r="Y43" s="366"/>
    </row>
    <row r="44" spans="1:26">
      <c r="A44" s="340"/>
      <c r="B44" s="366"/>
      <c r="C44" s="366"/>
      <c r="D44" s="273"/>
      <c r="E44" s="366"/>
      <c r="F44" s="366"/>
      <c r="G44" s="366"/>
      <c r="H44" s="512" t="s">
        <v>250</v>
      </c>
      <c r="I44" s="1262" t="s">
        <v>49</v>
      </c>
      <c r="J44" s="1290"/>
      <c r="K44" s="1004">
        <v>314</v>
      </c>
      <c r="L44" s="294">
        <v>44185</v>
      </c>
      <c r="M44" s="1" t="s">
        <v>413</v>
      </c>
      <c r="N44" s="749">
        <v>200</v>
      </c>
      <c r="O44" s="447"/>
      <c r="P44" s="907"/>
      <c r="Q44" s="145"/>
      <c r="R44" s="1001"/>
      <c r="S44" s="366"/>
      <c r="T44" s="294"/>
      <c r="U44" s="86"/>
      <c r="V44" s="294"/>
      <c r="W44" s="294"/>
      <c r="X44" s="294"/>
      <c r="Y44" s="366"/>
    </row>
    <row r="45" spans="1:26">
      <c r="A45" s="340"/>
      <c r="B45" s="366"/>
      <c r="C45" s="366"/>
      <c r="D45" s="273"/>
      <c r="E45" s="366"/>
      <c r="F45" s="366"/>
      <c r="G45" s="366"/>
      <c r="H45" s="512" t="s">
        <v>250</v>
      </c>
      <c r="I45" s="1263" t="s">
        <v>59</v>
      </c>
      <c r="J45" s="1264"/>
      <c r="K45" s="454">
        <v>107.9</v>
      </c>
      <c r="L45" s="302" t="s">
        <v>177</v>
      </c>
      <c r="M45" s="1" t="s">
        <v>397</v>
      </c>
      <c r="N45" s="751">
        <v>102.73</v>
      </c>
      <c r="O45" s="965"/>
      <c r="P45" s="902"/>
      <c r="Q45" s="145"/>
      <c r="R45" s="540"/>
      <c r="S45" s="366"/>
      <c r="T45" s="294"/>
      <c r="U45" s="86"/>
      <c r="V45" s="294"/>
      <c r="W45" s="366"/>
      <c r="X45" s="366"/>
      <c r="Y45" s="366"/>
    </row>
    <row r="46" spans="1:26">
      <c r="A46" s="340"/>
      <c r="B46" s="199"/>
      <c r="C46" s="199"/>
      <c r="D46" s="273"/>
      <c r="E46" s="199"/>
      <c r="F46" s="366"/>
      <c r="G46" s="366"/>
      <c r="H46" s="512" t="s">
        <v>250</v>
      </c>
      <c r="I46" s="1264" t="s">
        <v>68</v>
      </c>
      <c r="J46" s="1315"/>
      <c r="K46" s="1004">
        <v>344.02</v>
      </c>
      <c r="L46" s="294">
        <v>44185</v>
      </c>
      <c r="M46" s="1" t="s">
        <v>397</v>
      </c>
      <c r="N46" s="751">
        <f>K46/2</f>
        <v>172.01</v>
      </c>
      <c r="O46" s="447"/>
      <c r="P46" s="443"/>
      <c r="Q46" s="363"/>
      <c r="R46" s="1001"/>
      <c r="S46" s="366"/>
      <c r="T46" s="366"/>
      <c r="U46" s="294"/>
      <c r="V46" s="294"/>
      <c r="W46" s="294"/>
      <c r="X46" s="294"/>
      <c r="Y46" s="366"/>
    </row>
    <row r="47" spans="1:26">
      <c r="A47" s="340"/>
      <c r="B47" s="199"/>
      <c r="C47" s="366"/>
      <c r="D47" s="273"/>
      <c r="E47" s="199"/>
      <c r="F47" s="366"/>
      <c r="G47" s="366"/>
      <c r="H47" s="512" t="s">
        <v>250</v>
      </c>
      <c r="I47" s="1006" t="s">
        <v>174</v>
      </c>
      <c r="J47" s="1008"/>
      <c r="K47" s="475">
        <f>180.88+409.89</f>
        <v>590.77</v>
      </c>
      <c r="L47" s="282">
        <v>44180</v>
      </c>
      <c r="M47" s="1" t="s">
        <v>397</v>
      </c>
      <c r="N47" s="752">
        <f>K47</f>
        <v>590.77</v>
      </c>
      <c r="O47" s="12"/>
      <c r="P47" s="985"/>
      <c r="Q47" s="363"/>
      <c r="R47" s="365"/>
      <c r="S47" s="366"/>
      <c r="T47" s="294"/>
      <c r="U47" s="294"/>
      <c r="V47" s="294"/>
      <c r="W47" s="294"/>
      <c r="X47" s="294"/>
      <c r="Y47" s="366"/>
    </row>
    <row r="48" spans="1:26">
      <c r="A48" s="340"/>
      <c r="B48" s="199"/>
      <c r="C48" s="366"/>
      <c r="D48" s="273"/>
      <c r="E48" s="199"/>
      <c r="F48" s="366"/>
      <c r="G48" s="366"/>
      <c r="H48" s="993" t="s">
        <v>337</v>
      </c>
      <c r="I48" s="1006" t="s">
        <v>176</v>
      </c>
      <c r="J48" s="1008"/>
      <c r="K48" s="454" t="s">
        <v>356</v>
      </c>
      <c r="L48" s="294">
        <v>44185</v>
      </c>
      <c r="M48" s="1" t="s">
        <v>397</v>
      </c>
      <c r="N48" s="750" t="str">
        <f>K48</f>
        <v>НЕТ</v>
      </c>
      <c r="O48" s="447"/>
      <c r="P48" s="84"/>
      <c r="Q48" s="363"/>
      <c r="R48" s="365"/>
      <c r="S48" s="366"/>
      <c r="T48" s="294"/>
      <c r="U48" s="294"/>
      <c r="V48" s="294"/>
      <c r="W48" s="294"/>
      <c r="X48" s="294"/>
      <c r="Y48" s="366"/>
    </row>
    <row r="49" spans="1:25">
      <c r="A49" s="340"/>
      <c r="B49" s="199"/>
      <c r="C49" s="366"/>
      <c r="D49" s="273"/>
      <c r="E49" s="232"/>
      <c r="F49" s="366"/>
      <c r="G49" s="366"/>
      <c r="H49" s="512" t="s">
        <v>250</v>
      </c>
      <c r="I49" s="1264" t="s">
        <v>81</v>
      </c>
      <c r="J49" s="1265"/>
      <c r="K49" s="1004">
        <v>1518.8</v>
      </c>
      <c r="L49" s="282">
        <v>44180</v>
      </c>
      <c r="M49" s="1" t="s">
        <v>397</v>
      </c>
      <c r="N49" s="750">
        <f>K49/2</f>
        <v>759.4</v>
      </c>
      <c r="O49" s="145"/>
      <c r="P49" s="84"/>
      <c r="Q49" s="84"/>
      <c r="R49" s="84"/>
      <c r="S49" s="84"/>
      <c r="T49" s="294"/>
      <c r="U49" s="366"/>
      <c r="V49" s="294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250</v>
      </c>
      <c r="I50" s="1264" t="s">
        <v>181</v>
      </c>
      <c r="J50" s="1265"/>
      <c r="K50" s="1004">
        <v>10</v>
      </c>
      <c r="L50" s="282">
        <v>44180</v>
      </c>
      <c r="M50" s="1" t="s">
        <v>397</v>
      </c>
      <c r="N50" s="752">
        <f>K50</f>
        <v>10</v>
      </c>
      <c r="O50" s="127"/>
      <c r="P50" s="145"/>
      <c r="Q50" s="363"/>
      <c r="R50" s="366"/>
      <c r="S50" s="366"/>
      <c r="T50" s="294"/>
      <c r="U50" s="294"/>
      <c r="V50" s="366"/>
      <c r="W50" s="294"/>
      <c r="X50" s="294"/>
      <c r="Y50" s="366"/>
    </row>
    <row r="51" spans="1:25">
      <c r="A51" s="340" t="s">
        <v>314</v>
      </c>
      <c r="B51" s="199"/>
      <c r="C51" s="366"/>
      <c r="D51" s="273"/>
      <c r="E51" s="232"/>
      <c r="F51" s="366"/>
      <c r="G51" s="366"/>
      <c r="H51" s="512" t="s">
        <v>250</v>
      </c>
      <c r="I51" s="1145" t="s">
        <v>61</v>
      </c>
      <c r="J51" s="1145"/>
      <c r="K51" s="967">
        <v>788.34</v>
      </c>
      <c r="L51" s="294">
        <v>44185</v>
      </c>
      <c r="M51" s="1" t="s">
        <v>397</v>
      </c>
      <c r="N51" s="750"/>
      <c r="P51" s="84"/>
      <c r="Q51" s="365"/>
      <c r="R51" s="365"/>
      <c r="S51" s="366"/>
      <c r="T51" s="294"/>
      <c r="U51" s="294"/>
      <c r="V51" s="366"/>
      <c r="W51" s="294"/>
      <c r="X51" s="294"/>
      <c r="Y51" s="366"/>
    </row>
    <row r="52" spans="1:25">
      <c r="A52" s="340"/>
      <c r="B52" s="199"/>
      <c r="C52" s="366"/>
      <c r="D52" s="273"/>
      <c r="E52" s="232"/>
      <c r="F52" s="366"/>
      <c r="G52" s="366"/>
      <c r="H52" s="512" t="s">
        <v>250</v>
      </c>
      <c r="I52" s="1145" t="s">
        <v>274</v>
      </c>
      <c r="J52" s="1145"/>
      <c r="K52" s="1039">
        <f>224.1-147.3</f>
        <v>76.799999999999983</v>
      </c>
      <c r="L52" s="294">
        <v>44185</v>
      </c>
      <c r="M52" s="1" t="s">
        <v>397</v>
      </c>
      <c r="N52" s="749">
        <v>40</v>
      </c>
      <c r="P52" s="145"/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250</v>
      </c>
      <c r="I53" s="1145" t="s">
        <v>275</v>
      </c>
      <c r="J53" s="1145"/>
      <c r="K53" s="93">
        <v>50</v>
      </c>
      <c r="L53" s="282">
        <v>44180</v>
      </c>
      <c r="M53" s="1" t="s">
        <v>397</v>
      </c>
      <c r="N53" s="750">
        <v>50</v>
      </c>
      <c r="P53" s="145"/>
      <c r="Q53" s="273"/>
      <c r="R53" s="365"/>
      <c r="S53" s="366"/>
      <c r="T53" s="294"/>
      <c r="U53" s="294"/>
      <c r="V53" s="366"/>
      <c r="W53" s="294"/>
      <c r="X53" s="294"/>
      <c r="Y53" s="366"/>
    </row>
    <row r="54" spans="1:25">
      <c r="A54" s="340"/>
      <c r="B54" s="199"/>
      <c r="C54" s="366"/>
      <c r="D54" s="273"/>
      <c r="E54" s="232"/>
      <c r="F54" s="366"/>
      <c r="G54" s="366"/>
      <c r="H54" s="512" t="s">
        <v>250</v>
      </c>
      <c r="I54" s="1145" t="s">
        <v>276</v>
      </c>
      <c r="J54" s="1145"/>
      <c r="K54" s="93">
        <v>150</v>
      </c>
      <c r="L54" s="282">
        <v>44195</v>
      </c>
      <c r="M54" s="1" t="s">
        <v>397</v>
      </c>
      <c r="N54" s="750">
        <v>150</v>
      </c>
      <c r="O54" s="12"/>
      <c r="P54" s="145"/>
      <c r="Q54" s="365"/>
      <c r="R54" s="365"/>
      <c r="S54" s="366"/>
      <c r="T54" s="294"/>
      <c r="U54" s="294"/>
      <c r="V54" s="366"/>
      <c r="W54" s="294"/>
      <c r="X54" s="294"/>
      <c r="Y54" s="366"/>
    </row>
    <row r="55" spans="1:25">
      <c r="A55" s="340"/>
      <c r="B55" s="199"/>
      <c r="C55" s="366"/>
      <c r="D55" s="273"/>
      <c r="E55" s="232"/>
      <c r="F55" s="366"/>
      <c r="G55" s="366"/>
      <c r="H55" s="512" t="s">
        <v>250</v>
      </c>
      <c r="I55" s="1145" t="s">
        <v>296</v>
      </c>
      <c r="J55" s="1145"/>
      <c r="K55" s="93">
        <v>18</v>
      </c>
      <c r="L55" s="282">
        <v>44180</v>
      </c>
      <c r="M55" s="1" t="s">
        <v>397</v>
      </c>
      <c r="N55" s="751">
        <v>9</v>
      </c>
      <c r="O55" s="150"/>
      <c r="P55" s="145"/>
      <c r="Q55" s="365"/>
      <c r="R55" s="365"/>
      <c r="S55" s="366"/>
      <c r="T55" s="294"/>
      <c r="U55" s="294"/>
      <c r="V55" s="366"/>
      <c r="W55" s="294"/>
      <c r="X55" s="294"/>
      <c r="Y55" s="366"/>
    </row>
    <row r="56" spans="1:25">
      <c r="A56" s="340"/>
      <c r="B56" s="199"/>
      <c r="C56" s="366"/>
      <c r="D56" s="273"/>
      <c r="E56" s="232"/>
      <c r="F56" s="366"/>
      <c r="G56" s="366"/>
      <c r="H56" s="512" t="s">
        <v>250</v>
      </c>
      <c r="I56" s="1143" t="s">
        <v>345</v>
      </c>
      <c r="J56" s="1144"/>
      <c r="K56" s="145">
        <v>772.15</v>
      </c>
      <c r="L56" s="282">
        <v>44195</v>
      </c>
      <c r="M56" s="1" t="s">
        <v>397</v>
      </c>
      <c r="N56" s="771">
        <f>K56</f>
        <v>772.15</v>
      </c>
      <c r="O56" s="150"/>
      <c r="P56" s="145"/>
      <c r="Q56" s="365"/>
      <c r="R56" s="365"/>
      <c r="S56" s="366"/>
      <c r="T56" s="294"/>
      <c r="U56" s="294"/>
      <c r="V56" s="366"/>
      <c r="W56" s="294"/>
      <c r="X56" s="294"/>
      <c r="Y56" s="366"/>
    </row>
    <row r="57" spans="1:25" ht="15.75" thickBot="1">
      <c r="A57" s="341"/>
      <c r="B57" s="330"/>
      <c r="C57" s="331"/>
      <c r="D57" s="342"/>
      <c r="E57" s="330"/>
      <c r="F57" s="331"/>
      <c r="G57" s="331"/>
      <c r="H57" s="1300" t="s">
        <v>179</v>
      </c>
      <c r="I57" s="1281"/>
      <c r="J57" s="361">
        <f>SUM(K41:K56)</f>
        <v>5158.1099999999997</v>
      </c>
      <c r="K57" s="1146" t="s">
        <v>180</v>
      </c>
      <c r="L57" s="1146"/>
      <c r="M57" s="746">
        <v>0</v>
      </c>
      <c r="N57" s="753">
        <f>SUM(N41:N56)</f>
        <v>3031.06</v>
      </c>
      <c r="P57" s="145"/>
      <c r="Q57" s="365"/>
      <c r="R57" s="366"/>
      <c r="S57" s="366"/>
      <c r="T57" s="294"/>
      <c r="U57" s="366"/>
      <c r="V57" s="366"/>
      <c r="W57" s="366"/>
      <c r="X57" s="366"/>
      <c r="Y57" s="366"/>
    </row>
    <row r="58" spans="1:25" ht="15.75" thickTop="1">
      <c r="A58" s="366"/>
      <c r="B58" s="366"/>
      <c r="C58" s="366"/>
      <c r="D58" s="366"/>
      <c r="E58" s="366"/>
      <c r="F58" s="366"/>
      <c r="G58" s="366"/>
      <c r="H58" s="1162"/>
      <c r="I58" s="1162"/>
      <c r="J58" s="1162"/>
      <c r="K58" s="1162"/>
      <c r="L58" s="366"/>
      <c r="M58" s="441"/>
      <c r="N58" s="1"/>
      <c r="P58" s="145"/>
      <c r="Q58" s="365"/>
      <c r="R58" s="366"/>
      <c r="S58" s="366"/>
      <c r="T58" s="366"/>
      <c r="U58" s="366"/>
      <c r="V58" s="366"/>
      <c r="W58" s="366"/>
      <c r="X58" s="366"/>
      <c r="Y58" s="366"/>
    </row>
    <row r="59" spans="1:25" ht="15" customHeight="1">
      <c r="A59" s="1163" t="s">
        <v>412</v>
      </c>
      <c r="B59" s="1163"/>
      <c r="C59" s="1163"/>
      <c r="D59" s="1163"/>
      <c r="E59" s="1163"/>
      <c r="F59" s="1163"/>
      <c r="G59" s="1163"/>
      <c r="H59" s="1163"/>
      <c r="I59" s="1163"/>
      <c r="J59" s="1163"/>
      <c r="K59" s="1163"/>
      <c r="L59" s="1163"/>
      <c r="M59" s="1163"/>
      <c r="N59" s="1"/>
      <c r="O59" s="150"/>
      <c r="P59" s="145"/>
      <c r="Q59" s="365"/>
      <c r="R59" s="366"/>
      <c r="S59" s="366"/>
      <c r="T59" s="366"/>
      <c r="U59" s="366"/>
      <c r="V59" s="366"/>
      <c r="W59" s="366"/>
      <c r="X59" s="366"/>
    </row>
    <row r="60" spans="1:25" ht="15.75" customHeight="1" thickBot="1">
      <c r="A60" s="1164"/>
      <c r="B60" s="1164"/>
      <c r="C60" s="1164"/>
      <c r="D60" s="1164"/>
      <c r="E60" s="1164"/>
      <c r="F60" s="1164"/>
      <c r="G60" s="1164"/>
      <c r="H60" s="1164"/>
      <c r="I60" s="1164"/>
      <c r="J60" s="1164"/>
      <c r="K60" s="1164"/>
      <c r="L60" s="1164"/>
      <c r="M60" s="1164"/>
      <c r="N60" s="1"/>
      <c r="P60" s="145"/>
      <c r="Q60" s="365"/>
      <c r="R60" s="365"/>
      <c r="S60" s="1001"/>
      <c r="T60" s="366"/>
      <c r="U60" s="366"/>
      <c r="V60" s="366"/>
      <c r="W60" s="366"/>
      <c r="X60" s="366"/>
    </row>
    <row r="61" spans="1:25" ht="15.75" thickTop="1">
      <c r="A61" s="1266" t="s">
        <v>317</v>
      </c>
      <c r="B61" s="1166"/>
      <c r="C61" s="1166"/>
      <c r="D61" s="1166"/>
      <c r="E61" s="1166"/>
      <c r="F61" s="1166"/>
      <c r="G61" s="1167"/>
      <c r="H61" s="1282" t="s">
        <v>316</v>
      </c>
      <c r="I61" s="1283"/>
      <c r="J61" s="1283"/>
      <c r="K61" s="1283"/>
      <c r="L61" s="1283"/>
      <c r="M61" s="1284"/>
      <c r="N61" s="1"/>
      <c r="P61" s="84"/>
      <c r="Q61" s="366"/>
      <c r="S61" s="274"/>
      <c r="T61" s="366"/>
      <c r="U61" s="366"/>
      <c r="V61" s="366"/>
      <c r="W61" s="366"/>
      <c r="X61" s="366"/>
    </row>
    <row r="62" spans="1:25">
      <c r="A62" s="324" t="s">
        <v>2</v>
      </c>
      <c r="B62" s="998" t="s">
        <v>34</v>
      </c>
      <c r="C62" s="36" t="s">
        <v>35</v>
      </c>
      <c r="D62" s="36" t="s">
        <v>38</v>
      </c>
      <c r="E62" s="36" t="s">
        <v>42</v>
      </c>
      <c r="F62" s="998" t="s">
        <v>36</v>
      </c>
      <c r="G62" s="100" t="s">
        <v>173</v>
      </c>
      <c r="H62" s="676" t="s">
        <v>2</v>
      </c>
      <c r="I62" s="1285" t="s">
        <v>34</v>
      </c>
      <c r="J62" s="1285"/>
      <c r="K62" s="1005" t="s">
        <v>35</v>
      </c>
      <c r="L62" s="1286" t="s">
        <v>173</v>
      </c>
      <c r="M62" s="1287"/>
      <c r="N62" s="1"/>
      <c r="P62" s="448"/>
      <c r="Q62" s="366"/>
      <c r="S62" s="274"/>
      <c r="T62" s="366"/>
      <c r="U62" s="366"/>
      <c r="V62" s="366"/>
      <c r="W62" s="366"/>
      <c r="X62" s="366"/>
    </row>
    <row r="63" spans="1:25">
      <c r="A63" s="325">
        <v>44166</v>
      </c>
      <c r="B63" s="161" t="s">
        <v>307</v>
      </c>
      <c r="C63" s="275">
        <v>266.51</v>
      </c>
      <c r="D63" s="275">
        <v>266.51</v>
      </c>
      <c r="E63" s="542" t="str">
        <f>IF(C63-D63=0,"",C63-D63)</f>
        <v/>
      </c>
      <c r="F63" s="162" t="str">
        <f t="shared" ref="F63:F78" si="4">IF(C63=0,"",IF(C63-D63=0,"оплачено","ОЖИДАЕТСЯ оплата"))</f>
        <v>оплачено</v>
      </c>
      <c r="G63" s="162"/>
      <c r="H63" s="325"/>
      <c r="I63" s="1288"/>
      <c r="J63" s="1289"/>
      <c r="K63" s="480"/>
      <c r="L63" s="1293"/>
      <c r="M63" s="1294"/>
      <c r="N63" s="1"/>
      <c r="P63" s="448"/>
      <c r="Q63" s="366"/>
      <c r="S63" s="366"/>
      <c r="T63" s="84"/>
      <c r="U63" s="366"/>
      <c r="W63" s="366"/>
      <c r="X63" s="366"/>
    </row>
    <row r="64" spans="1:25">
      <c r="A64" s="325">
        <v>44167</v>
      </c>
      <c r="B64" s="161" t="s">
        <v>414</v>
      </c>
      <c r="C64" s="275">
        <v>624.66999999999996</v>
      </c>
      <c r="D64" s="275">
        <v>624.66999999999996</v>
      </c>
      <c r="E64" s="542" t="str">
        <f t="shared" ref="E64:E78" si="5">IF(C64-D64=0,"",C64-D64)</f>
        <v/>
      </c>
      <c r="F64" s="162" t="str">
        <f t="shared" si="4"/>
        <v>оплачено</v>
      </c>
      <c r="G64" s="162"/>
      <c r="H64" s="678"/>
      <c r="I64" s="1288"/>
      <c r="J64" s="1289"/>
      <c r="K64" s="480"/>
      <c r="L64" s="1293"/>
      <c r="M64" s="1294"/>
      <c r="N64" s="1"/>
      <c r="P64" s="448"/>
      <c r="Q64" s="366"/>
      <c r="S64" s="366"/>
      <c r="T64" s="366"/>
      <c r="U64" s="366"/>
      <c r="W64" s="366"/>
      <c r="X64" s="366"/>
    </row>
    <row r="65" spans="1:21">
      <c r="A65" s="325">
        <v>44167</v>
      </c>
      <c r="B65" s="161" t="s">
        <v>257</v>
      </c>
      <c r="C65" s="275">
        <v>587.49</v>
      </c>
      <c r="D65" s="275">
        <v>587.49</v>
      </c>
      <c r="E65" s="634" t="str">
        <f t="shared" si="5"/>
        <v/>
      </c>
      <c r="F65" s="162" t="str">
        <f t="shared" si="4"/>
        <v>оплачено</v>
      </c>
      <c r="G65" s="162"/>
      <c r="H65" s="678"/>
      <c r="I65" s="1288"/>
      <c r="J65" s="1289"/>
      <c r="K65" s="480"/>
      <c r="L65" s="1290"/>
      <c r="M65" s="1291"/>
      <c r="N65" s="1"/>
      <c r="P65" s="448"/>
      <c r="T65" s="366"/>
      <c r="U65" s="366"/>
    </row>
    <row r="66" spans="1:21">
      <c r="A66" s="325">
        <v>44166</v>
      </c>
      <c r="B66" s="161" t="s">
        <v>353</v>
      </c>
      <c r="C66" s="275">
        <v>448.92</v>
      </c>
      <c r="D66" s="275">
        <v>448.92</v>
      </c>
      <c r="E66" s="634" t="str">
        <f t="shared" si="5"/>
        <v/>
      </c>
      <c r="F66" s="161" t="str">
        <f t="shared" si="4"/>
        <v>оплачено</v>
      </c>
      <c r="G66" s="161"/>
      <c r="H66" s="678"/>
      <c r="I66" s="1288"/>
      <c r="J66" s="1289"/>
      <c r="K66" s="480"/>
      <c r="L66" s="1290"/>
      <c r="M66" s="1291"/>
      <c r="N66" s="1"/>
      <c r="P66" s="448"/>
      <c r="U66" s="366"/>
    </row>
    <row r="67" spans="1:21">
      <c r="A67" s="325">
        <v>44173</v>
      </c>
      <c r="B67" s="161" t="s">
        <v>257</v>
      </c>
      <c r="C67" s="513">
        <v>453.58</v>
      </c>
      <c r="D67" s="513">
        <v>453.58</v>
      </c>
      <c r="E67" s="634" t="str">
        <f t="shared" si="5"/>
        <v/>
      </c>
      <c r="F67" s="162" t="str">
        <f t="shared" si="4"/>
        <v>оплачено</v>
      </c>
      <c r="G67" s="162"/>
      <c r="H67" s="678"/>
      <c r="I67" s="1324"/>
      <c r="J67" s="1289"/>
      <c r="K67" s="480"/>
      <c r="L67" s="1290"/>
      <c r="M67" s="1291"/>
      <c r="N67" s="1"/>
      <c r="O67" s="150"/>
      <c r="P67" s="541"/>
      <c r="U67" s="366"/>
    </row>
    <row r="68" spans="1:21">
      <c r="A68" s="325">
        <v>44180</v>
      </c>
      <c r="B68" s="161" t="s">
        <v>334</v>
      </c>
      <c r="C68" s="275">
        <v>75</v>
      </c>
      <c r="D68" s="275">
        <v>75</v>
      </c>
      <c r="E68" s="634" t="str">
        <f t="shared" si="5"/>
        <v/>
      </c>
      <c r="F68" s="162" t="str">
        <f t="shared" si="4"/>
        <v>оплачено</v>
      </c>
      <c r="G68" s="162"/>
      <c r="H68" s="678"/>
      <c r="I68" s="1288"/>
      <c r="J68" s="1289"/>
      <c r="K68" s="480"/>
      <c r="L68" s="1290"/>
      <c r="M68" s="1291"/>
      <c r="N68" s="1"/>
      <c r="O68" s="150"/>
      <c r="P68" s="86"/>
      <c r="U68" s="366"/>
    </row>
    <row r="69" spans="1:21" ht="14.45" customHeight="1">
      <c r="A69" s="325">
        <v>44179</v>
      </c>
      <c r="B69" s="161" t="s">
        <v>307</v>
      </c>
      <c r="C69" s="911">
        <v>324.26</v>
      </c>
      <c r="D69" s="911">
        <v>324.26</v>
      </c>
      <c r="E69" s="634" t="str">
        <f>IF(C69-D69=0,"",C69-D69)</f>
        <v/>
      </c>
      <c r="F69" s="162" t="str">
        <f>IF(C69=0,"",IF(C69-D69=0,"оплачено","ОЖИДАЕТСЯ оплата"))</f>
        <v>оплачено</v>
      </c>
      <c r="G69" s="162"/>
      <c r="H69" s="678"/>
      <c r="I69" s="1288"/>
      <c r="J69" s="1289"/>
      <c r="K69" s="480"/>
      <c r="L69" s="1191"/>
      <c r="M69" s="1292"/>
      <c r="N69" s="1"/>
      <c r="O69" s="150"/>
      <c r="P69" s="86"/>
    </row>
    <row r="70" spans="1:21" ht="14.45" customHeight="1">
      <c r="A70" s="325">
        <v>44180</v>
      </c>
      <c r="B70" s="161" t="s">
        <v>31</v>
      </c>
      <c r="C70" s="275">
        <v>1119.01</v>
      </c>
      <c r="D70" s="275">
        <v>1119.01</v>
      </c>
      <c r="E70" s="634" t="str">
        <f>IF(C70-D70=0,"",C70-D70)</f>
        <v/>
      </c>
      <c r="F70" s="162" t="str">
        <f>IF(C70=0,"",IF(C70-D70=0,"оплачено","ОЖИДАЕТСЯ оплата"))</f>
        <v>оплачено</v>
      </c>
      <c r="G70" s="162"/>
      <c r="H70" s="678" t="str">
        <f t="shared" ref="H70:I78" si="6">IF(S11="","",S11)</f>
        <v/>
      </c>
      <c r="I70" s="1288"/>
      <c r="J70" s="1289"/>
      <c r="K70" s="480"/>
      <c r="L70" s="1191"/>
      <c r="M70" s="1292"/>
      <c r="N70" s="1"/>
    </row>
    <row r="71" spans="1:21" ht="14.45" customHeight="1">
      <c r="A71" s="325">
        <v>44180</v>
      </c>
      <c r="B71" s="161" t="s">
        <v>257</v>
      </c>
      <c r="C71" s="275">
        <v>308.89999999999998</v>
      </c>
      <c r="D71" s="275">
        <v>308.89999999999998</v>
      </c>
      <c r="E71" s="634" t="str">
        <f t="shared" si="5"/>
        <v/>
      </c>
      <c r="F71" s="162" t="str">
        <f t="shared" si="4"/>
        <v>оплачено</v>
      </c>
      <c r="G71" s="162"/>
      <c r="H71" s="678" t="str">
        <f t="shared" si="6"/>
        <v/>
      </c>
      <c r="I71" s="1288" t="str">
        <f t="shared" si="6"/>
        <v/>
      </c>
      <c r="J71" s="1289"/>
      <c r="K71" s="480" t="str">
        <f t="shared" ref="K71:K78" si="7">IF(U12="","",U12)</f>
        <v/>
      </c>
      <c r="L71" s="1191"/>
      <c r="M71" s="1292"/>
      <c r="N71" s="1"/>
      <c r="O71" s="366"/>
    </row>
    <row r="72" spans="1:21">
      <c r="A72" s="325">
        <v>44180</v>
      </c>
      <c r="B72" s="161" t="s">
        <v>353</v>
      </c>
      <c r="C72" s="275">
        <v>261.79000000000002</v>
      </c>
      <c r="D72" s="275">
        <v>261.79000000000002</v>
      </c>
      <c r="E72" s="634" t="str">
        <f t="shared" si="5"/>
        <v/>
      </c>
      <c r="F72" s="162" t="str">
        <f t="shared" si="4"/>
        <v>оплачено</v>
      </c>
      <c r="G72" s="162"/>
      <c r="H72" s="678" t="str">
        <f t="shared" si="6"/>
        <v/>
      </c>
      <c r="I72" s="1288" t="str">
        <f t="shared" si="6"/>
        <v/>
      </c>
      <c r="J72" s="1289"/>
      <c r="K72" s="480" t="str">
        <f t="shared" si="7"/>
        <v/>
      </c>
      <c r="L72" s="1191"/>
      <c r="M72" s="1292"/>
      <c r="N72" s="1"/>
      <c r="O72" s="366"/>
    </row>
    <row r="73" spans="1:21" s="86" customFormat="1">
      <c r="A73" s="325">
        <v>44186</v>
      </c>
      <c r="B73" s="161" t="s">
        <v>418</v>
      </c>
      <c r="C73" s="275">
        <v>298.73</v>
      </c>
      <c r="D73" s="275">
        <v>298.73</v>
      </c>
      <c r="E73" s="634" t="str">
        <f t="shared" si="5"/>
        <v/>
      </c>
      <c r="F73" s="162" t="str">
        <f t="shared" si="4"/>
        <v>оплачено</v>
      </c>
      <c r="G73" s="162"/>
      <c r="H73" s="678" t="str">
        <f t="shared" si="6"/>
        <v/>
      </c>
      <c r="I73" s="1288" t="str">
        <f t="shared" si="6"/>
        <v/>
      </c>
      <c r="J73" s="1289"/>
      <c r="K73" s="480" t="str">
        <f t="shared" si="7"/>
        <v/>
      </c>
      <c r="L73" s="1290"/>
      <c r="M73" s="1291"/>
      <c r="N73" s="366"/>
      <c r="O73" s="84"/>
      <c r="P73" s="1"/>
      <c r="Q73" s="35"/>
      <c r="T73" s="35"/>
      <c r="U73" s="35"/>
    </row>
    <row r="74" spans="1:21">
      <c r="A74" s="325">
        <v>44189</v>
      </c>
      <c r="B74" s="161" t="s">
        <v>31</v>
      </c>
      <c r="C74" s="275">
        <v>509.87</v>
      </c>
      <c r="D74" s="275">
        <v>509.87</v>
      </c>
      <c r="E74" s="634" t="str">
        <f t="shared" si="5"/>
        <v/>
      </c>
      <c r="F74" s="162" t="str">
        <f t="shared" si="4"/>
        <v>оплачено</v>
      </c>
      <c r="G74" s="162"/>
      <c r="H74" s="678" t="str">
        <f t="shared" si="6"/>
        <v/>
      </c>
      <c r="I74" s="1288" t="str">
        <f t="shared" si="6"/>
        <v/>
      </c>
      <c r="J74" s="1289"/>
      <c r="K74" s="480" t="str">
        <f t="shared" si="7"/>
        <v/>
      </c>
      <c r="L74" s="1191"/>
      <c r="M74" s="1292"/>
      <c r="N74" s="150"/>
      <c r="O74" s="366"/>
      <c r="P74" s="1"/>
      <c r="T74" s="86"/>
    </row>
    <row r="75" spans="1:21">
      <c r="A75" s="325">
        <v>44186</v>
      </c>
      <c r="B75" s="161" t="s">
        <v>419</v>
      </c>
      <c r="C75" s="275">
        <v>69.900000000000006</v>
      </c>
      <c r="D75" s="275">
        <v>69.900000000000006</v>
      </c>
      <c r="E75" s="634" t="str">
        <f>IF(C75-D75=0,"",C75-D75)</f>
        <v/>
      </c>
      <c r="F75" s="162" t="str">
        <f>IF(C75=0,"",IF(C75-D75=0,"оплачено","ОЖИДАЕТСЯ оплата"))</f>
        <v>оплачено</v>
      </c>
      <c r="G75" s="162"/>
      <c r="H75" s="678" t="str">
        <f t="shared" si="6"/>
        <v/>
      </c>
      <c r="I75" s="1288" t="str">
        <f t="shared" si="6"/>
        <v/>
      </c>
      <c r="J75" s="1289"/>
      <c r="K75" s="480" t="str">
        <f t="shared" si="7"/>
        <v/>
      </c>
      <c r="L75" s="1191"/>
      <c r="M75" s="1292"/>
      <c r="N75" s="1"/>
      <c r="O75" s="84"/>
      <c r="P75" s="366"/>
    </row>
    <row r="76" spans="1:21">
      <c r="A76" s="325">
        <v>44194</v>
      </c>
      <c r="B76" s="161" t="s">
        <v>399</v>
      </c>
      <c r="C76" s="275">
        <v>395.78</v>
      </c>
      <c r="D76" s="275">
        <v>395.78</v>
      </c>
      <c r="E76" s="542" t="str">
        <f t="shared" si="5"/>
        <v/>
      </c>
      <c r="F76" s="162" t="str">
        <f t="shared" si="4"/>
        <v>оплачено</v>
      </c>
      <c r="G76" s="162"/>
      <c r="H76" s="678" t="str">
        <f t="shared" si="6"/>
        <v/>
      </c>
      <c r="I76" s="1288" t="str">
        <f t="shared" si="6"/>
        <v/>
      </c>
      <c r="J76" s="1289"/>
      <c r="K76" s="480" t="str">
        <f t="shared" si="7"/>
        <v/>
      </c>
      <c r="L76" s="1191"/>
      <c r="M76" s="1292"/>
      <c r="N76" s="1"/>
      <c r="O76" s="84"/>
      <c r="P76" s="150"/>
    </row>
    <row r="77" spans="1:21">
      <c r="A77" s="325"/>
      <c r="B77" s="161"/>
      <c r="C77" s="275"/>
      <c r="D77" s="275"/>
      <c r="E77" s="542" t="str">
        <f t="shared" si="5"/>
        <v/>
      </c>
      <c r="F77" s="162" t="str">
        <f t="shared" si="4"/>
        <v/>
      </c>
      <c r="G77" s="162"/>
      <c r="H77" s="678" t="str">
        <f t="shared" si="6"/>
        <v/>
      </c>
      <c r="I77" s="1288" t="str">
        <f t="shared" si="6"/>
        <v/>
      </c>
      <c r="J77" s="1289"/>
      <c r="K77" s="480" t="str">
        <f t="shared" si="7"/>
        <v/>
      </c>
      <c r="L77" s="1191"/>
      <c r="M77" s="1292"/>
      <c r="N77" s="1"/>
      <c r="O77" s="366"/>
      <c r="P77" s="1"/>
      <c r="Q77" s="86"/>
    </row>
    <row r="78" spans="1:21">
      <c r="A78" s="325"/>
      <c r="B78" s="161"/>
      <c r="C78" s="275"/>
      <c r="D78" s="275"/>
      <c r="E78" s="542" t="str">
        <f t="shared" si="5"/>
        <v/>
      </c>
      <c r="F78" s="162" t="str">
        <f t="shared" si="4"/>
        <v/>
      </c>
      <c r="G78" s="162"/>
      <c r="H78" s="678" t="str">
        <f t="shared" si="6"/>
        <v/>
      </c>
      <c r="I78" s="1288" t="str">
        <f t="shared" si="6"/>
        <v/>
      </c>
      <c r="J78" s="1289"/>
      <c r="K78" s="480" t="str">
        <f t="shared" si="7"/>
        <v/>
      </c>
      <c r="L78" s="1191"/>
      <c r="M78" s="1292"/>
      <c r="N78" s="1"/>
      <c r="O78" s="84"/>
    </row>
    <row r="79" spans="1:21" ht="15.75" thickBot="1">
      <c r="A79" s="1272" t="s">
        <v>259</v>
      </c>
      <c r="B79" s="1273"/>
      <c r="C79" s="358">
        <f>SUM(C63:C78)</f>
        <v>5744.41</v>
      </c>
      <c r="D79" s="358"/>
      <c r="E79" s="542">
        <f>SUM(E63:E78)</f>
        <v>0</v>
      </c>
      <c r="F79" s="162"/>
      <c r="G79" s="450"/>
      <c r="H79" s="1295" t="s">
        <v>259</v>
      </c>
      <c r="I79" s="1296"/>
      <c r="J79" s="1297"/>
      <c r="K79" s="677">
        <f>SUM(K63:K78)</f>
        <v>0</v>
      </c>
      <c r="L79" s="1298"/>
      <c r="M79" s="1299"/>
      <c r="N79" s="1"/>
      <c r="O79" s="366"/>
      <c r="P79" s="84"/>
      <c r="U79" s="86"/>
    </row>
    <row r="80" spans="1:21" ht="15.75" thickTop="1">
      <c r="A80" s="351"/>
      <c r="B80" s="352"/>
      <c r="C80" s="353"/>
      <c r="D80" s="353"/>
      <c r="E80" s="354"/>
      <c r="F80" s="352"/>
      <c r="G80" s="376"/>
      <c r="H80" s="1171" t="s">
        <v>16</v>
      </c>
      <c r="I80" s="1173" t="s">
        <v>17</v>
      </c>
      <c r="J80" s="1173" t="s">
        <v>21</v>
      </c>
      <c r="K80" s="1173"/>
      <c r="L80" s="1175" t="s">
        <v>93</v>
      </c>
      <c r="M80" s="1177" t="s">
        <v>95</v>
      </c>
      <c r="N80" s="1"/>
      <c r="O80" s="84"/>
      <c r="P80" s="84"/>
    </row>
    <row r="81" spans="1:22" ht="24">
      <c r="A81" s="355"/>
      <c r="B81" s="201"/>
      <c r="C81" s="201"/>
      <c r="D81" s="201"/>
      <c r="E81" s="216"/>
      <c r="F81" s="201"/>
      <c r="G81" s="201"/>
      <c r="H81" s="1172"/>
      <c r="I81" s="1174"/>
      <c r="J81" s="1002" t="s">
        <v>21</v>
      </c>
      <c r="K81" s="1002" t="s">
        <v>25</v>
      </c>
      <c r="L81" s="1176"/>
      <c r="M81" s="1178"/>
      <c r="N81" s="1"/>
      <c r="O81" s="366"/>
      <c r="P81" s="84"/>
    </row>
    <row r="82" spans="1:22">
      <c r="A82" s="338"/>
      <c r="B82" s="199"/>
      <c r="C82" s="288"/>
      <c r="D82" s="232"/>
      <c r="E82" s="84"/>
      <c r="F82" s="199"/>
      <c r="G82" s="199"/>
      <c r="H82" s="347" t="s">
        <v>163</v>
      </c>
      <c r="I82" s="94">
        <v>2420.3999999999996</v>
      </c>
      <c r="J82" s="94">
        <v>115.5</v>
      </c>
      <c r="K82" s="1003">
        <v>132.61000000000001</v>
      </c>
      <c r="L82" s="96">
        <v>22665.5</v>
      </c>
      <c r="M82" s="104">
        <f>L82-I82-J82-K82</f>
        <v>19996.989999999998</v>
      </c>
      <c r="N82" s="150"/>
      <c r="O82" s="448"/>
      <c r="P82" s="439"/>
      <c r="R82" s="86"/>
    </row>
    <row r="83" spans="1:22">
      <c r="A83" s="339"/>
      <c r="B83" s="199"/>
      <c r="C83" s="199"/>
      <c r="D83" s="273"/>
      <c r="E83" s="366"/>
      <c r="F83" s="84"/>
      <c r="G83" s="366"/>
      <c r="H83" s="347" t="s">
        <v>192</v>
      </c>
      <c r="I83" s="94">
        <v>7629.69</v>
      </c>
      <c r="J83" s="94">
        <v>352.29</v>
      </c>
      <c r="K83" s="94">
        <v>193.85000000000002</v>
      </c>
      <c r="L83" s="96">
        <v>10342</v>
      </c>
      <c r="M83" s="104">
        <f>M82-I83-J83-K83+L83</f>
        <v>22163.159999999996</v>
      </c>
      <c r="N83" s="1"/>
      <c r="O83" s="448"/>
      <c r="P83" s="439"/>
      <c r="R83" s="86"/>
    </row>
    <row r="84" spans="1:22">
      <c r="A84" s="339"/>
      <c r="B84" s="366"/>
      <c r="C84" s="199"/>
      <c r="D84" s="273"/>
      <c r="E84" s="366"/>
      <c r="F84" s="366"/>
      <c r="G84" s="366"/>
      <c r="H84" s="347" t="s">
        <v>199</v>
      </c>
      <c r="I84" s="298">
        <v>8423.6400000000012</v>
      </c>
      <c r="J84" s="94">
        <v>921.3</v>
      </c>
      <c r="K84" s="299">
        <v>312.46000000000004</v>
      </c>
      <c r="L84" s="299">
        <v>16668</v>
      </c>
      <c r="M84" s="104">
        <f>M83-I84-J84-K84+L84</f>
        <v>29173.759999999995</v>
      </c>
      <c r="N84" s="1"/>
      <c r="O84" s="448"/>
      <c r="P84" s="436"/>
      <c r="R84" s="86"/>
    </row>
    <row r="85" spans="1:22">
      <c r="A85" s="339"/>
      <c r="B85" s="1"/>
      <c r="C85" s="284"/>
      <c r="D85" s="273"/>
      <c r="E85" s="366"/>
      <c r="F85" s="366"/>
      <c r="G85" s="84"/>
      <c r="H85" s="347" t="s">
        <v>209</v>
      </c>
      <c r="I85" s="299">
        <v>8639.7199999999993</v>
      </c>
      <c r="J85" s="300">
        <v>749.49</v>
      </c>
      <c r="K85" s="526">
        <v>435.1</v>
      </c>
      <c r="L85" s="299">
        <v>17824.919999999998</v>
      </c>
      <c r="M85" s="104">
        <f>M84-I85-J85-K85+L85</f>
        <v>37174.369999999995</v>
      </c>
      <c r="N85" s="366"/>
      <c r="O85" s="448"/>
      <c r="P85" s="436"/>
      <c r="R85" s="86"/>
    </row>
    <row r="86" spans="1:22">
      <c r="A86" s="339"/>
      <c r="B86" s="199"/>
      <c r="C86" s="1"/>
      <c r="D86" s="273"/>
      <c r="E86" s="366"/>
      <c r="F86" s="366"/>
      <c r="G86" s="366"/>
      <c r="H86" s="348" t="s">
        <v>210</v>
      </c>
      <c r="I86" s="300">
        <v>12605.26</v>
      </c>
      <c r="J86" s="299">
        <v>600.5</v>
      </c>
      <c r="K86" s="300">
        <v>491.64</v>
      </c>
      <c r="L86" s="299">
        <v>15183.9</v>
      </c>
      <c r="M86" s="104">
        <v>36025.39</v>
      </c>
      <c r="N86" s="436"/>
      <c r="O86" s="145"/>
      <c r="P86" s="437"/>
      <c r="Q86" s="86"/>
      <c r="R86" s="86"/>
    </row>
    <row r="87" spans="1:22">
      <c r="A87" s="339"/>
      <c r="B87" s="199"/>
      <c r="C87" s="1"/>
      <c r="D87" s="273"/>
      <c r="E87" s="366"/>
      <c r="F87" s="366"/>
      <c r="G87" s="366"/>
      <c r="H87" s="379" t="s">
        <v>211</v>
      </c>
      <c r="I87" s="689">
        <v>11425.189999999999</v>
      </c>
      <c r="J87" s="438">
        <v>232.2</v>
      </c>
      <c r="K87" s="694">
        <v>262</v>
      </c>
      <c r="L87" s="606">
        <v>11864.4</v>
      </c>
      <c r="M87" s="104">
        <f>M86-I87-J87-K87+L87</f>
        <v>35970.400000000001</v>
      </c>
      <c r="N87" s="1"/>
      <c r="O87" s="366"/>
      <c r="P87" s="437"/>
      <c r="Q87" s="86"/>
      <c r="R87" s="86"/>
      <c r="V87" s="1"/>
    </row>
    <row r="88" spans="1:22">
      <c r="A88" s="339"/>
      <c r="B88" s="199"/>
      <c r="C88" s="1"/>
      <c r="D88" s="273"/>
      <c r="E88" s="366"/>
      <c r="F88" s="366"/>
      <c r="G88" s="366"/>
      <c r="H88" s="347" t="s">
        <v>9</v>
      </c>
      <c r="I88" s="689">
        <v>13612.520000000002</v>
      </c>
      <c r="J88" s="438">
        <f>19+42+25.5+33+4+25+7.5+18+170+1+9+37.5+2+1.4</f>
        <v>394.9</v>
      </c>
      <c r="K88" s="694">
        <f>112.8+296.38+33.5</f>
        <v>442.68</v>
      </c>
      <c r="L88" s="607">
        <f>14352+1353+311+316+73+278</f>
        <v>16683</v>
      </c>
      <c r="M88" s="738">
        <v>37929.35</v>
      </c>
      <c r="N88" s="722" t="s">
        <v>326</v>
      </c>
      <c r="O88" s="723"/>
      <c r="P88" s="437"/>
      <c r="Q88" s="703"/>
      <c r="R88" s="86"/>
      <c r="V88" s="1"/>
    </row>
    <row r="89" spans="1:22">
      <c r="A89" s="339"/>
      <c r="B89" s="199"/>
      <c r="C89" s="1"/>
      <c r="D89" s="273"/>
      <c r="E89" s="366"/>
      <c r="F89" s="366"/>
      <c r="G89" s="366"/>
      <c r="H89" s="347" t="s">
        <v>18</v>
      </c>
      <c r="I89" s="689">
        <v>14474.099999999999</v>
      </c>
      <c r="J89" s="438">
        <v>947.5</v>
      </c>
      <c r="K89" s="694">
        <v>526.15</v>
      </c>
      <c r="L89" s="607">
        <v>19238.8</v>
      </c>
      <c r="M89" s="104">
        <f>M88-I89-J89-K89+L89</f>
        <v>41220.399999999994</v>
      </c>
      <c r="N89" s="84"/>
      <c r="O89" s="366"/>
      <c r="P89" s="437"/>
      <c r="Q89" s="703"/>
      <c r="R89" s="86"/>
      <c r="V89" s="1"/>
    </row>
    <row r="90" spans="1:22">
      <c r="A90" s="339"/>
      <c r="B90" s="199"/>
      <c r="C90" s="1"/>
      <c r="D90" s="273"/>
      <c r="E90" s="366"/>
      <c r="F90" s="366"/>
      <c r="G90" s="366"/>
      <c r="H90" s="379" t="s">
        <v>19</v>
      </c>
      <c r="I90" s="621">
        <v>17170.439999999999</v>
      </c>
      <c r="J90" s="432">
        <v>3911.3</v>
      </c>
      <c r="K90" s="648">
        <f>21.5+122.1+41.6+353.89+95.92+8.2</f>
        <v>643.20999999999992</v>
      </c>
      <c r="L90" s="621">
        <f>660+513.5+514+683.5+535+212+2085+763+334+208+378+75+60+44+972+347+1461+81+303+363+12+44+73+133+667+281+234+225+789+767+1661+682+2828+477.5+365+873.5+390+553</f>
        <v>21647</v>
      </c>
      <c r="M90" s="104">
        <f>M89-I90-J90-K90+L90</f>
        <v>41142.449999999997</v>
      </c>
      <c r="N90" s="84"/>
      <c r="O90" s="366"/>
      <c r="P90" s="437"/>
      <c r="Q90" s="703"/>
      <c r="R90" s="86"/>
      <c r="V90" s="1"/>
    </row>
    <row r="91" spans="1:22">
      <c r="A91" s="339"/>
      <c r="B91" s="199"/>
      <c r="C91" s="1"/>
      <c r="D91" s="273"/>
      <c r="E91" s="366"/>
      <c r="F91" s="366"/>
      <c r="G91" s="366"/>
      <c r="H91" s="347" t="s">
        <v>20</v>
      </c>
      <c r="I91" s="689">
        <v>17084.789999999997</v>
      </c>
      <c r="J91" s="438">
        <v>1384.5</v>
      </c>
      <c r="K91" s="694">
        <f>231.74+381.32</f>
        <v>613.05999999999995</v>
      </c>
      <c r="L91" s="689">
        <f>861.5+275+194+301.5+390+1883.5+794+563+1402.5+380+670+229.5+35+275+150.5+18+76+68+310+1078+448+706+130+132+120+2048+130.5+296+608+1835+355+214.5+280+60+684+606</f>
        <v>18608</v>
      </c>
      <c r="M91" s="733">
        <v>43441.55</v>
      </c>
      <c r="N91" s="84"/>
      <c r="O91" s="366"/>
      <c r="P91" s="84"/>
      <c r="Q91" s="703"/>
      <c r="R91" s="86"/>
      <c r="V91" s="1"/>
    </row>
    <row r="92" spans="1:22">
      <c r="A92" s="339"/>
      <c r="B92" s="199"/>
      <c r="C92" s="1"/>
      <c r="D92" s="273"/>
      <c r="E92" s="366"/>
      <c r="F92" s="366"/>
      <c r="G92" s="366"/>
      <c r="H92" s="347" t="s">
        <v>148</v>
      </c>
      <c r="I92" s="689">
        <v>16010.099999999999</v>
      </c>
      <c r="J92" s="438">
        <f>16+65+35+15+24+192+4.6+315+19+6+29+4+35+35+15+160</f>
        <v>969.6</v>
      </c>
      <c r="K92" s="694">
        <f>318.55+297.05</f>
        <v>615.6</v>
      </c>
      <c r="L92" s="689">
        <f>2329.5+560+1456+491+2680+2008+1170+1743+283+1122+2144+623+348+597.5+612+1914+48.5+1270+194+20+375+514.5+108+1502+669+441+33+712+828+1156+829+50</f>
        <v>28831</v>
      </c>
      <c r="M92" s="104">
        <f>M91-I92-J92-K92+L92</f>
        <v>54677.250000000007</v>
      </c>
      <c r="N92" s="84"/>
      <c r="O92" s="366"/>
      <c r="P92" s="646"/>
      <c r="Q92" s="703"/>
      <c r="R92" s="86"/>
      <c r="V92" s="1"/>
    </row>
    <row r="93" spans="1:22">
      <c r="A93" s="339"/>
      <c r="B93" s="199"/>
      <c r="C93" s="1"/>
      <c r="D93" s="273"/>
      <c r="E93" s="366"/>
      <c r="F93" s="366"/>
      <c r="G93" s="366"/>
      <c r="H93" s="379" t="s">
        <v>162</v>
      </c>
      <c r="I93" s="621">
        <v>18487.2</v>
      </c>
      <c r="J93" s="432"/>
      <c r="K93" s="648">
        <v>733</v>
      </c>
      <c r="L93" s="621">
        <f>1090.5+178+238+342+320+112+163+3418.5+747+1608+1004+396+30+1858+1508+198+163+100+490+552+1725+777+245+1514.5+850.5+1647+348+1827+454</f>
        <v>23904</v>
      </c>
      <c r="M93" s="104">
        <f>M92-I93-J93-K93+L93</f>
        <v>59361.05</v>
      </c>
      <c r="N93" s="84"/>
      <c r="O93" s="366"/>
      <c r="P93" s="646"/>
      <c r="Q93" s="703"/>
      <c r="R93" s="86"/>
      <c r="V93" s="1"/>
    </row>
    <row r="94" spans="1:22">
      <c r="A94" s="339"/>
      <c r="B94" s="199"/>
      <c r="C94" s="1"/>
      <c r="D94" s="273"/>
      <c r="E94" s="366"/>
      <c r="F94" s="366"/>
      <c r="G94" s="366"/>
      <c r="H94" s="347" t="s">
        <v>163</v>
      </c>
      <c r="I94" s="689">
        <v>18961.969999999998</v>
      </c>
      <c r="J94" s="438"/>
      <c r="K94" s="694">
        <f>334.04+378.25</f>
        <v>712.29</v>
      </c>
      <c r="L94" s="689">
        <f>15.5+600+364+12+2306+740+1687+96+195.5+330+605+285+1211+2305+437+30+1509+42+443.5+664.5+239+42+42.5+114+364+617+545</f>
        <v>15841.5</v>
      </c>
      <c r="M94" s="733">
        <f>M93-I94-J94-K94+L94</f>
        <v>55528.29</v>
      </c>
      <c r="N94" s="84"/>
      <c r="O94" s="366"/>
      <c r="P94" s="646"/>
      <c r="Q94" s="703"/>
      <c r="R94" s="86"/>
      <c r="V94" s="1"/>
    </row>
    <row r="95" spans="1:22" ht="15.75" thickBot="1">
      <c r="A95" s="339"/>
      <c r="B95" s="199"/>
      <c r="C95" s="1"/>
      <c r="D95" s="273"/>
      <c r="E95" s="366"/>
      <c r="F95" s="366"/>
      <c r="G95" s="366"/>
      <c r="H95" s="1035" t="s">
        <v>192</v>
      </c>
      <c r="I95" s="735">
        <v>20708.280000000002</v>
      </c>
      <c r="J95" s="736">
        <f>3.2+18.5+47+46+7+4+329+628.5+6+34+18+28+4+41.5+1.2+77.5+42+2.92+3+48+180</f>
        <v>1569.3200000000002</v>
      </c>
      <c r="K95" s="1036">
        <f>163.32+459.3+23.5+1.4</f>
        <v>647.52</v>
      </c>
      <c r="L95" s="735">
        <v>25525.5</v>
      </c>
      <c r="M95" s="104">
        <f>M94-I95-J95-K95+L95</f>
        <v>58128.67</v>
      </c>
      <c r="N95" s="84"/>
      <c r="O95" s="366"/>
      <c r="P95" s="646"/>
      <c r="Q95" s="703"/>
      <c r="R95" s="86"/>
      <c r="V95" s="1"/>
    </row>
    <row r="96" spans="1:22" ht="14.25" customHeight="1" thickTop="1">
      <c r="A96" s="339"/>
      <c r="B96" s="199"/>
      <c r="C96" s="1"/>
      <c r="D96" s="273"/>
      <c r="E96" s="84"/>
      <c r="F96" s="366"/>
      <c r="G96" s="366"/>
      <c r="H96" s="1148" t="s">
        <v>36</v>
      </c>
      <c r="I96" s="1150" t="s">
        <v>178</v>
      </c>
      <c r="J96" s="1151"/>
      <c r="K96" s="1152"/>
      <c r="L96" s="1156" t="s">
        <v>159</v>
      </c>
      <c r="M96" s="1157"/>
      <c r="N96" s="150"/>
      <c r="O96" s="84"/>
      <c r="P96" s="437"/>
      <c r="Q96" s="86"/>
      <c r="R96" s="86"/>
      <c r="V96" s="1"/>
    </row>
    <row r="97" spans="1:26">
      <c r="A97" s="339"/>
      <c r="B97" s="199"/>
      <c r="C97" s="284"/>
      <c r="D97" s="273"/>
      <c r="E97" s="284"/>
      <c r="F97" s="366"/>
      <c r="G97" s="378"/>
      <c r="H97" s="1149"/>
      <c r="I97" s="1153"/>
      <c r="J97" s="1154"/>
      <c r="K97" s="1155"/>
      <c r="L97" s="1158"/>
      <c r="M97" s="1159"/>
      <c r="N97" s="1"/>
      <c r="O97" s="12"/>
      <c r="P97" s="646"/>
      <c r="Q97" s="86"/>
      <c r="R97" s="366"/>
      <c r="S97" s="1"/>
      <c r="V97" s="1"/>
      <c r="W97" s="1"/>
      <c r="X97" s="1"/>
      <c r="Y97" s="1"/>
    </row>
    <row r="98" spans="1:26">
      <c r="A98" s="339"/>
      <c r="B98" s="199"/>
      <c r="C98" s="199"/>
      <c r="D98" s="273"/>
      <c r="E98" s="199"/>
      <c r="F98" s="366"/>
      <c r="G98" s="378"/>
      <c r="H98" s="512" t="s">
        <v>91</v>
      </c>
      <c r="I98" s="1160" t="s">
        <v>47</v>
      </c>
      <c r="J98" s="1160"/>
      <c r="K98" s="1005">
        <f>98.88+5</f>
        <v>103.88</v>
      </c>
      <c r="L98" s="282">
        <v>44180</v>
      </c>
      <c r="M98" s="44" t="s">
        <v>161</v>
      </c>
      <c r="O98" s="84"/>
      <c r="P98" s="646"/>
      <c r="Q98" s="86"/>
      <c r="R98" s="366"/>
      <c r="S98" s="1"/>
      <c r="T98" s="1"/>
      <c r="V98" s="282"/>
      <c r="W98" s="1"/>
      <c r="X98" s="1"/>
      <c r="Y98" s="1"/>
    </row>
    <row r="99" spans="1:26">
      <c r="A99" s="339"/>
      <c r="B99" s="366"/>
      <c r="C99" s="274"/>
      <c r="D99" s="273"/>
      <c r="E99" s="274"/>
      <c r="F99" s="366"/>
      <c r="G99" s="366"/>
      <c r="H99" s="512" t="s">
        <v>91</v>
      </c>
      <c r="I99" s="1161" t="s">
        <v>51</v>
      </c>
      <c r="J99" s="1161"/>
      <c r="K99" s="1004">
        <v>9.17</v>
      </c>
      <c r="L99" s="282">
        <v>44180</v>
      </c>
      <c r="M99" s="44" t="s">
        <v>161</v>
      </c>
      <c r="N99" s="490"/>
      <c r="O99" s="84"/>
      <c r="P99" s="646"/>
      <c r="Q99" s="541"/>
      <c r="R99" s="86"/>
      <c r="S99" s="1"/>
      <c r="T99" s="1"/>
      <c r="V99" s="282"/>
      <c r="W99" s="1"/>
      <c r="X99" s="1"/>
      <c r="Y99" s="1"/>
    </row>
    <row r="100" spans="1:26">
      <c r="A100" s="340"/>
      <c r="B100" s="366"/>
      <c r="C100" s="366"/>
      <c r="D100" s="273"/>
      <c r="E100" s="199"/>
      <c r="F100" s="366"/>
      <c r="G100" s="366"/>
      <c r="H100" s="512" t="s">
        <v>91</v>
      </c>
      <c r="I100" s="1161" t="s">
        <v>52</v>
      </c>
      <c r="J100" s="1161"/>
      <c r="K100" s="1004">
        <v>1.7</v>
      </c>
      <c r="L100" s="282">
        <v>44180</v>
      </c>
      <c r="M100" s="44" t="s">
        <v>161</v>
      </c>
      <c r="O100" s="84"/>
      <c r="P100" s="646"/>
      <c r="Q100" s="86"/>
      <c r="R100" s="1001"/>
      <c r="S100" s="1"/>
      <c r="T100" s="1"/>
      <c r="V100" s="282"/>
      <c r="W100" s="282"/>
      <c r="X100" s="282"/>
      <c r="Y100" s="1"/>
      <c r="Z100" s="1"/>
    </row>
    <row r="101" spans="1:26">
      <c r="A101" s="340"/>
      <c r="B101" s="366"/>
      <c r="C101" s="366"/>
      <c r="D101" s="273"/>
      <c r="E101" s="366"/>
      <c r="F101" s="366"/>
      <c r="G101" s="366"/>
      <c r="H101" s="512" t="s">
        <v>91</v>
      </c>
      <c r="I101" s="1262" t="s">
        <v>49</v>
      </c>
      <c r="J101" s="1262"/>
      <c r="K101" s="1004">
        <v>89</v>
      </c>
      <c r="L101" s="294">
        <v>44185</v>
      </c>
      <c r="M101" s="44" t="s">
        <v>201</v>
      </c>
      <c r="O101" s="84"/>
      <c r="P101" s="646"/>
      <c r="Q101" s="366"/>
      <c r="R101" s="86"/>
      <c r="S101" s="1"/>
      <c r="T101" s="282"/>
      <c r="U101" s="1"/>
      <c r="V101" s="282"/>
      <c r="W101" s="282"/>
      <c r="X101" s="282"/>
      <c r="Y101" s="1"/>
      <c r="Z101" s="1"/>
    </row>
    <row r="102" spans="1:26">
      <c r="A102" s="340"/>
      <c r="B102" s="366"/>
      <c r="C102" s="366"/>
      <c r="D102" s="273"/>
      <c r="E102" s="366"/>
      <c r="F102" s="366"/>
      <c r="G102" s="366"/>
      <c r="H102" s="512" t="s">
        <v>91</v>
      </c>
      <c r="I102" s="1276" t="s">
        <v>59</v>
      </c>
      <c r="J102" s="1276"/>
      <c r="K102" s="1007">
        <v>627.51</v>
      </c>
      <c r="L102" s="302" t="s">
        <v>177</v>
      </c>
      <c r="M102" s="44" t="s">
        <v>161</v>
      </c>
      <c r="N102" s="490"/>
      <c r="O102" s="84"/>
      <c r="P102" s="646"/>
      <c r="Q102" s="479"/>
      <c r="R102" s="1001"/>
      <c r="S102" s="1"/>
      <c r="T102" s="282"/>
      <c r="U102" s="1"/>
      <c r="V102" s="1"/>
      <c r="W102" s="282"/>
      <c r="X102" s="282"/>
      <c r="Y102" s="1"/>
      <c r="Z102" s="1"/>
    </row>
    <row r="103" spans="1:26">
      <c r="A103" s="340"/>
      <c r="B103" s="199"/>
      <c r="C103" s="199"/>
      <c r="D103" s="273"/>
      <c r="E103" s="199"/>
      <c r="F103" s="366"/>
      <c r="G103" s="366"/>
      <c r="H103" s="512" t="s">
        <v>91</v>
      </c>
      <c r="I103" s="1264" t="s">
        <v>68</v>
      </c>
      <c r="J103" s="1265"/>
      <c r="K103" s="1004">
        <v>59.48</v>
      </c>
      <c r="L103" s="282">
        <v>44185</v>
      </c>
      <c r="M103" s="44" t="s">
        <v>161</v>
      </c>
      <c r="O103" s="84"/>
      <c r="P103" s="437"/>
      <c r="Q103" s="366"/>
      <c r="R103" s="1001"/>
      <c r="S103" s="1"/>
      <c r="T103" s="282"/>
      <c r="U103" s="1"/>
      <c r="V103" s="282"/>
      <c r="W103" s="282"/>
      <c r="X103" s="282"/>
      <c r="Y103" s="1"/>
      <c r="Z103" s="1"/>
    </row>
    <row r="104" spans="1:26">
      <c r="A104" s="340"/>
      <c r="B104" s="199"/>
      <c r="C104" s="366"/>
      <c r="D104" s="273"/>
      <c r="E104" s="199"/>
      <c r="F104" s="366"/>
      <c r="G104" s="366"/>
      <c r="H104" s="512" t="s">
        <v>91</v>
      </c>
      <c r="I104" s="1264" t="s">
        <v>174</v>
      </c>
      <c r="J104" s="1265"/>
      <c r="K104" s="1004">
        <f>44.05+117.96</f>
        <v>162.01</v>
      </c>
      <c r="L104" s="282">
        <v>44180</v>
      </c>
      <c r="M104" s="44" t="s">
        <v>161</v>
      </c>
      <c r="N104" s="490"/>
      <c r="O104" s="84"/>
      <c r="P104" s="86"/>
      <c r="Q104" s="366"/>
      <c r="R104" s="1001"/>
      <c r="S104" s="1001"/>
      <c r="T104" s="282"/>
      <c r="U104" s="282"/>
      <c r="V104" s="282"/>
      <c r="W104" s="1"/>
      <c r="X104" s="1"/>
      <c r="Y104" s="1"/>
      <c r="Z104" s="1"/>
    </row>
    <row r="105" spans="1:26">
      <c r="A105" s="340"/>
      <c r="B105" s="199"/>
      <c r="C105" s="366"/>
      <c r="D105" s="273"/>
      <c r="E105" s="199"/>
      <c r="F105" s="366"/>
      <c r="G105" s="366"/>
      <c r="H105" s="993" t="s">
        <v>241</v>
      </c>
      <c r="I105" s="996" t="s">
        <v>176</v>
      </c>
      <c r="J105" s="997"/>
      <c r="K105" s="1004" t="s">
        <v>258</v>
      </c>
      <c r="L105" s="282">
        <v>44185</v>
      </c>
      <c r="M105" s="44" t="s">
        <v>161</v>
      </c>
      <c r="N105" s="490"/>
      <c r="O105" s="84"/>
      <c r="P105" s="86"/>
      <c r="Q105" s="366"/>
      <c r="R105" s="483"/>
      <c r="S105" s="150"/>
      <c r="T105" s="1"/>
      <c r="U105" s="282"/>
      <c r="V105" s="282"/>
      <c r="W105" s="282"/>
      <c r="X105" s="282"/>
      <c r="Y105" s="1"/>
      <c r="Z105" s="1"/>
    </row>
    <row r="106" spans="1:26">
      <c r="A106" s="340"/>
      <c r="B106" s="199"/>
      <c r="C106" s="366"/>
      <c r="D106" s="273"/>
      <c r="E106" s="232"/>
      <c r="F106" s="366"/>
      <c r="G106" s="366"/>
      <c r="H106" s="512" t="s">
        <v>91</v>
      </c>
      <c r="I106" s="1264" t="s">
        <v>81</v>
      </c>
      <c r="J106" s="1265"/>
      <c r="K106" s="1004">
        <v>769.85</v>
      </c>
      <c r="L106" s="282">
        <v>44175</v>
      </c>
      <c r="M106" s="44" t="s">
        <v>161</v>
      </c>
      <c r="O106" s="84"/>
      <c r="P106" s="86"/>
      <c r="Q106" s="483"/>
      <c r="R106" s="365"/>
      <c r="S106" s="150"/>
      <c r="T106" s="282"/>
      <c r="U106" s="282"/>
      <c r="V106" s="282"/>
      <c r="W106" s="282"/>
      <c r="X106" s="282"/>
      <c r="Y106" s="366"/>
      <c r="Z106" s="1"/>
    </row>
    <row r="107" spans="1:26">
      <c r="A107" s="340"/>
      <c r="B107" s="199"/>
      <c r="C107" s="366"/>
      <c r="D107" s="273"/>
      <c r="E107" s="232"/>
      <c r="F107" s="366"/>
      <c r="G107" s="366"/>
      <c r="H107" s="512" t="s">
        <v>91</v>
      </c>
      <c r="I107" s="1264" t="s">
        <v>53</v>
      </c>
      <c r="J107" s="1265"/>
      <c r="K107" s="454">
        <v>10</v>
      </c>
      <c r="L107" s="282">
        <v>44180</v>
      </c>
      <c r="M107" s="44" t="s">
        <v>161</v>
      </c>
      <c r="N107" s="490"/>
      <c r="O107" s="84"/>
      <c r="P107" s="86"/>
      <c r="Q107" s="1001"/>
      <c r="R107" s="1001"/>
      <c r="S107" s="1"/>
      <c r="T107" s="282"/>
      <c r="U107" s="282"/>
      <c r="V107" s="282"/>
      <c r="W107" s="282"/>
      <c r="X107" s="282"/>
      <c r="Y107" s="366"/>
      <c r="Z107" s="1"/>
    </row>
    <row r="108" spans="1:26">
      <c r="A108" s="340"/>
      <c r="B108" s="199"/>
      <c r="C108" s="366"/>
      <c r="D108" s="273"/>
      <c r="E108" s="232"/>
      <c r="F108" s="366"/>
      <c r="G108" s="366"/>
      <c r="H108" s="512" t="s">
        <v>91</v>
      </c>
      <c r="I108" s="1263" t="s">
        <v>276</v>
      </c>
      <c r="J108" s="1263"/>
      <c r="K108" s="637">
        <v>100</v>
      </c>
      <c r="L108" s="282">
        <v>44195</v>
      </c>
      <c r="M108" s="44" t="s">
        <v>161</v>
      </c>
      <c r="O108" s="84"/>
      <c r="P108" s="86"/>
      <c r="Q108" s="1001"/>
      <c r="R108" s="1001"/>
      <c r="S108" s="366"/>
      <c r="T108" s="282"/>
      <c r="U108" s="282"/>
      <c r="V108" s="282"/>
      <c r="W108" s="282"/>
      <c r="X108" s="282"/>
      <c r="Y108" s="1"/>
      <c r="Z108" s="1"/>
    </row>
    <row r="109" spans="1:26">
      <c r="A109" s="340"/>
      <c r="B109" s="199"/>
      <c r="C109" s="366"/>
      <c r="D109" s="273"/>
      <c r="E109" s="232"/>
      <c r="F109" s="366"/>
      <c r="G109" s="366"/>
      <c r="H109" s="512" t="s">
        <v>91</v>
      </c>
      <c r="I109" s="1263" t="s">
        <v>296</v>
      </c>
      <c r="J109" s="1263"/>
      <c r="K109" s="637">
        <v>9</v>
      </c>
      <c r="L109" s="282">
        <v>44180</v>
      </c>
      <c r="M109" s="44" t="s">
        <v>161</v>
      </c>
      <c r="O109" s="84"/>
      <c r="P109" s="86"/>
      <c r="Q109" s="1001"/>
      <c r="R109" s="1001"/>
      <c r="S109" s="366"/>
      <c r="T109" s="282"/>
      <c r="U109" s="282"/>
      <c r="V109" s="282"/>
      <c r="W109" s="282"/>
      <c r="X109" s="282"/>
      <c r="Y109" s="1"/>
      <c r="Z109" s="1"/>
    </row>
    <row r="110" spans="1:26">
      <c r="A110" s="340"/>
      <c r="B110" s="199"/>
      <c r="C110" s="366"/>
      <c r="D110" s="273"/>
      <c r="E110" s="232"/>
      <c r="F110" s="366"/>
      <c r="G110" s="366"/>
      <c r="H110" s="512" t="s">
        <v>91</v>
      </c>
      <c r="I110" s="1143" t="s">
        <v>345</v>
      </c>
      <c r="J110" s="1144"/>
      <c r="K110" s="475">
        <v>1601.98</v>
      </c>
      <c r="L110" s="282">
        <v>44195</v>
      </c>
      <c r="M110" s="44" t="s">
        <v>161</v>
      </c>
      <c r="O110" s="84"/>
      <c r="P110" s="86"/>
      <c r="Q110" s="1001"/>
      <c r="R110" s="1001"/>
      <c r="S110" s="366"/>
      <c r="T110" s="282"/>
      <c r="U110" s="282"/>
      <c r="V110" s="282"/>
      <c r="W110" s="282"/>
      <c r="X110" s="282"/>
      <c r="Y110" s="1"/>
      <c r="Z110" s="1"/>
    </row>
    <row r="111" spans="1:26">
      <c r="A111" s="340"/>
      <c r="B111" s="199"/>
      <c r="C111" s="366"/>
      <c r="D111" s="273"/>
      <c r="E111" s="232"/>
      <c r="F111" s="366"/>
      <c r="G111" s="366"/>
      <c r="H111" s="512" t="s">
        <v>91</v>
      </c>
      <c r="I111" s="1145" t="s">
        <v>417</v>
      </c>
      <c r="J111" s="1145"/>
      <c r="K111" s="637">
        <v>50</v>
      </c>
      <c r="L111" s="282"/>
      <c r="M111" s="44"/>
      <c r="O111" s="84"/>
      <c r="P111" s="86"/>
      <c r="Q111" s="1011"/>
      <c r="R111" s="1011"/>
      <c r="S111" s="366"/>
      <c r="T111" s="282"/>
      <c r="U111" s="282"/>
      <c r="V111" s="282"/>
      <c r="W111" s="282"/>
      <c r="X111" s="282"/>
      <c r="Y111" s="1"/>
      <c r="Z111" s="1"/>
    </row>
    <row r="112" spans="1:26" ht="15.75" thickBot="1">
      <c r="A112" s="341"/>
      <c r="B112" s="330"/>
      <c r="C112" s="331"/>
      <c r="D112" s="342"/>
      <c r="E112" s="330"/>
      <c r="F112" s="331"/>
      <c r="G112" s="331"/>
      <c r="H112" s="1280" t="s">
        <v>179</v>
      </c>
      <c r="I112" s="1281"/>
      <c r="J112" s="361">
        <f>SUM(K98:K111)</f>
        <v>3593.58</v>
      </c>
      <c r="K112" s="1146" t="s">
        <v>180</v>
      </c>
      <c r="L112" s="1146"/>
      <c r="M112" s="514">
        <v>0</v>
      </c>
      <c r="O112" s="84"/>
      <c r="P112" s="86"/>
      <c r="Q112" s="1001"/>
      <c r="R112" s="365"/>
      <c r="S112" s="366"/>
      <c r="T112" s="282"/>
      <c r="U112" s="282"/>
      <c r="V112" s="1"/>
      <c r="W112" s="282"/>
      <c r="X112" s="282"/>
      <c r="Y112" s="1"/>
      <c r="Z112" s="1"/>
    </row>
    <row r="113" spans="1:26" ht="15.75" thickTop="1">
      <c r="C113" s="491"/>
      <c r="D113" s="491"/>
      <c r="O113" s="84"/>
      <c r="P113" s="86"/>
      <c r="Q113" s="1001"/>
      <c r="R113" s="365"/>
      <c r="S113" s="366"/>
      <c r="T113" s="282"/>
      <c r="U113" s="282"/>
      <c r="V113" s="1"/>
      <c r="W113" s="282"/>
      <c r="X113" s="282"/>
      <c r="Y113" s="1"/>
      <c r="Z113" s="1"/>
    </row>
    <row r="114" spans="1:26" ht="15" customHeight="1">
      <c r="A114" s="1163" t="s">
        <v>386</v>
      </c>
      <c r="B114" s="1163"/>
      <c r="C114" s="1163"/>
      <c r="D114" s="1163"/>
      <c r="E114" s="1163"/>
      <c r="F114" s="1163"/>
      <c r="G114" s="1163"/>
      <c r="H114" s="1163"/>
      <c r="I114" s="1163"/>
      <c r="J114" s="1163"/>
      <c r="K114" s="1163"/>
      <c r="L114" s="1163"/>
      <c r="M114" s="1163"/>
      <c r="O114" s="84"/>
      <c r="P114" s="86"/>
      <c r="Q114" s="1001"/>
      <c r="R114" s="1001"/>
      <c r="S114" s="1"/>
      <c r="T114" s="282"/>
      <c r="U114" s="282"/>
      <c r="V114" s="1"/>
      <c r="W114" s="1"/>
      <c r="X114" s="1"/>
      <c r="Y114" s="1"/>
      <c r="Z114" s="1"/>
    </row>
    <row r="115" spans="1:26" ht="15.75" customHeight="1" thickBot="1">
      <c r="A115" s="1164"/>
      <c r="B115" s="1164"/>
      <c r="C115" s="1164"/>
      <c r="D115" s="1164"/>
      <c r="E115" s="1164"/>
      <c r="F115" s="1164"/>
      <c r="G115" s="1164"/>
      <c r="H115" s="1164"/>
      <c r="I115" s="1164"/>
      <c r="J115" s="1164"/>
      <c r="K115" s="1164"/>
      <c r="L115" s="1164"/>
      <c r="M115" s="1164"/>
      <c r="O115" s="84"/>
      <c r="P115" s="86"/>
      <c r="Q115" s="1001"/>
      <c r="R115" s="1001"/>
      <c r="S115" s="1"/>
      <c r="T115" s="1"/>
      <c r="U115" s="282"/>
      <c r="V115" s="1"/>
      <c r="W115" s="1"/>
      <c r="X115" s="1"/>
      <c r="Y115" s="1"/>
      <c r="Z115" s="1"/>
    </row>
    <row r="116" spans="1:26" ht="15.75" thickTop="1">
      <c r="A116" s="1301" t="s">
        <v>43</v>
      </c>
      <c r="B116" s="1268"/>
      <c r="C116" s="1268"/>
      <c r="D116" s="1268"/>
      <c r="E116" s="1268"/>
      <c r="F116" s="1302"/>
      <c r="G116" s="323"/>
      <c r="O116" s="84"/>
      <c r="P116" s="86"/>
      <c r="Q116" s="647"/>
      <c r="R116" s="1001"/>
      <c r="S116" s="1"/>
      <c r="T116" s="1"/>
      <c r="U116" s="282"/>
      <c r="V116" s="1"/>
      <c r="W116" s="1"/>
      <c r="X116" s="1"/>
      <c r="Y116" s="1"/>
      <c r="Z116" s="1"/>
    </row>
    <row r="117" spans="1:26">
      <c r="A117" s="1213" t="s">
        <v>342</v>
      </c>
      <c r="B117" s="1214"/>
      <c r="C117" s="1000" t="s">
        <v>35</v>
      </c>
      <c r="D117" s="1000" t="s">
        <v>38</v>
      </c>
      <c r="E117" s="1000" t="s">
        <v>42</v>
      </c>
      <c r="F117" s="1000" t="s">
        <v>44</v>
      </c>
      <c r="G117" s="1"/>
      <c r="O117" s="84"/>
      <c r="P117" s="86"/>
      <c r="Q117" s="1001"/>
      <c r="R117" s="1001"/>
      <c r="S117" s="1"/>
      <c r="T117" s="1"/>
      <c r="U117" s="1"/>
      <c r="W117" s="1"/>
      <c r="X117" s="1"/>
      <c r="Y117" s="1"/>
      <c r="Z117" s="1"/>
    </row>
    <row r="118" spans="1:26">
      <c r="A118" s="1290" t="s">
        <v>40</v>
      </c>
      <c r="B118" s="1271"/>
      <c r="C118" s="967">
        <v>788.34</v>
      </c>
      <c r="D118" s="967">
        <v>788.34</v>
      </c>
      <c r="E118" s="481">
        <v>0</v>
      </c>
      <c r="F118" s="3"/>
      <c r="G118" s="1"/>
      <c r="O118" s="84"/>
      <c r="P118" s="86"/>
      <c r="Q118" s="1001"/>
      <c r="R118" s="1001"/>
      <c r="S118" s="1"/>
      <c r="T118" s="1"/>
      <c r="U118" s="1"/>
      <c r="W118" s="1"/>
      <c r="X118" s="1"/>
      <c r="Y118" s="1"/>
      <c r="Z118" s="1"/>
    </row>
    <row r="119" spans="1:26">
      <c r="A119" s="340"/>
      <c r="B119" s="366"/>
      <c r="C119" s="498">
        <f>SUM(C118:C118)</f>
        <v>788.34</v>
      </c>
      <c r="D119" s="366"/>
      <c r="E119" s="84"/>
      <c r="F119" s="366"/>
      <c r="G119" s="1"/>
      <c r="K119" s="490"/>
      <c r="O119" s="84"/>
      <c r="P119" s="86"/>
      <c r="Q119" s="1001"/>
      <c r="R119" s="1001"/>
      <c r="T119" s="1"/>
      <c r="U119" s="1"/>
      <c r="Z119" s="1"/>
    </row>
    <row r="120" spans="1:26">
      <c r="A120" s="340"/>
      <c r="B120" s="366"/>
      <c r="C120" s="366"/>
      <c r="D120" s="366"/>
      <c r="E120" s="366"/>
      <c r="F120" s="366"/>
      <c r="G120" s="1"/>
      <c r="O120" s="84"/>
      <c r="P120" s="86"/>
      <c r="Q120" s="1001"/>
      <c r="R120" s="1001"/>
      <c r="U120" s="1"/>
      <c r="Z120" s="1"/>
    </row>
    <row r="121" spans="1:26">
      <c r="A121" s="340"/>
      <c r="B121" s="366"/>
      <c r="C121" s="366"/>
      <c r="D121" s="366"/>
      <c r="E121" s="366"/>
      <c r="F121" s="366"/>
      <c r="G121" s="1"/>
      <c r="M121" s="490"/>
      <c r="O121" s="84"/>
      <c r="P121" s="86"/>
      <c r="Q121" s="1001"/>
      <c r="R121" s="1001"/>
      <c r="U121" s="1"/>
      <c r="Z121" s="1"/>
    </row>
    <row r="122" spans="1:26">
      <c r="A122" s="340"/>
      <c r="B122" s="366"/>
      <c r="C122" s="366"/>
      <c r="D122" s="366"/>
      <c r="E122" s="366"/>
      <c r="F122" s="366"/>
      <c r="G122" s="1"/>
      <c r="O122" s="84"/>
      <c r="P122" s="86"/>
      <c r="Q122" s="1001"/>
      <c r="R122" s="1001"/>
      <c r="U122" s="1"/>
    </row>
    <row r="123" spans="1:26">
      <c r="A123" s="43"/>
      <c r="B123" s="1"/>
      <c r="C123" s="366"/>
      <c r="D123" s="1"/>
      <c r="E123" s="1"/>
      <c r="F123" s="1"/>
      <c r="G123" s="1"/>
      <c r="M123" s="1"/>
      <c r="O123" s="84"/>
      <c r="P123" s="86"/>
      <c r="Q123" s="1001"/>
      <c r="R123" s="1001"/>
    </row>
    <row r="124" spans="1:26">
      <c r="A124" s="43"/>
      <c r="B124" s="1"/>
      <c r="C124" s="366"/>
      <c r="D124" s="1"/>
      <c r="E124" s="1"/>
      <c r="F124" s="1"/>
      <c r="G124" s="1"/>
      <c r="M124" s="1"/>
      <c r="O124" s="84"/>
      <c r="P124" s="86"/>
      <c r="Q124" s="1001"/>
      <c r="R124" s="1001"/>
    </row>
    <row r="125" spans="1:26">
      <c r="A125" s="43"/>
      <c r="B125" s="1"/>
      <c r="C125" s="366"/>
      <c r="D125" s="1"/>
      <c r="E125" s="1"/>
      <c r="F125" s="1"/>
      <c r="G125" s="1"/>
      <c r="M125" s="1"/>
      <c r="O125" s="84"/>
      <c r="P125" s="86"/>
      <c r="Q125" s="1001"/>
      <c r="R125" s="1001"/>
    </row>
    <row r="126" spans="1:26">
      <c r="A126" s="43"/>
      <c r="B126" s="1"/>
      <c r="C126" s="366"/>
      <c r="D126" s="1"/>
      <c r="E126" s="1"/>
      <c r="F126" s="1"/>
      <c r="G126" s="1"/>
      <c r="M126" s="366"/>
      <c r="O126" s="84"/>
      <c r="P126" s="86"/>
      <c r="Q126" s="1001"/>
      <c r="R126" s="1001"/>
    </row>
    <row r="127" spans="1:26">
      <c r="A127" s="43"/>
      <c r="B127" s="1"/>
      <c r="C127" s="366"/>
      <c r="D127" s="1"/>
      <c r="E127" s="1"/>
      <c r="F127" s="1"/>
      <c r="G127" s="1"/>
      <c r="M127" s="366"/>
      <c r="O127" s="84"/>
      <c r="P127" s="86"/>
      <c r="Q127" s="1001"/>
      <c r="R127" s="1001"/>
    </row>
    <row r="128" spans="1:26">
      <c r="A128" s="43"/>
      <c r="B128" s="1"/>
      <c r="C128" s="366"/>
      <c r="D128" s="1"/>
      <c r="E128" s="1"/>
      <c r="F128" s="1"/>
      <c r="G128" s="1"/>
      <c r="M128" s="1"/>
      <c r="O128" s="84"/>
      <c r="P128" s="86"/>
      <c r="Q128" s="1001"/>
      <c r="R128" s="1001"/>
    </row>
    <row r="129" spans="1:26">
      <c r="A129" s="43"/>
      <c r="B129" s="1"/>
      <c r="C129" s="366"/>
      <c r="D129" s="1"/>
      <c r="E129" s="1"/>
      <c r="F129" s="1"/>
      <c r="G129" s="1"/>
      <c r="M129" s="1"/>
      <c r="O129" s="84"/>
      <c r="P129" s="86"/>
      <c r="Q129" s="1001"/>
      <c r="R129" s="1001"/>
    </row>
    <row r="130" spans="1:26">
      <c r="A130" s="43"/>
      <c r="B130" s="1"/>
      <c r="C130" s="366"/>
      <c r="D130" s="1"/>
      <c r="E130" s="1"/>
      <c r="F130" s="1"/>
      <c r="G130" s="1"/>
      <c r="M130" s="1"/>
      <c r="O130" s="84"/>
      <c r="P130" s="86"/>
      <c r="Q130" s="86"/>
      <c r="R130" s="1001"/>
    </row>
    <row r="131" spans="1:26">
      <c r="A131" s="43"/>
      <c r="B131" s="1"/>
      <c r="C131" s="366"/>
      <c r="D131" s="1"/>
      <c r="E131" s="1"/>
      <c r="F131" s="1"/>
      <c r="G131" s="1"/>
      <c r="M131" s="1"/>
      <c r="O131" s="84"/>
      <c r="P131" s="86"/>
      <c r="Q131" s="86"/>
      <c r="R131" s="1001"/>
    </row>
    <row r="132" spans="1:26">
      <c r="A132" s="43"/>
      <c r="B132" s="1"/>
      <c r="C132" s="366"/>
      <c r="D132" s="1"/>
      <c r="E132" s="1"/>
      <c r="F132" s="1"/>
      <c r="G132" s="1"/>
      <c r="O132" s="84"/>
      <c r="P132" s="86"/>
      <c r="Q132" s="86"/>
      <c r="R132" s="1001"/>
    </row>
    <row r="133" spans="1:26">
      <c r="A133" s="43"/>
      <c r="B133" s="1"/>
      <c r="C133" s="366"/>
      <c r="D133" s="1"/>
      <c r="E133" s="1"/>
      <c r="F133" s="1"/>
      <c r="G133" s="1"/>
      <c r="O133" s="84"/>
      <c r="P133" s="86"/>
      <c r="Q133" s="86"/>
      <c r="R133" s="1001"/>
    </row>
    <row r="134" spans="1:26">
      <c r="C134" s="446"/>
      <c r="O134" s="84"/>
      <c r="P134" s="86"/>
      <c r="Q134" s="86"/>
      <c r="R134" s="145"/>
    </row>
    <row r="135" spans="1:26">
      <c r="A135" s="12"/>
      <c r="C135" s="446"/>
      <c r="O135" s="84"/>
      <c r="P135" s="86"/>
      <c r="Q135" s="86"/>
      <c r="R135" s="366"/>
    </row>
    <row r="136" spans="1:26">
      <c r="C136" s="446"/>
      <c r="O136" s="84"/>
      <c r="R136" s="366"/>
    </row>
    <row r="137" spans="1:26" s="1" customFormat="1" ht="12.75" customHeight="1">
      <c r="A137" s="448"/>
      <c r="B137" s="199"/>
      <c r="D137" s="273"/>
      <c r="E137" s="366"/>
      <c r="F137" s="366"/>
      <c r="G137" s="366"/>
      <c r="H137" s="538"/>
      <c r="I137" s="902"/>
      <c r="J137" s="437"/>
      <c r="K137" s="605"/>
      <c r="L137" s="605"/>
      <c r="M137" s="436"/>
      <c r="O137" s="84"/>
      <c r="P137" s="84"/>
      <c r="Q137" s="145"/>
      <c r="R137" s="84"/>
      <c r="S137" s="84"/>
      <c r="T137" s="366"/>
      <c r="U137" s="366"/>
      <c r="V137" s="366"/>
      <c r="W137" s="366"/>
      <c r="X137" s="366"/>
      <c r="Y137" s="366"/>
      <c r="Z137" s="366"/>
    </row>
    <row r="138" spans="1:26">
      <c r="C138" s="446"/>
      <c r="O138" s="84"/>
      <c r="R138" s="366"/>
    </row>
    <row r="139" spans="1:26">
      <c r="C139" s="446"/>
      <c r="O139" s="150"/>
      <c r="R139" s="366"/>
    </row>
    <row r="140" spans="1:26">
      <c r="C140" s="446"/>
      <c r="R140" s="366"/>
    </row>
    <row r="141" spans="1:26">
      <c r="C141" s="446"/>
      <c r="R141" s="366"/>
    </row>
    <row r="142" spans="1:26">
      <c r="C142" s="446"/>
      <c r="R142" s="910"/>
    </row>
    <row r="143" spans="1:26">
      <c r="C143" s="446"/>
    </row>
  </sheetData>
  <mergeCells count="132"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H39:H40"/>
    <mergeCell ref="I39:K40"/>
    <mergeCell ref="L39:M40"/>
    <mergeCell ref="I41:J41"/>
    <mergeCell ref="I42:J42"/>
    <mergeCell ref="I43:J43"/>
    <mergeCell ref="A20:B20"/>
    <mergeCell ref="H20:J20"/>
    <mergeCell ref="L20:M20"/>
    <mergeCell ref="H21:H22"/>
    <mergeCell ref="I21:I22"/>
    <mergeCell ref="J21:K21"/>
    <mergeCell ref="L21:L22"/>
    <mergeCell ref="M21:M22"/>
    <mergeCell ref="I52:J52"/>
    <mergeCell ref="I53:J53"/>
    <mergeCell ref="I54:J54"/>
    <mergeCell ref="I55:J55"/>
    <mergeCell ref="I56:J56"/>
    <mergeCell ref="H57:I57"/>
    <mergeCell ref="I44:J44"/>
    <mergeCell ref="I45:J45"/>
    <mergeCell ref="I46:J46"/>
    <mergeCell ref="I49:J49"/>
    <mergeCell ref="I50:J50"/>
    <mergeCell ref="I51:J51"/>
    <mergeCell ref="I63:J63"/>
    <mergeCell ref="L63:M63"/>
    <mergeCell ref="I64:J64"/>
    <mergeCell ref="L64:M64"/>
    <mergeCell ref="I65:J65"/>
    <mergeCell ref="L65:M65"/>
    <mergeCell ref="K57:L57"/>
    <mergeCell ref="H58:K58"/>
    <mergeCell ref="A59:M60"/>
    <mergeCell ref="A61:G61"/>
    <mergeCell ref="H61:M61"/>
    <mergeCell ref="I62:J62"/>
    <mergeCell ref="L62:M62"/>
    <mergeCell ref="I69:J69"/>
    <mergeCell ref="L69:M69"/>
    <mergeCell ref="I70:J70"/>
    <mergeCell ref="L70:M70"/>
    <mergeCell ref="I71:J71"/>
    <mergeCell ref="L71:M71"/>
    <mergeCell ref="I66:J66"/>
    <mergeCell ref="L66:M66"/>
    <mergeCell ref="I67:J67"/>
    <mergeCell ref="L67:M67"/>
    <mergeCell ref="I68:J68"/>
    <mergeCell ref="L68:M68"/>
    <mergeCell ref="I75:J75"/>
    <mergeCell ref="L75:M75"/>
    <mergeCell ref="I76:J76"/>
    <mergeCell ref="L76:M76"/>
    <mergeCell ref="I77:J77"/>
    <mergeCell ref="L77:M77"/>
    <mergeCell ref="I72:J72"/>
    <mergeCell ref="L72:M72"/>
    <mergeCell ref="I73:J73"/>
    <mergeCell ref="L73:M73"/>
    <mergeCell ref="I74:J74"/>
    <mergeCell ref="L74:M74"/>
    <mergeCell ref="I78:J78"/>
    <mergeCell ref="L78:M78"/>
    <mergeCell ref="A79:B79"/>
    <mergeCell ref="H79:J79"/>
    <mergeCell ref="L79:M79"/>
    <mergeCell ref="H80:H81"/>
    <mergeCell ref="I80:I81"/>
    <mergeCell ref="J80:K80"/>
    <mergeCell ref="L80:L81"/>
    <mergeCell ref="M80:M81"/>
    <mergeCell ref="I101:J101"/>
    <mergeCell ref="I102:J102"/>
    <mergeCell ref="I103:J103"/>
    <mergeCell ref="I104:J104"/>
    <mergeCell ref="I106:J106"/>
    <mergeCell ref="I107:J107"/>
    <mergeCell ref="H96:H97"/>
    <mergeCell ref="I96:K97"/>
    <mergeCell ref="L96:M97"/>
    <mergeCell ref="I98:J98"/>
    <mergeCell ref="I99:J99"/>
    <mergeCell ref="I100:J100"/>
    <mergeCell ref="A116:F116"/>
    <mergeCell ref="A117:B117"/>
    <mergeCell ref="A118:B118"/>
    <mergeCell ref="I108:J108"/>
    <mergeCell ref="I109:J109"/>
    <mergeCell ref="I110:J110"/>
    <mergeCell ref="H112:I112"/>
    <mergeCell ref="K112:L112"/>
    <mergeCell ref="A114:M115"/>
    <mergeCell ref="I111:J111"/>
  </mergeCells>
  <printOptions horizontalCentered="1" verticalCentered="1"/>
  <pageMargins left="0" right="0" top="0" bottom="0" header="0" footer="0"/>
  <pageSetup paperSize="9" scale="72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1"/>
  <sheetViews>
    <sheetView zoomScaleNormal="100" zoomScaleSheetLayoutView="115" zoomScalePageLayoutView="70" workbookViewId="0">
      <pane xSplit="1" ySplit="1" topLeftCell="F17" activePane="bottomRight" state="frozen"/>
      <selection pane="topRight" activeCell="B1" sqref="B1"/>
      <selection pane="bottomLeft" activeCell="A4" sqref="A4"/>
      <selection pane="bottomRight" activeCell="L15" sqref="L15"/>
    </sheetView>
  </sheetViews>
  <sheetFormatPr defaultColWidth="9.140625" defaultRowHeight="15"/>
  <cols>
    <col min="1" max="1" width="12.7109375" style="35" customWidth="1"/>
    <col min="2" max="2" width="6" style="35" customWidth="1"/>
    <col min="3" max="3" width="16.7109375" style="35" customWidth="1"/>
    <col min="4" max="4" width="13.5703125" style="35" customWidth="1"/>
    <col min="5" max="5" width="12.85546875" style="35" customWidth="1"/>
    <col min="6" max="7" width="16.7109375" style="35" customWidth="1"/>
    <col min="8" max="13" width="18.7109375" style="35" customWidth="1"/>
    <col min="14" max="16384" width="9.140625" style="35"/>
  </cols>
  <sheetData>
    <row r="1" spans="2:16" ht="14.1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15" t="s">
        <v>191</v>
      </c>
      <c r="I1" s="463" t="s">
        <v>240</v>
      </c>
      <c r="J1" s="463" t="s">
        <v>371</v>
      </c>
      <c r="K1" s="463"/>
      <c r="L1" s="463"/>
    </row>
    <row r="2" spans="2:16" ht="14.1" customHeight="1">
      <c r="B2" s="16">
        <f>IF(C2="","",WEEKDAY(C2,2))</f>
        <v>7</v>
      </c>
      <c r="C2" s="17">
        <v>44164</v>
      </c>
      <c r="D2" s="757"/>
      <c r="E2" s="757"/>
      <c r="F2" s="873"/>
      <c r="G2" s="227">
        <v>617.5</v>
      </c>
      <c r="H2" s="1021"/>
      <c r="I2" s="669"/>
      <c r="J2" s="463"/>
      <c r="K2" s="463"/>
      <c r="L2" s="463"/>
    </row>
    <row r="3" spans="2:16" ht="14.1" customHeight="1">
      <c r="B3" s="16">
        <f t="shared" ref="B3" si="0">IF(C3="","",WEEKDAY(C3,2))</f>
        <v>1</v>
      </c>
      <c r="C3" s="17">
        <v>44165</v>
      </c>
      <c r="D3" s="757"/>
      <c r="E3" s="757"/>
      <c r="F3" s="873"/>
      <c r="G3" s="227">
        <v>589.6</v>
      </c>
      <c r="H3" s="1021"/>
      <c r="I3" s="670"/>
      <c r="J3" s="463"/>
      <c r="K3" s="463"/>
      <c r="L3" s="1037"/>
      <c r="M3" s="1038"/>
    </row>
    <row r="4" spans="2:16" ht="14.1" customHeight="1">
      <c r="B4" s="16">
        <f>IF(C4="","",WEEKDAY(C4,2))</f>
        <v>2</v>
      </c>
      <c r="C4" s="17">
        <v>44166</v>
      </c>
      <c r="D4" s="757">
        <v>1341.1</v>
      </c>
      <c r="E4" s="757">
        <v>40</v>
      </c>
      <c r="F4" s="873"/>
      <c r="G4" s="227">
        <v>247.3</v>
      </c>
      <c r="H4" s="1000"/>
      <c r="I4" s="669"/>
      <c r="J4" s="463"/>
      <c r="K4"/>
      <c r="L4" s="463"/>
      <c r="M4"/>
    </row>
    <row r="5" spans="2:16" ht="14.1" customHeight="1">
      <c r="B5" s="16">
        <f t="shared" ref="B5:B33" si="1">IF(C5="","",WEEKDAY(C5,2))</f>
        <v>3</v>
      </c>
      <c r="C5" s="17">
        <v>44167</v>
      </c>
      <c r="D5" s="757">
        <v>954.6</v>
      </c>
      <c r="E5" s="757"/>
      <c r="F5" s="873"/>
      <c r="G5" s="227">
        <v>386.6</v>
      </c>
      <c r="H5" s="1000"/>
      <c r="I5" s="670"/>
      <c r="J5" s="463"/>
      <c r="K5" s="463"/>
      <c r="L5" s="463"/>
    </row>
    <row r="6" spans="2:16" ht="14.1" customHeight="1">
      <c r="B6" s="16">
        <f t="shared" si="1"/>
        <v>4</v>
      </c>
      <c r="C6" s="17">
        <v>44168</v>
      </c>
      <c r="D6" s="757"/>
      <c r="E6" s="757">
        <v>679.75</v>
      </c>
      <c r="F6" s="873"/>
      <c r="G6" s="227"/>
      <c r="H6" s="1000">
        <v>219</v>
      </c>
      <c r="I6" s="670" t="s">
        <v>423</v>
      </c>
      <c r="J6" s="463"/>
      <c r="K6" s="463"/>
      <c r="L6" s="463"/>
    </row>
    <row r="7" spans="2:16" ht="14.1" customHeight="1">
      <c r="B7" s="16">
        <f t="shared" si="1"/>
        <v>5</v>
      </c>
      <c r="C7" s="17">
        <v>44169</v>
      </c>
      <c r="D7" s="757"/>
      <c r="E7" s="757">
        <v>793.5</v>
      </c>
      <c r="F7" s="873"/>
      <c r="G7" s="227">
        <v>357.5</v>
      </c>
      <c r="H7" s="1000"/>
      <c r="I7" s="85"/>
      <c r="J7" s="463"/>
      <c r="K7" s="463"/>
      <c r="L7" s="463"/>
    </row>
    <row r="8" spans="2:16" ht="14.1" customHeight="1">
      <c r="B8" s="16">
        <f t="shared" si="1"/>
        <v>6</v>
      </c>
      <c r="C8" s="17">
        <v>44170</v>
      </c>
      <c r="D8" s="757">
        <v>255.8</v>
      </c>
      <c r="E8" s="739"/>
      <c r="F8" s="873"/>
      <c r="G8" s="227">
        <v>616.5</v>
      </c>
      <c r="H8" s="1000"/>
      <c r="I8" s="85"/>
      <c r="J8" s="463"/>
      <c r="K8" s="463"/>
      <c r="L8" s="463"/>
    </row>
    <row r="9" spans="2:16" ht="14.1" customHeight="1">
      <c r="B9" s="16">
        <f t="shared" si="1"/>
        <v>7</v>
      </c>
      <c r="C9" s="17">
        <v>44171</v>
      </c>
      <c r="D9" s="757">
        <v>1130</v>
      </c>
      <c r="E9" s="757"/>
      <c r="F9" s="873"/>
      <c r="G9" s="227">
        <v>513.35</v>
      </c>
      <c r="H9" s="875"/>
      <c r="I9" s="85"/>
      <c r="J9" s="463"/>
      <c r="K9" s="463"/>
      <c r="L9" s="463"/>
    </row>
    <row r="10" spans="2:16" ht="14.1" customHeight="1">
      <c r="B10" s="16">
        <f t="shared" si="1"/>
        <v>1</v>
      </c>
      <c r="C10" s="17">
        <v>44172</v>
      </c>
      <c r="D10" s="757"/>
      <c r="E10" s="757">
        <v>298</v>
      </c>
      <c r="F10" s="873"/>
      <c r="G10" s="227">
        <v>278.89999999999998</v>
      </c>
      <c r="H10" s="885"/>
      <c r="I10" s="726"/>
      <c r="J10" s="463"/>
      <c r="K10" s="463"/>
      <c r="L10" s="463"/>
    </row>
    <row r="11" spans="2:16" ht="14.1" customHeight="1">
      <c r="B11" s="16">
        <f t="shared" si="1"/>
        <v>2</v>
      </c>
      <c r="C11" s="17">
        <v>44173</v>
      </c>
      <c r="D11" s="739">
        <v>192.3</v>
      </c>
      <c r="E11" s="757">
        <v>333.31</v>
      </c>
      <c r="F11" s="873"/>
      <c r="G11" s="227"/>
      <c r="H11" s="18"/>
      <c r="I11" s="726"/>
      <c r="J11" s="463"/>
      <c r="K11" s="463"/>
      <c r="L11" s="463"/>
    </row>
    <row r="12" spans="2:16" ht="14.1" customHeight="1">
      <c r="B12" s="16">
        <f t="shared" si="1"/>
        <v>3</v>
      </c>
      <c r="C12" s="17">
        <v>44174</v>
      </c>
      <c r="D12" s="757">
        <v>528</v>
      </c>
      <c r="E12" s="757"/>
      <c r="F12" s="873"/>
      <c r="G12" s="227">
        <v>482</v>
      </c>
      <c r="H12" s="431"/>
      <c r="I12" s="726"/>
      <c r="J12" s="463"/>
      <c r="K12" s="463"/>
      <c r="L12" s="463"/>
    </row>
    <row r="13" spans="2:16" ht="14.1" customHeight="1">
      <c r="B13" s="16">
        <f t="shared" si="1"/>
        <v>4</v>
      </c>
      <c r="C13" s="17">
        <v>44175</v>
      </c>
      <c r="D13" s="757">
        <v>715.35</v>
      </c>
      <c r="E13" s="757"/>
      <c r="F13" s="873"/>
      <c r="G13" s="227">
        <v>479.8</v>
      </c>
      <c r="H13" s="226"/>
      <c r="I13" s="1000"/>
      <c r="J13" s="463"/>
      <c r="K13" s="465"/>
      <c r="L13" s="463"/>
      <c r="N13" s="86"/>
      <c r="O13" s="86"/>
      <c r="P13" s="86"/>
    </row>
    <row r="14" spans="2:16" ht="14.1" customHeight="1">
      <c r="B14" s="16">
        <f t="shared" si="1"/>
        <v>5</v>
      </c>
      <c r="C14" s="17">
        <v>44176</v>
      </c>
      <c r="D14" s="739">
        <v>62</v>
      </c>
      <c r="E14" s="757">
        <v>430.5</v>
      </c>
      <c r="F14" s="873"/>
      <c r="G14" s="227">
        <v>238.7</v>
      </c>
      <c r="H14" s="226"/>
      <c r="I14" s="726"/>
      <c r="J14" s="463"/>
      <c r="K14" s="465"/>
      <c r="L14" s="463"/>
      <c r="N14" s="86"/>
      <c r="O14" s="86"/>
      <c r="P14" s="86"/>
    </row>
    <row r="15" spans="2:16" ht="14.1" customHeight="1">
      <c r="B15" s="16">
        <f t="shared" si="1"/>
        <v>6</v>
      </c>
      <c r="C15" s="17">
        <v>44177</v>
      </c>
      <c r="D15" s="757"/>
      <c r="E15" s="757">
        <v>596.6</v>
      </c>
      <c r="F15" s="873"/>
      <c r="G15" s="227">
        <v>968</v>
      </c>
      <c r="H15" s="226"/>
      <c r="I15" s="726"/>
      <c r="J15" s="463"/>
      <c r="K15" s="465"/>
      <c r="L15" s="463"/>
      <c r="N15" s="86"/>
      <c r="O15" s="86"/>
      <c r="P15" s="86"/>
    </row>
    <row r="16" spans="2:16" ht="14.1" customHeight="1">
      <c r="B16" s="16">
        <f t="shared" si="1"/>
        <v>7</v>
      </c>
      <c r="C16" s="17">
        <v>44178</v>
      </c>
      <c r="D16" s="757">
        <v>817.5</v>
      </c>
      <c r="E16" s="757"/>
      <c r="F16" s="873"/>
      <c r="G16" s="227"/>
      <c r="H16" s="226">
        <v>529.82000000000005</v>
      </c>
      <c r="I16" s="726" t="s">
        <v>190</v>
      </c>
      <c r="J16" s="463"/>
      <c r="K16" s="465"/>
      <c r="L16" s="463"/>
      <c r="N16" s="86"/>
      <c r="O16" s="86"/>
      <c r="P16" s="86"/>
    </row>
    <row r="17" spans="1:16" ht="14.1" customHeight="1">
      <c r="A17" s="86"/>
      <c r="B17" s="16">
        <f t="shared" si="1"/>
        <v>1</v>
      </c>
      <c r="C17" s="17">
        <v>44179</v>
      </c>
      <c r="D17" s="757">
        <v>669.51</v>
      </c>
      <c r="E17" s="757"/>
      <c r="F17" s="873"/>
      <c r="G17" s="227"/>
      <c r="H17" s="1000">
        <v>288.85000000000002</v>
      </c>
      <c r="I17" s="726" t="s">
        <v>190</v>
      </c>
      <c r="J17" s="463"/>
      <c r="K17" s="465"/>
      <c r="L17" s="463"/>
      <c r="N17" s="86"/>
      <c r="O17" s="86"/>
      <c r="P17" s="86"/>
    </row>
    <row r="18" spans="1:16" ht="14.1" customHeight="1">
      <c r="A18" s="86"/>
      <c r="B18" s="16">
        <f t="shared" si="1"/>
        <v>2</v>
      </c>
      <c r="C18" s="17">
        <v>44180</v>
      </c>
      <c r="D18" s="757"/>
      <c r="E18" s="757">
        <v>507</v>
      </c>
      <c r="F18" s="873"/>
      <c r="G18" s="227">
        <v>837.7</v>
      </c>
      <c r="H18" s="885"/>
      <c r="I18" s="726"/>
      <c r="J18" s="463"/>
      <c r="K18" s="465"/>
      <c r="L18" s="465"/>
      <c r="M18" s="86"/>
      <c r="N18" s="86"/>
      <c r="O18" s="86"/>
      <c r="P18" s="86"/>
    </row>
    <row r="19" spans="1:16" ht="14.1" customHeight="1">
      <c r="A19" s="86"/>
      <c r="B19" s="16">
        <f t="shared" si="1"/>
        <v>3</v>
      </c>
      <c r="C19" s="17">
        <v>44181</v>
      </c>
      <c r="D19" s="757"/>
      <c r="E19" s="757">
        <v>1191.3</v>
      </c>
      <c r="F19" s="873"/>
      <c r="G19" s="227">
        <v>1042.9000000000001</v>
      </c>
      <c r="H19" s="14"/>
      <c r="I19" s="726"/>
      <c r="J19" s="463"/>
      <c r="K19" s="465"/>
      <c r="L19" s="467"/>
      <c r="M19" s="86"/>
      <c r="N19" s="86"/>
      <c r="O19" s="86"/>
      <c r="P19" s="86"/>
    </row>
    <row r="20" spans="1:16" ht="14.1" customHeight="1">
      <c r="A20" s="86"/>
      <c r="B20" s="16">
        <f t="shared" si="1"/>
        <v>4</v>
      </c>
      <c r="C20" s="17">
        <v>44182</v>
      </c>
      <c r="D20" s="757"/>
      <c r="E20" s="757">
        <v>1079.3</v>
      </c>
      <c r="F20" s="873"/>
      <c r="G20" s="227">
        <v>929.3</v>
      </c>
      <c r="H20" s="226"/>
      <c r="I20" s="726"/>
      <c r="J20" s="463"/>
      <c r="K20" s="465"/>
      <c r="L20" s="465"/>
      <c r="M20" s="86"/>
      <c r="N20" s="86"/>
      <c r="O20" s="86"/>
      <c r="P20" s="86"/>
    </row>
    <row r="21" spans="1:16" ht="14.1" customHeight="1">
      <c r="A21" s="86"/>
      <c r="B21" s="16">
        <f t="shared" si="1"/>
        <v>5</v>
      </c>
      <c r="C21" s="17">
        <v>44183</v>
      </c>
      <c r="D21" s="757"/>
      <c r="E21" s="757"/>
      <c r="F21" s="873"/>
      <c r="G21" s="227">
        <v>1313.8</v>
      </c>
      <c r="H21" s="14">
        <v>844.6</v>
      </c>
      <c r="I21" s="726" t="s">
        <v>189</v>
      </c>
      <c r="J21" s="463"/>
      <c r="K21" s="465"/>
      <c r="L21" s="465"/>
      <c r="M21" s="86"/>
      <c r="N21" s="86"/>
      <c r="O21" s="86"/>
      <c r="P21" s="86"/>
    </row>
    <row r="22" spans="1:16" s="86" customFormat="1" ht="14.1" customHeight="1">
      <c r="A22" s="474"/>
      <c r="B22" s="16">
        <f t="shared" si="1"/>
        <v>6</v>
      </c>
      <c r="C22" s="17">
        <v>44184</v>
      </c>
      <c r="D22" s="757"/>
      <c r="E22" s="757">
        <v>1060.5</v>
      </c>
      <c r="F22" s="873">
        <v>1159</v>
      </c>
      <c r="G22" s="227"/>
      <c r="H22" s="22"/>
      <c r="I22" s="727"/>
      <c r="J22" s="465"/>
      <c r="K22" s="465"/>
      <c r="L22" s="465"/>
    </row>
    <row r="23" spans="1:16" s="86" customFormat="1" ht="14.1" customHeight="1">
      <c r="B23" s="16">
        <f t="shared" si="1"/>
        <v>7</v>
      </c>
      <c r="C23" s="17">
        <v>44185</v>
      </c>
      <c r="D23" s="739"/>
      <c r="E23" s="757">
        <v>1488.8</v>
      </c>
      <c r="F23" s="873"/>
      <c r="G23" s="227">
        <v>915.7</v>
      </c>
      <c r="H23" s="226"/>
      <c r="I23" s="727"/>
      <c r="J23" s="465"/>
      <c r="K23" s="465"/>
      <c r="L23" s="465"/>
    </row>
    <row r="24" spans="1:16" s="86" customFormat="1" ht="14.1" customHeight="1">
      <c r="B24" s="16">
        <f t="shared" si="1"/>
        <v>1</v>
      </c>
      <c r="C24" s="17">
        <v>44186</v>
      </c>
      <c r="D24" s="739"/>
      <c r="E24" s="757">
        <v>986.1</v>
      </c>
      <c r="F24" s="873"/>
      <c r="G24" s="227">
        <v>338</v>
      </c>
      <c r="H24" s="226"/>
      <c r="I24" s="727"/>
      <c r="J24" s="465"/>
      <c r="K24" s="465"/>
      <c r="L24" s="465"/>
    </row>
    <row r="25" spans="1:16" s="86" customFormat="1" ht="14.1" customHeight="1">
      <c r="A25" s="888"/>
      <c r="B25" s="16">
        <f t="shared" si="1"/>
        <v>2</v>
      </c>
      <c r="C25" s="17">
        <v>44187</v>
      </c>
      <c r="D25" s="757"/>
      <c r="E25" s="757"/>
      <c r="F25" s="873">
        <v>728</v>
      </c>
      <c r="G25" s="873">
        <v>1517.8</v>
      </c>
      <c r="H25" s="475"/>
      <c r="I25" s="727"/>
      <c r="J25" s="465"/>
      <c r="K25" s="465"/>
      <c r="L25" s="465"/>
    </row>
    <row r="26" spans="1:16" s="86" customFormat="1" ht="14.1" customHeight="1">
      <c r="A26" s="888"/>
      <c r="B26" s="16">
        <f t="shared" si="1"/>
        <v>3</v>
      </c>
      <c r="C26" s="17">
        <v>44188</v>
      </c>
      <c r="D26" s="757"/>
      <c r="E26" s="757">
        <v>586.1</v>
      </c>
      <c r="F26" s="873">
        <v>691.9</v>
      </c>
      <c r="G26" s="227"/>
      <c r="H26" s="226"/>
      <c r="I26" s="727"/>
      <c r="J26" s="465"/>
      <c r="K26" s="704"/>
      <c r="L26" s="465"/>
    </row>
    <row r="27" spans="1:16" s="86" customFormat="1" ht="14.1" customHeight="1">
      <c r="B27" s="16">
        <f t="shared" si="1"/>
        <v>4</v>
      </c>
      <c r="C27" s="17">
        <v>44189</v>
      </c>
      <c r="D27" s="757"/>
      <c r="E27" s="757">
        <v>1043</v>
      </c>
      <c r="F27" s="873"/>
      <c r="G27" s="227">
        <v>997.1</v>
      </c>
      <c r="H27" s="226"/>
      <c r="I27" s="727"/>
      <c r="J27" s="465"/>
      <c r="K27" s="465"/>
      <c r="L27" s="476"/>
    </row>
    <row r="28" spans="1:16" s="86" customFormat="1" ht="14.1" customHeight="1">
      <c r="B28" s="16">
        <f t="shared" si="1"/>
        <v>5</v>
      </c>
      <c r="C28" s="17">
        <v>44190</v>
      </c>
      <c r="D28" s="757"/>
      <c r="E28" s="757">
        <v>1429.3</v>
      </c>
      <c r="F28" s="873"/>
      <c r="G28" s="227">
        <v>1037.9000000000001</v>
      </c>
      <c r="H28" s="226"/>
      <c r="I28" s="727"/>
      <c r="J28" s="465"/>
      <c r="K28" s="465"/>
      <c r="L28" s="476"/>
    </row>
    <row r="29" spans="1:16" s="86" customFormat="1" ht="14.1" customHeight="1">
      <c r="B29" s="16">
        <f t="shared" si="1"/>
        <v>6</v>
      </c>
      <c r="C29" s="17">
        <v>44191</v>
      </c>
      <c r="D29" s="757"/>
      <c r="E29" s="757"/>
      <c r="F29" s="873">
        <v>917.4</v>
      </c>
      <c r="G29" s="873">
        <v>1031</v>
      </c>
      <c r="H29" s="226"/>
      <c r="I29" s="727"/>
      <c r="J29" s="468"/>
      <c r="K29" s="468"/>
      <c r="L29" s="468"/>
      <c r="M29" s="366"/>
      <c r="N29" s="366"/>
      <c r="O29" s="366"/>
      <c r="P29" s="366"/>
    </row>
    <row r="30" spans="1:16" s="86" customFormat="1" ht="14.1" customHeight="1">
      <c r="A30" s="474"/>
      <c r="B30" s="16">
        <f t="shared" si="1"/>
        <v>7</v>
      </c>
      <c r="C30" s="17">
        <v>44192</v>
      </c>
      <c r="D30" s="757"/>
      <c r="E30" s="757"/>
      <c r="F30" s="873">
        <v>1027.6600000000001</v>
      </c>
      <c r="G30" s="873">
        <v>678.3</v>
      </c>
      <c r="H30" s="226"/>
      <c r="I30" s="727"/>
      <c r="J30" s="468"/>
      <c r="K30" s="468"/>
      <c r="L30" s="468"/>
      <c r="M30" s="366"/>
      <c r="N30" s="366"/>
      <c r="O30" s="366"/>
      <c r="P30" s="366"/>
    </row>
    <row r="31" spans="1:16" s="86" customFormat="1" ht="14.1" customHeight="1">
      <c r="B31" s="16">
        <f t="shared" si="1"/>
        <v>1</v>
      </c>
      <c r="C31" s="17">
        <v>44193</v>
      </c>
      <c r="D31" s="739"/>
      <c r="E31" s="757">
        <v>960.7</v>
      </c>
      <c r="F31" s="702"/>
      <c r="G31" s="226">
        <v>604</v>
      </c>
      <c r="H31" s="226"/>
      <c r="I31" s="727"/>
      <c r="J31" s="468"/>
      <c r="K31" s="466"/>
      <c r="L31" s="466"/>
      <c r="M31" s="366"/>
      <c r="N31" s="366"/>
      <c r="O31" s="366"/>
      <c r="P31" s="366"/>
    </row>
    <row r="32" spans="1:16" s="86" customFormat="1" ht="14.1" customHeight="1">
      <c r="B32" s="16">
        <f t="shared" si="1"/>
        <v>2</v>
      </c>
      <c r="C32" s="17">
        <v>44194</v>
      </c>
      <c r="D32" s="757"/>
      <c r="E32" s="757">
        <v>565.1</v>
      </c>
      <c r="F32" s="702"/>
      <c r="G32" s="226">
        <v>903.9</v>
      </c>
      <c r="H32" s="226"/>
      <c r="I32" s="727"/>
      <c r="J32" s="466"/>
      <c r="K32" s="468"/>
      <c r="L32" s="466"/>
      <c r="M32" s="366"/>
      <c r="N32" s="366"/>
      <c r="O32" s="366"/>
      <c r="P32" s="366"/>
    </row>
    <row r="33" spans="1:16" s="86" customFormat="1" ht="14.1" customHeight="1">
      <c r="A33" s="474"/>
      <c r="B33" s="16">
        <f t="shared" si="1"/>
        <v>3</v>
      </c>
      <c r="C33" s="17">
        <v>44195</v>
      </c>
      <c r="D33" s="757"/>
      <c r="E33" s="757">
        <v>773.1</v>
      </c>
      <c r="F33" s="702">
        <v>958.9</v>
      </c>
      <c r="H33" s="22"/>
      <c r="I33" s="728"/>
      <c r="J33" s="469"/>
      <c r="K33" s="469"/>
      <c r="L33" s="469"/>
      <c r="M33" s="366"/>
      <c r="N33" s="366"/>
      <c r="O33" s="366"/>
      <c r="P33" s="366"/>
    </row>
    <row r="34" spans="1:16" s="86" customFormat="1" ht="14.1" customHeight="1">
      <c r="A34" s="474"/>
      <c r="B34" s="16">
        <f t="shared" ref="B34" si="2">IF(C34="","",WEEKDAY(C34,2))</f>
        <v>4</v>
      </c>
      <c r="C34" s="17">
        <v>44196</v>
      </c>
      <c r="D34" s="757"/>
      <c r="E34" s="739"/>
      <c r="F34" s="702">
        <v>506.5</v>
      </c>
      <c r="G34" s="702">
        <v>301</v>
      </c>
      <c r="H34" s="366"/>
      <c r="I34" s="469"/>
      <c r="J34" s="469"/>
      <c r="K34" s="469"/>
      <c r="L34" s="469"/>
      <c r="M34" s="145"/>
      <c r="N34" s="366"/>
      <c r="O34" s="366"/>
      <c r="P34" s="366"/>
    </row>
    <row r="35" spans="1:16" ht="14.1" customHeight="1" thickBot="1">
      <c r="B35" s="21"/>
      <c r="C35" s="574" t="s">
        <v>225</v>
      </c>
      <c r="D35" s="85">
        <v>8</v>
      </c>
      <c r="E35" s="85">
        <v>18</v>
      </c>
      <c r="F35" s="85">
        <f>COUNT(F4:F34)</f>
        <v>7</v>
      </c>
      <c r="G35" s="85">
        <f>COUNT(G2:G34)</f>
        <v>26</v>
      </c>
      <c r="I35" s="469"/>
      <c r="J35" s="469"/>
      <c r="K35" s="469"/>
      <c r="L35" s="469"/>
      <c r="M35" s="366"/>
      <c r="N35" s="366"/>
      <c r="O35" s="366"/>
      <c r="P35" s="366"/>
    </row>
    <row r="36" spans="1:16" ht="14.1" customHeight="1" thickBot="1">
      <c r="B36" s="21"/>
      <c r="C36" s="85" t="s">
        <v>73</v>
      </c>
      <c r="D36" s="238">
        <f>SUM(D4:D34)</f>
        <v>6666.1600000000008</v>
      </c>
      <c r="E36" s="238">
        <f>SUM(E4:E34)</f>
        <v>14841.960000000001</v>
      </c>
      <c r="F36" s="238">
        <f>SUM(F4:F34)</f>
        <v>5989.36</v>
      </c>
      <c r="G36" s="238">
        <f>SUM(G2:G34)</f>
        <v>18224.150000000001</v>
      </c>
      <c r="H36" s="1"/>
      <c r="I36" s="253" t="s">
        <v>189</v>
      </c>
      <c r="J36" s="292" t="s">
        <v>190</v>
      </c>
      <c r="K36" s="452" t="s">
        <v>219</v>
      </c>
      <c r="L36" s="363"/>
      <c r="M36" s="366"/>
      <c r="N36" s="366"/>
      <c r="O36" s="366"/>
      <c r="P36" s="366"/>
    </row>
    <row r="37" spans="1:16" ht="14.1" customHeight="1" thickBot="1">
      <c r="B37" s="21"/>
      <c r="C37" s="85" t="s">
        <v>22</v>
      </c>
      <c r="D37" s="238">
        <v>6661.7</v>
      </c>
      <c r="E37" s="238">
        <v>14480.3</v>
      </c>
      <c r="F37" s="238">
        <v>5874.98</v>
      </c>
      <c r="G37" s="238">
        <v>18069.55</v>
      </c>
      <c r="H37" s="12"/>
      <c r="I37" s="292">
        <f>SUM(D4:E34)-D11+G34+G30+G29+G25+H21</f>
        <v>25688.519999999993</v>
      </c>
      <c r="J37" s="292">
        <f>SUM(F4:G24)+H16+H17+H6+D11+F25+F26+G27+G28+F29+F30+G31+G32+F33+F34</f>
        <v>20708.280000000002</v>
      </c>
      <c r="K37" s="453">
        <f>SUM(I4:I34)</f>
        <v>0</v>
      </c>
      <c r="L37" s="363"/>
      <c r="M37" s="366"/>
      <c r="N37" s="366"/>
      <c r="O37" s="366"/>
      <c r="P37" s="366"/>
    </row>
    <row r="38" spans="1:16" ht="14.1" customHeight="1">
      <c r="B38" s="21"/>
      <c r="C38" s="85" t="s">
        <v>5</v>
      </c>
      <c r="D38" s="88">
        <f t="shared" ref="D38:G38" si="3">ABS(D36-D37)</f>
        <v>4.4600000000009459</v>
      </c>
      <c r="E38" s="88">
        <f t="shared" si="3"/>
        <v>361.66000000000167</v>
      </c>
      <c r="F38" s="88">
        <f t="shared" si="3"/>
        <v>114.38000000000011</v>
      </c>
      <c r="G38" s="88">
        <f t="shared" si="3"/>
        <v>154.60000000000218</v>
      </c>
      <c r="H38" s="1"/>
      <c r="I38" s="363"/>
      <c r="J38" s="363"/>
      <c r="K38" s="363"/>
      <c r="L38" s="363"/>
      <c r="M38" s="366"/>
      <c r="N38" s="366"/>
      <c r="O38" s="366"/>
      <c r="P38" s="366"/>
    </row>
    <row r="39" spans="1:16" ht="14.1" customHeight="1">
      <c r="B39" s="21"/>
      <c r="C39" s="700" t="s">
        <v>233</v>
      </c>
      <c r="D39" s="89">
        <f>ROUND(D38*1%,2)</f>
        <v>0.04</v>
      </c>
      <c r="E39" s="89">
        <f t="shared" ref="E39" si="4">ROUND(E38*1%,2)</f>
        <v>3.62</v>
      </c>
      <c r="F39" s="89">
        <f>ROUND(F38*1%,2)</f>
        <v>1.1399999999999999</v>
      </c>
      <c r="G39" s="89">
        <f>ROUND(G38*1%,2)</f>
        <v>1.55</v>
      </c>
      <c r="H39" s="1"/>
      <c r="I39" s="363"/>
      <c r="J39" s="363"/>
      <c r="K39" s="363"/>
      <c r="L39" s="363"/>
      <c r="M39" s="366"/>
      <c r="N39" s="366"/>
      <c r="O39" s="366"/>
      <c r="P39" s="366"/>
    </row>
    <row r="40" spans="1:16" ht="14.1" customHeight="1">
      <c r="B40" s="21"/>
      <c r="C40" s="699" t="s">
        <v>234</v>
      </c>
      <c r="D40" s="89">
        <f>ROUND(3%*D37,2)</f>
        <v>199.85</v>
      </c>
      <c r="E40" s="89">
        <f>ROUND(3%*E37,2)</f>
        <v>434.41</v>
      </c>
      <c r="F40" s="89">
        <f>ROUND(3%*F37,2)</f>
        <v>176.25</v>
      </c>
      <c r="G40" s="89">
        <f>ROUND(3%*G37,2)</f>
        <v>542.09</v>
      </c>
      <c r="H40" s="1"/>
      <c r="I40" s="145"/>
      <c r="J40" s="145"/>
      <c r="K40" s="366"/>
      <c r="L40" s="363"/>
      <c r="M40" s="366"/>
      <c r="N40" s="366"/>
      <c r="O40" s="366"/>
      <c r="P40" s="366"/>
    </row>
    <row r="41" spans="1:16" ht="14.1" customHeight="1">
      <c r="B41" s="21"/>
      <c r="C41" s="85" t="s">
        <v>7</v>
      </c>
      <c r="D41" s="87">
        <v>25</v>
      </c>
      <c r="E41" s="87">
        <v>75</v>
      </c>
      <c r="F41" s="87"/>
      <c r="G41" s="87">
        <v>40</v>
      </c>
      <c r="H41" s="12"/>
      <c r="I41" s="145"/>
      <c r="J41" s="145"/>
      <c r="K41" s="366"/>
      <c r="L41" s="363"/>
      <c r="M41" s="366"/>
      <c r="N41" s="366"/>
      <c r="O41" s="366"/>
      <c r="P41" s="366"/>
    </row>
    <row r="42" spans="1:16" ht="14.1" customHeight="1">
      <c r="B42" s="21"/>
      <c r="C42" s="85" t="s">
        <v>14</v>
      </c>
      <c r="D42" s="87">
        <f>20*8</f>
        <v>160</v>
      </c>
      <c r="E42" s="87">
        <f>ROUND(20*E35,2)</f>
        <v>360</v>
      </c>
      <c r="F42" s="87">
        <f>ROUND(25*F35,2)</f>
        <v>175</v>
      </c>
      <c r="G42" s="88">
        <f>ROUND(25*22,2)+ROUND(20*4,2)</f>
        <v>630</v>
      </c>
      <c r="H42" s="8"/>
      <c r="I42" s="283"/>
      <c r="J42" s="145"/>
      <c r="K42" s="145"/>
      <c r="L42" s="363"/>
      <c r="M42" s="366"/>
      <c r="N42" s="366"/>
      <c r="O42" s="366"/>
      <c r="P42" s="366"/>
    </row>
    <row r="43" spans="1:16" ht="14.1" customHeight="1">
      <c r="B43" s="21"/>
      <c r="C43" s="85" t="s">
        <v>420</v>
      </c>
      <c r="D43" s="87">
        <v>25</v>
      </c>
      <c r="E43" s="87">
        <v>50</v>
      </c>
      <c r="F43" s="87"/>
      <c r="G43" s="88">
        <v>50</v>
      </c>
      <c r="H43" s="8"/>
      <c r="I43" s="283"/>
      <c r="J43" s="145"/>
      <c r="K43" s="145"/>
      <c r="L43" s="363"/>
      <c r="M43" s="366"/>
      <c r="N43" s="366"/>
      <c r="O43" s="366"/>
      <c r="P43" s="366"/>
    </row>
    <row r="44" spans="1:16" ht="14.1" customHeight="1">
      <c r="B44" s="21"/>
      <c r="C44" s="85" t="s">
        <v>421</v>
      </c>
      <c r="D44" s="72"/>
      <c r="E44" s="87">
        <v>30</v>
      </c>
      <c r="F44" s="87"/>
      <c r="G44" s="88">
        <v>30</v>
      </c>
      <c r="H44" s="8"/>
      <c r="I44" s="283"/>
      <c r="J44" s="145"/>
      <c r="K44" s="145"/>
      <c r="L44" s="363"/>
      <c r="M44" s="366"/>
      <c r="N44" s="366"/>
      <c r="O44" s="366"/>
      <c r="P44" s="366"/>
    </row>
    <row r="45" spans="1:16" ht="14.1" customHeight="1">
      <c r="B45" s="21"/>
      <c r="C45" s="975" t="s">
        <v>48</v>
      </c>
      <c r="D45" s="72"/>
      <c r="E45" s="87"/>
      <c r="F45" s="87"/>
      <c r="G45" s="88">
        <v>205</v>
      </c>
      <c r="H45" s="8"/>
      <c r="I45" s="283"/>
      <c r="J45" s="145"/>
      <c r="K45" s="145"/>
      <c r="L45" s="363"/>
      <c r="M45" s="366"/>
      <c r="N45" s="366"/>
      <c r="O45" s="366"/>
      <c r="P45" s="366"/>
    </row>
    <row r="46" spans="1:16" ht="14.1" customHeight="1">
      <c r="B46" s="974"/>
      <c r="C46" s="975" t="s">
        <v>94</v>
      </c>
      <c r="E46" s="241">
        <v>180.88</v>
      </c>
      <c r="F46" s="87"/>
      <c r="G46" s="87">
        <v>44.05</v>
      </c>
      <c r="I46" s="145"/>
      <c r="J46" s="145"/>
      <c r="K46" s="366"/>
      <c r="L46" s="363"/>
      <c r="M46" s="366"/>
      <c r="N46" s="366"/>
      <c r="O46" s="366"/>
      <c r="P46" s="366"/>
    </row>
    <row r="47" spans="1:16" ht="14.1" customHeight="1">
      <c r="B47" s="21"/>
      <c r="C47" s="975" t="s">
        <v>424</v>
      </c>
      <c r="D47" s="18"/>
      <c r="E47" s="241">
        <v>17.5</v>
      </c>
      <c r="F47" s="87"/>
      <c r="G47" s="87">
        <v>50</v>
      </c>
      <c r="H47" s="12"/>
      <c r="I47" s="283"/>
      <c r="J47" s="145"/>
      <c r="K47" s="366"/>
      <c r="L47" s="366"/>
      <c r="M47" s="366"/>
      <c r="N47" s="366"/>
      <c r="O47" s="366"/>
      <c r="P47" s="366"/>
    </row>
    <row r="48" spans="1:16" ht="14.1" customHeight="1">
      <c r="B48" s="31"/>
      <c r="C48" s="245" t="s">
        <v>77</v>
      </c>
      <c r="D48" s="455">
        <f>D39+D40+D41+D42+D43</f>
        <v>409.89</v>
      </c>
      <c r="E48" s="455">
        <f>E39+E40+E41+E42+E43+E44-E46-E47</f>
        <v>754.65</v>
      </c>
      <c r="F48" s="455" t="e">
        <f>F39+F40+F42-F46-F47-#REF!</f>
        <v>#REF!</v>
      </c>
      <c r="G48" s="455">
        <f>G49-G47-G46-G45</f>
        <v>994.58999999999992</v>
      </c>
      <c r="H48" s="8"/>
      <c r="I48" s="145"/>
      <c r="J48" s="145"/>
      <c r="K48" s="366"/>
      <c r="L48" s="366"/>
      <c r="M48" s="366"/>
      <c r="N48" s="366"/>
      <c r="O48" s="366"/>
      <c r="P48" s="366"/>
    </row>
    <row r="49" spans="1:22" ht="14.1" customHeight="1">
      <c r="B49" s="21"/>
      <c r="C49" s="286" t="s">
        <v>45</v>
      </c>
      <c r="D49" s="287"/>
      <c r="E49" s="287">
        <f>E39+E40+E42+E41+E43+E44</f>
        <v>953.03</v>
      </c>
      <c r="F49" s="287">
        <f>F39+F40+F42</f>
        <v>352.39</v>
      </c>
      <c r="G49" s="287">
        <f>G39+G40+G41+G42+G43+G44</f>
        <v>1293.6399999999999</v>
      </c>
      <c r="H49" s="8"/>
      <c r="I49" s="461"/>
      <c r="J49" s="366"/>
      <c r="K49" s="366"/>
      <c r="L49" s="366"/>
      <c r="M49" s="366"/>
      <c r="N49" s="366"/>
      <c r="O49" s="366"/>
      <c r="P49" s="366"/>
      <c r="Q49" s="1"/>
      <c r="R49" s="1"/>
      <c r="S49" s="1"/>
      <c r="T49" s="1"/>
      <c r="U49" s="1"/>
      <c r="V49" s="1"/>
    </row>
    <row r="50" spans="1:22" ht="14.1" customHeight="1">
      <c r="B50" s="21"/>
      <c r="C50" s="169"/>
      <c r="D50" s="364"/>
      <c r="E50" s="461"/>
      <c r="F50" s="8"/>
      <c r="G50" s="8"/>
      <c r="H50" s="8"/>
      <c r="I50" s="283"/>
      <c r="J50" s="145"/>
      <c r="K50" s="366"/>
      <c r="L50" s="366"/>
      <c r="M50" s="366"/>
      <c r="N50" s="366"/>
      <c r="O50" s="366"/>
      <c r="P50" s="366"/>
      <c r="Q50" s="1"/>
      <c r="R50" s="1"/>
      <c r="S50" s="1"/>
      <c r="T50" s="1"/>
      <c r="U50" s="1"/>
      <c r="V50" s="1"/>
    </row>
    <row r="51" spans="1:22" s="86" customFormat="1" ht="14.1" customHeight="1">
      <c r="A51" s="168"/>
      <c r="B51" s="474"/>
      <c r="C51" s="363"/>
      <c r="D51" s="363"/>
      <c r="E51" s="363"/>
      <c r="F51" s="363"/>
      <c r="G51" s="363" t="s">
        <v>425</v>
      </c>
      <c r="H51" s="8"/>
      <c r="I51" s="68"/>
      <c r="J51" s="145"/>
      <c r="K51" s="366"/>
      <c r="L51" s="366"/>
      <c r="M51" s="145"/>
      <c r="N51" s="366"/>
      <c r="O51" s="366"/>
      <c r="P51" s="366"/>
      <c r="Q51" s="366"/>
      <c r="R51" s="366"/>
      <c r="S51" s="366"/>
      <c r="T51" s="366"/>
      <c r="U51" s="366"/>
      <c r="V51" s="366"/>
    </row>
    <row r="52" spans="1:22" s="86" customFormat="1" ht="12.95" customHeight="1">
      <c r="A52" s="168"/>
      <c r="B52" s="474"/>
      <c r="C52" s="1329" t="s">
        <v>422</v>
      </c>
      <c r="D52" s="1329"/>
      <c r="E52" s="145"/>
      <c r="F52" s="168"/>
      <c r="G52" s="168"/>
      <c r="H52" s="168"/>
      <c r="I52" s="72"/>
      <c r="J52" s="366"/>
      <c r="K52" s="366"/>
      <c r="L52" s="366"/>
      <c r="M52" s="145"/>
      <c r="N52" s="366"/>
      <c r="O52" s="366"/>
      <c r="P52" s="366"/>
      <c r="Q52" s="366"/>
      <c r="R52" s="366"/>
      <c r="S52" s="366"/>
      <c r="T52" s="366"/>
      <c r="U52" s="366"/>
      <c r="V52" s="366"/>
    </row>
    <row r="53" spans="1:22" ht="12.95" customHeight="1">
      <c r="B53" s="32"/>
      <c r="C53" s="1329"/>
      <c r="D53" s="1329"/>
      <c r="E53" s="12"/>
      <c r="G53" s="8"/>
      <c r="H53" s="207"/>
      <c r="I53" s="68"/>
      <c r="J53" s="366"/>
      <c r="K53" s="366"/>
      <c r="L53" s="366"/>
      <c r="M53" s="366"/>
      <c r="N53" s="366"/>
      <c r="O53" s="366"/>
      <c r="P53" s="366"/>
      <c r="Q53" s="1"/>
      <c r="R53" s="1"/>
      <c r="S53" s="1"/>
      <c r="T53" s="1"/>
      <c r="U53" s="1"/>
      <c r="V53" s="1"/>
    </row>
    <row r="54" spans="1:22" s="86" customFormat="1" ht="12.95" customHeight="1">
      <c r="B54" s="501"/>
      <c r="C54" s="1329"/>
      <c r="D54" s="1329"/>
      <c r="E54" s="502"/>
      <c r="F54" s="524"/>
      <c r="G54" s="502"/>
      <c r="H54" s="503"/>
      <c r="I54" s="999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2.95" customHeight="1">
      <c r="C55" s="502"/>
      <c r="D55" s="502"/>
      <c r="E55" s="524"/>
      <c r="F55" s="524"/>
      <c r="G55" s="502"/>
      <c r="H55" s="168"/>
      <c r="I55" s="525"/>
      <c r="J55" s="502"/>
      <c r="K55" s="502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s="86" customFormat="1" ht="12" customHeight="1">
      <c r="A56" s="366"/>
      <c r="B56" s="366"/>
      <c r="C56" s="502"/>
      <c r="D56" s="502"/>
      <c r="E56" s="524"/>
      <c r="F56" s="524"/>
      <c r="G56" s="502"/>
      <c r="H56" s="503"/>
      <c r="I56" s="502"/>
      <c r="J56" s="502"/>
      <c r="K56" s="502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</row>
    <row r="57" spans="1:22" s="86" customFormat="1" ht="18.75">
      <c r="A57" s="366"/>
      <c r="B57" s="366"/>
      <c r="C57" s="366"/>
      <c r="D57" s="366"/>
      <c r="E57" s="144"/>
      <c r="F57" s="168"/>
      <c r="H57" s="503"/>
      <c r="I57" s="502"/>
      <c r="J57" s="502"/>
      <c r="K57" s="502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>
      <c r="A58" s="366"/>
      <c r="B58" s="366"/>
      <c r="C58" s="366"/>
      <c r="D58" s="366"/>
      <c r="E58" s="144"/>
      <c r="I58" s="143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 ht="15" customHeight="1">
      <c r="A59" s="366"/>
      <c r="B59" s="366"/>
      <c r="C59" s="366"/>
      <c r="D59" s="366"/>
      <c r="E59" s="144"/>
      <c r="H59" s="524"/>
      <c r="I59" s="366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 ht="15" customHeight="1">
      <c r="A60" s="366"/>
      <c r="B60" s="366"/>
      <c r="C60" s="366"/>
      <c r="D60" s="366"/>
      <c r="E60" s="144"/>
      <c r="H60" s="524"/>
      <c r="I60" s="366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 ht="15" customHeight="1">
      <c r="A61" s="366"/>
      <c r="B61" s="366"/>
      <c r="C61" s="366"/>
      <c r="D61" s="366"/>
      <c r="E61" s="144"/>
      <c r="H61" s="524"/>
      <c r="I61" s="366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 s="86" customFormat="1">
      <c r="A62" s="366"/>
      <c r="B62" s="366"/>
      <c r="C62" s="366"/>
      <c r="D62" s="366"/>
      <c r="E62" s="144"/>
      <c r="H62" s="168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</row>
    <row r="63" spans="1:22" s="86" customFormat="1">
      <c r="A63" s="366"/>
      <c r="B63" s="366"/>
      <c r="C63" s="366"/>
      <c r="D63" s="366"/>
      <c r="E63" s="144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</row>
    <row r="64" spans="1:22" s="86" customFormat="1">
      <c r="A64" s="366"/>
      <c r="B64" s="366"/>
      <c r="C64" s="366"/>
      <c r="D64" s="366"/>
      <c r="E64" s="144"/>
      <c r="J64" s="366"/>
      <c r="K64" s="366"/>
      <c r="L64" s="366"/>
      <c r="M64" s="366"/>
      <c r="N64" s="366"/>
      <c r="O64" s="366"/>
      <c r="P64" s="366"/>
      <c r="Q64" s="366"/>
      <c r="R64" s="366"/>
      <c r="S64" s="366"/>
      <c r="T64" s="366"/>
      <c r="U64" s="366"/>
      <c r="V64" s="366"/>
    </row>
    <row r="65" spans="1:22" s="86" customFormat="1">
      <c r="A65" s="366"/>
      <c r="B65" s="366"/>
      <c r="C65" s="366"/>
      <c r="D65" s="366"/>
      <c r="E65" s="144"/>
      <c r="J65" s="366"/>
      <c r="K65" s="366"/>
      <c r="L65" s="366"/>
      <c r="M65" s="366"/>
      <c r="N65" s="366"/>
      <c r="O65" s="366"/>
      <c r="P65" s="366"/>
      <c r="Q65" s="366"/>
      <c r="R65" s="366"/>
      <c r="S65" s="366"/>
      <c r="T65" s="366"/>
      <c r="U65" s="366"/>
      <c r="V65" s="366"/>
    </row>
    <row r="66" spans="1:22" s="86" customFormat="1">
      <c r="A66" s="366"/>
      <c r="B66" s="366"/>
      <c r="C66" s="366"/>
      <c r="D66" s="366"/>
      <c r="E66" s="144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</row>
    <row r="67" spans="1:22">
      <c r="A67" s="1"/>
      <c r="B67" s="1"/>
      <c r="C67" s="1"/>
      <c r="D67" s="1"/>
      <c r="E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1"/>
      <c r="D71" s="1"/>
      <c r="E71" s="11"/>
    </row>
    <row r="72" spans="1:22">
      <c r="A72" s="1"/>
      <c r="B72" s="1"/>
      <c r="C72" s="1"/>
      <c r="D72" s="1"/>
      <c r="E72" s="11"/>
    </row>
    <row r="73" spans="1:22">
      <c r="A73" s="1"/>
      <c r="B73" s="1"/>
      <c r="C73" s="1"/>
      <c r="D73" s="1"/>
      <c r="E73" s="11"/>
    </row>
    <row r="74" spans="1:22">
      <c r="A74" s="1"/>
      <c r="B74" s="1"/>
      <c r="C74" s="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11"/>
    </row>
    <row r="90" spans="1:5">
      <c r="A90" s="1"/>
      <c r="B90" s="1"/>
      <c r="C90" s="1"/>
      <c r="D90" s="1"/>
      <c r="E90" s="11"/>
    </row>
    <row r="91" spans="1:5">
      <c r="A91" s="1"/>
      <c r="B91" s="1"/>
      <c r="C91" s="1"/>
      <c r="D91" s="1"/>
      <c r="E91" s="11"/>
    </row>
    <row r="92" spans="1:5">
      <c r="A92" s="1"/>
      <c r="B92" s="1"/>
      <c r="C92" s="1"/>
      <c r="D92" s="1"/>
      <c r="E92" s="11"/>
    </row>
    <row r="93" spans="1:5">
      <c r="A93" s="1"/>
      <c r="B93" s="1"/>
      <c r="C93" s="1"/>
      <c r="D93" s="1"/>
      <c r="E93" s="2"/>
    </row>
    <row r="94" spans="1:5">
      <c r="A94" s="1"/>
      <c r="B94" s="1"/>
      <c r="C94" s="1"/>
      <c r="D94" s="1"/>
      <c r="E94" s="2"/>
    </row>
    <row r="95" spans="1:5">
      <c r="A95" s="1"/>
      <c r="B95" s="1"/>
      <c r="E95" s="2"/>
    </row>
    <row r="96" spans="1:5">
      <c r="A96" s="1"/>
      <c r="B96" s="1"/>
      <c r="E96" s="2"/>
    </row>
    <row r="97" spans="1:5">
      <c r="A97" s="1"/>
      <c r="B97" s="1"/>
      <c r="E97" s="2"/>
    </row>
    <row r="98" spans="1:5">
      <c r="B98" s="1"/>
      <c r="E98" s="2"/>
    </row>
    <row r="99" spans="1:5">
      <c r="B99" s="1"/>
      <c r="E99" s="2"/>
    </row>
    <row r="100" spans="1:5">
      <c r="E100" s="2"/>
    </row>
    <row r="101" spans="1:5">
      <c r="E101" s="2"/>
    </row>
    <row r="102" spans="1:5">
      <c r="E102" s="2"/>
    </row>
    <row r="103" spans="1:5">
      <c r="E103" s="2"/>
    </row>
    <row r="104" spans="1:5">
      <c r="E104" s="2"/>
    </row>
    <row r="105" spans="1:5">
      <c r="E105" s="2"/>
    </row>
    <row r="106" spans="1:5">
      <c r="E106" s="2"/>
    </row>
    <row r="107" spans="1:5">
      <c r="E107" s="2"/>
    </row>
    <row r="108" spans="1:5">
      <c r="E108" s="2"/>
    </row>
    <row r="109" spans="1:5">
      <c r="E109" s="2"/>
    </row>
    <row r="110" spans="1:5">
      <c r="E110" s="2"/>
    </row>
    <row r="111" spans="1:5">
      <c r="E111" s="2"/>
    </row>
    <row r="112" spans="1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</sheetData>
  <mergeCells count="1">
    <mergeCell ref="C52:D54"/>
  </mergeCells>
  <conditionalFormatting sqref="B4:G13 B16:G31 B14:D15 F14:G15 B34:G34 B32:F33 C2:C3">
    <cfRule type="expression" dxfId="33" priority="5">
      <formula>$B2=7</formula>
    </cfRule>
    <cfRule type="expression" dxfId="32" priority="6">
      <formula>$B2=6</formula>
    </cfRule>
  </conditionalFormatting>
  <conditionalFormatting sqref="E14 G32">
    <cfRule type="expression" dxfId="31" priority="47">
      <formula>$B15=7</formula>
    </cfRule>
    <cfRule type="expression" dxfId="30" priority="48">
      <formula>$B15=6</formula>
    </cfRule>
  </conditionalFormatting>
  <conditionalFormatting sqref="E15">
    <cfRule type="expression" dxfId="29" priority="3">
      <formula>$B15=7</formula>
    </cfRule>
    <cfRule type="expression" dxfId="28" priority="4">
      <formula>$B15=6</formula>
    </cfRule>
  </conditionalFormatting>
  <conditionalFormatting sqref="B2:B3 D2:G3">
    <cfRule type="expression" dxfId="27" priority="1">
      <formula>$B2=7</formula>
    </cfRule>
    <cfRule type="expression" dxfId="26" priority="2">
      <formula>$B2=6</formula>
    </cfRule>
  </conditionalFormatting>
  <pageMargins left="0.7" right="0.7" top="0.75" bottom="0.75" header="0.3" footer="0.3"/>
  <pageSetup paperSize="11" scale="7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45"/>
  <sheetViews>
    <sheetView zoomScale="85" zoomScaleNormal="85" zoomScaleSheetLayoutView="70" zoomScalePageLayoutView="70" workbookViewId="0">
      <selection activeCell="A13" sqref="A13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1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411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1029"/>
      <c r="O2" s="1027"/>
      <c r="P2" s="1027"/>
      <c r="Q2" s="1027"/>
      <c r="R2" s="366"/>
      <c r="S2" s="1027"/>
      <c r="T2" s="1027"/>
      <c r="U2" s="1027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1029"/>
      <c r="O3" s="366"/>
      <c r="P3" s="366"/>
      <c r="Q3" s="366"/>
      <c r="R3" s="366"/>
      <c r="S3" s="366"/>
      <c r="T3" s="366"/>
      <c r="U3" s="366"/>
      <c r="V3" s="1027"/>
      <c r="W3" s="1027"/>
      <c r="X3" s="366"/>
      <c r="Y3" s="1027"/>
      <c r="Z3" s="629"/>
      <c r="AA3" s="366"/>
      <c r="AB3" s="366"/>
      <c r="AC3" s="366"/>
      <c r="AD3" s="1027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1024" t="s">
        <v>34</v>
      </c>
      <c r="C4" s="36" t="s">
        <v>35</v>
      </c>
      <c r="D4" s="36" t="s">
        <v>38</v>
      </c>
      <c r="E4" s="36" t="s">
        <v>42</v>
      </c>
      <c r="F4" s="1024" t="s">
        <v>36</v>
      </c>
      <c r="G4" s="100" t="s">
        <v>173</v>
      </c>
      <c r="H4" s="676" t="s">
        <v>2</v>
      </c>
      <c r="I4" s="1285" t="s">
        <v>34</v>
      </c>
      <c r="J4" s="1285"/>
      <c r="K4" s="1031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1014"/>
      <c r="B5" s="167" t="s">
        <v>334</v>
      </c>
      <c r="C5" s="1013">
        <v>75</v>
      </c>
      <c r="D5" s="1013">
        <v>75</v>
      </c>
      <c r="E5" s="542" t="str">
        <f t="shared" ref="E5:E19" si="0">IF(C5-D5=0,"",C5-D5)</f>
        <v/>
      </c>
      <c r="F5" s="162" t="str">
        <f t="shared" ref="F5:F19" si="1">IF(C5=0,"",IF(C5-D5=0,"оплачено","ОЖИДАЕТСЯ оплата"))</f>
        <v>оплачено</v>
      </c>
      <c r="G5" s="161"/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>
        <v>44208</v>
      </c>
      <c r="B6" s="161" t="s">
        <v>243</v>
      </c>
      <c r="C6" s="275">
        <v>586.29999999999995</v>
      </c>
      <c r="D6" s="275">
        <v>586.29999999999995</v>
      </c>
      <c r="E6" s="634" t="str">
        <f t="shared" si="0"/>
        <v/>
      </c>
      <c r="F6" s="161" t="str">
        <f t="shared" si="1"/>
        <v>оплачено</v>
      </c>
      <c r="G6" s="161" t="s">
        <v>427</v>
      </c>
      <c r="H6" s="678"/>
      <c r="I6" s="1288"/>
      <c r="J6" s="1289"/>
      <c r="K6" s="480"/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/>
      <c r="B7" s="161" t="s">
        <v>334</v>
      </c>
      <c r="C7" s="275">
        <v>367.24</v>
      </c>
      <c r="D7" s="275">
        <v>367.24</v>
      </c>
      <c r="E7" s="542" t="str">
        <f t="shared" si="0"/>
        <v/>
      </c>
      <c r="F7" s="162" t="str">
        <f t="shared" si="1"/>
        <v>оплачено</v>
      </c>
      <c r="G7" s="161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>
        <v>44218</v>
      </c>
      <c r="B8" s="161" t="s">
        <v>432</v>
      </c>
      <c r="C8" s="275">
        <v>486.93</v>
      </c>
      <c r="D8" s="275">
        <v>486.93</v>
      </c>
      <c r="E8" s="542" t="str">
        <f t="shared" si="0"/>
        <v/>
      </c>
      <c r="F8" s="162" t="str">
        <f t="shared" si="1"/>
        <v>оплачено</v>
      </c>
      <c r="G8" s="161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>
        <v>44210</v>
      </c>
      <c r="B9" s="161" t="s">
        <v>431</v>
      </c>
      <c r="C9" s="275">
        <v>263.89</v>
      </c>
      <c r="D9" s="275">
        <v>263.89</v>
      </c>
      <c r="E9" s="634" t="str">
        <f t="shared" si="0"/>
        <v/>
      </c>
      <c r="F9" s="161" t="str">
        <f t="shared" si="1"/>
        <v>оплачено</v>
      </c>
      <c r="G9" s="161"/>
      <c r="H9" s="678"/>
      <c r="I9" s="1288"/>
      <c r="J9" s="1289"/>
      <c r="K9" s="480"/>
      <c r="L9" s="1290"/>
      <c r="M9" s="1291"/>
      <c r="N9" s="1012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s="86" customFormat="1" ht="15.75" customHeight="1">
      <c r="A10" s="325">
        <v>44217</v>
      </c>
      <c r="B10" s="161" t="s">
        <v>431</v>
      </c>
      <c r="C10" s="275">
        <v>208.05</v>
      </c>
      <c r="D10" s="275">
        <v>208.05</v>
      </c>
      <c r="E10" s="634" t="str">
        <f t="shared" si="0"/>
        <v/>
      </c>
      <c r="F10" s="161" t="str">
        <f t="shared" si="1"/>
        <v>оплачено</v>
      </c>
      <c r="G10" s="161"/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s="86" customFormat="1" ht="15.75" customHeight="1">
      <c r="A11" s="325">
        <v>44218</v>
      </c>
      <c r="B11" s="161" t="s">
        <v>431</v>
      </c>
      <c r="C11" s="275">
        <v>70.08</v>
      </c>
      <c r="D11" s="275">
        <v>70.08</v>
      </c>
      <c r="E11" s="634" t="str">
        <f t="shared" si="0"/>
        <v/>
      </c>
      <c r="F11" s="161" t="str">
        <f t="shared" si="1"/>
        <v>оплачено</v>
      </c>
      <c r="G11" s="161"/>
      <c r="H11" s="678"/>
      <c r="I11" s="1288"/>
      <c r="J11" s="1289"/>
      <c r="K11" s="480"/>
      <c r="L11" s="1290"/>
      <c r="M11" s="1291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s="86" customFormat="1" ht="14.25" customHeight="1">
      <c r="A12" s="325">
        <v>44228</v>
      </c>
      <c r="B12" s="161" t="s">
        <v>434</v>
      </c>
      <c r="C12" s="275">
        <v>426.43</v>
      </c>
      <c r="D12" s="275">
        <v>426.43</v>
      </c>
      <c r="E12" s="634" t="str">
        <f t="shared" si="0"/>
        <v/>
      </c>
      <c r="F12" s="161" t="str">
        <f t="shared" si="1"/>
        <v>оплачено</v>
      </c>
      <c r="G12" s="161"/>
      <c r="H12" s="678"/>
      <c r="I12" s="1288"/>
      <c r="J12" s="1289"/>
      <c r="K12" s="480"/>
      <c r="L12" s="1290"/>
      <c r="M12" s="1291"/>
      <c r="N12" s="766"/>
      <c r="O12" s="1042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1"/>
      <c r="H13" s="678"/>
      <c r="I13" s="1288"/>
      <c r="J13" s="1289"/>
      <c r="K13" s="480"/>
      <c r="L13" s="1191"/>
      <c r="M13" s="1292"/>
      <c r="N13" s="766"/>
      <c r="O13" s="936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>IF(C14-D14=0,"",C14-D14)</f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935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447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2483.92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1028" t="s">
        <v>21</v>
      </c>
      <c r="K22" s="1028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/>
      <c r="P24" s="366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447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 t="shared" ref="M31:M35" si="3">M30-I31-J31-K31+L31</f>
        <v>75409.000000000015</v>
      </c>
      <c r="N31" s="1"/>
      <c r="O31" s="44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 t="shared" si="3"/>
        <v>68068.100000000006</v>
      </c>
      <c r="N32" s="1"/>
      <c r="O32" s="44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 t="shared" si="3"/>
        <v>69125.030000000013</v>
      </c>
      <c r="N33" s="1"/>
      <c r="O33" s="12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20</v>
      </c>
      <c r="I34" s="689">
        <v>28716.309999999994</v>
      </c>
      <c r="J34" s="438">
        <v>4480.1000000000004</v>
      </c>
      <c r="K34" s="607">
        <f>741.01+462.85</f>
        <v>1203.8600000000001</v>
      </c>
      <c r="L34" s="607">
        <v>40057.5</v>
      </c>
      <c r="M34" s="104">
        <f t="shared" si="3"/>
        <v>74782.260000000009</v>
      </c>
      <c r="N34" s="1"/>
      <c r="O34" s="44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>
      <c r="A35" s="339"/>
      <c r="B35" s="199"/>
      <c r="C35" s="1"/>
      <c r="D35" s="273"/>
      <c r="E35" s="366"/>
      <c r="F35" s="366"/>
      <c r="G35" s="366"/>
      <c r="H35" s="347" t="s">
        <v>148</v>
      </c>
      <c r="I35" s="689">
        <v>26800.16</v>
      </c>
      <c r="J35" s="438">
        <f>4+53+32.5+311.5+375+214+61.3+1914+130.5+597.5+16.8+2.5+2148.5+28+491+24</f>
        <v>6404.1</v>
      </c>
      <c r="K35" s="607">
        <f>835.3+489.85</f>
        <v>1325.15</v>
      </c>
      <c r="L35" s="960">
        <f>3255+623+28+192+21+427+2680+9605+4070+1513+315+1563.5+1878+808.5+417+35+1146+2886+540+1020+66+1156+773.5+396+2643.5+1976+588+375+1850.5</f>
        <v>42847.5</v>
      </c>
      <c r="M35" s="104">
        <f t="shared" si="3"/>
        <v>83100.350000000006</v>
      </c>
      <c r="N35" s="1"/>
      <c r="O35" s="44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>
      <c r="A36" s="339"/>
      <c r="B36" s="199"/>
      <c r="C36" s="1"/>
      <c r="D36" s="273"/>
      <c r="E36" s="366"/>
      <c r="F36" s="366"/>
      <c r="G36" s="366"/>
      <c r="H36" s="347" t="s">
        <v>162</v>
      </c>
      <c r="I36" s="689">
        <v>25796.49</v>
      </c>
      <c r="J36" s="438">
        <f>2.2+22+11+100+1+324+64.2+163+106+6+211.5+238+369+166+327.5+1+30+198</f>
        <v>2340.4</v>
      </c>
      <c r="K36" s="607">
        <v>1417.21</v>
      </c>
      <c r="L36" s="960">
        <f>1442+786+491+108+201+501+256+1197+2570+42+883.5+330+192+1658+539+1550.5+1020.5+410+1497+230+17+879+290.5+569+1403.5+696+517+2100+1076.5+482+811</f>
        <v>24746</v>
      </c>
      <c r="M36" s="104">
        <f>M35-I36-J36-K36+L36</f>
        <v>78292.25</v>
      </c>
      <c r="N36" s="1"/>
      <c r="O36" s="447"/>
      <c r="P36" s="84"/>
      <c r="Q36" s="145"/>
      <c r="R36" s="84"/>
      <c r="S36" s="541"/>
      <c r="T36" s="86"/>
      <c r="U36" s="86"/>
      <c r="V36" s="86"/>
      <c r="W36" s="86"/>
      <c r="X36" s="86"/>
      <c r="Y36" s="366"/>
      <c r="Z36" s="366"/>
    </row>
    <row r="37" spans="1:26" ht="12.75" customHeight="1">
      <c r="A37" s="339"/>
      <c r="B37" s="199"/>
      <c r="C37" s="1"/>
      <c r="D37" s="273"/>
      <c r="E37" s="366"/>
      <c r="F37" s="366"/>
      <c r="G37" s="366"/>
      <c r="H37" s="379" t="s">
        <v>163</v>
      </c>
      <c r="I37" s="621">
        <v>26221.170000000002</v>
      </c>
      <c r="J37" s="432">
        <f>16.8+18.5+21+481+291+23+197.5+70.2+18+706.5+91+23+42+175+2+617+9+611</f>
        <v>3413.5</v>
      </c>
      <c r="K37" s="734">
        <f>538.23+638.25</f>
        <v>1176.48</v>
      </c>
      <c r="L37" s="1040">
        <f>600+18+110+3039+866+639+533.5+48+72+1216+449.5+602+112+5408+228+20+1228+80+1766.5+1774+202+236+466+411.5+30.5+195+5659.5+327.5</f>
        <v>26337.5</v>
      </c>
      <c r="M37" s="104">
        <f>M35-I37-J37-K37+L37</f>
        <v>78626.700000000012</v>
      </c>
      <c r="N37" s="1"/>
      <c r="O37" s="447"/>
      <c r="P37" s="84"/>
      <c r="Q37" s="145"/>
      <c r="R37" s="84"/>
      <c r="S37" s="541"/>
      <c r="T37" s="86"/>
      <c r="U37" s="86"/>
      <c r="V37" s="86"/>
      <c r="W37" s="86"/>
      <c r="X37" s="86"/>
      <c r="Y37" s="366"/>
      <c r="Z37" s="366"/>
    </row>
    <row r="38" spans="1:26" ht="12.75" customHeight="1">
      <c r="A38" s="339"/>
      <c r="B38" s="199"/>
      <c r="C38" s="1"/>
      <c r="D38" s="273"/>
      <c r="E38" s="366"/>
      <c r="F38" s="366"/>
      <c r="G38" s="366"/>
      <c r="H38" s="347" t="s">
        <v>192</v>
      </c>
      <c r="I38" s="689">
        <v>25688.519999999993</v>
      </c>
      <c r="J38" s="438">
        <f>41+87+50.5+210+23.5+38+126+28.2+92.2+278.5+147.5</f>
        <v>1122.4000000000001</v>
      </c>
      <c r="K38" s="607">
        <v>929.44</v>
      </c>
      <c r="L38" s="960">
        <f>46+773+1131+329+628.5+1201+628.5+1037+56+222+428+150+1972+3098+1100.5+1593.5+138.5+165+921+1224+272.5+527+292.5</f>
        <v>17934.5</v>
      </c>
      <c r="M38" s="733">
        <f>M36-I38-J38-K38+L38</f>
        <v>68486.390000000014</v>
      </c>
      <c r="N38" s="1"/>
      <c r="O38" s="447"/>
      <c r="P38" s="84"/>
      <c r="Q38" s="145"/>
      <c r="R38" s="84"/>
      <c r="S38" s="541"/>
      <c r="T38" s="86"/>
      <c r="U38" s="86"/>
      <c r="V38" s="86"/>
      <c r="W38" s="86"/>
      <c r="X38" s="86"/>
      <c r="Y38" s="366"/>
      <c r="Z38" s="366"/>
    </row>
    <row r="39" spans="1:26" ht="12.75" customHeight="1" thickBot="1">
      <c r="A39" s="339"/>
      <c r="B39" s="199"/>
      <c r="C39" s="1"/>
      <c r="D39" s="273"/>
      <c r="E39" s="366"/>
      <c r="F39" s="366"/>
      <c r="G39" s="366"/>
      <c r="H39" s="608" t="s">
        <v>199</v>
      </c>
      <c r="I39" s="622"/>
      <c r="J39" s="610"/>
      <c r="K39" s="611"/>
      <c r="L39" s="941"/>
      <c r="M39" s="612"/>
      <c r="N39" s="1"/>
      <c r="O39" s="447"/>
      <c r="P39" s="84"/>
      <c r="Q39" s="145"/>
      <c r="R39" s="84"/>
      <c r="S39" s="541"/>
      <c r="T39" s="86"/>
      <c r="U39" s="86"/>
      <c r="V39" s="86"/>
      <c r="W39" s="86"/>
      <c r="X39" s="86"/>
      <c r="Y39" s="366"/>
      <c r="Z39" s="366"/>
    </row>
    <row r="40" spans="1:26" ht="12.75" customHeight="1" thickTop="1">
      <c r="A40" s="339"/>
      <c r="B40" s="199"/>
      <c r="C40" s="1"/>
      <c r="D40" s="273"/>
      <c r="E40" s="84"/>
      <c r="F40" s="366"/>
      <c r="G40" s="366"/>
      <c r="H40" s="1148" t="s">
        <v>36</v>
      </c>
      <c r="I40" s="1150" t="s">
        <v>178</v>
      </c>
      <c r="J40" s="1151"/>
      <c r="K40" s="1152"/>
      <c r="L40" s="1156" t="s">
        <v>159</v>
      </c>
      <c r="M40" s="1156"/>
      <c r="N40" s="747" t="s">
        <v>341</v>
      </c>
      <c r="O40" s="447"/>
      <c r="P40" s="84"/>
      <c r="Q40" s="145"/>
      <c r="R40" s="145"/>
      <c r="S40" s="86"/>
      <c r="T40" s="86"/>
      <c r="U40" s="86"/>
      <c r="V40" s="86"/>
      <c r="W40" s="86"/>
      <c r="X40" s="86"/>
      <c r="Y40" s="366"/>
      <c r="Z40" s="366"/>
    </row>
    <row r="41" spans="1:26" ht="13.5" customHeight="1">
      <c r="A41" s="339"/>
      <c r="B41" s="199"/>
      <c r="C41" s="284"/>
      <c r="D41" s="273"/>
      <c r="E41" s="284"/>
      <c r="F41" s="366"/>
      <c r="G41" s="378"/>
      <c r="H41" s="1149"/>
      <c r="I41" s="1153"/>
      <c r="J41" s="1154"/>
      <c r="K41" s="1155"/>
      <c r="L41" s="1158"/>
      <c r="M41" s="1158"/>
      <c r="N41" s="748" t="s">
        <v>189</v>
      </c>
      <c r="O41" s="447"/>
      <c r="P41" s="84"/>
      <c r="Q41" s="145"/>
      <c r="R41" s="84"/>
      <c r="S41" s="86"/>
      <c r="T41" s="86"/>
      <c r="U41" s="86"/>
      <c r="V41" s="294"/>
      <c r="W41" s="86"/>
      <c r="X41" s="86"/>
      <c r="Y41" s="366"/>
      <c r="Z41" s="366"/>
    </row>
    <row r="42" spans="1:26" ht="15.75" customHeight="1">
      <c r="A42" s="339"/>
      <c r="B42" s="199"/>
      <c r="C42" s="199"/>
      <c r="D42" s="273"/>
      <c r="E42" s="199"/>
      <c r="F42" s="366"/>
      <c r="G42" s="378"/>
      <c r="H42" s="512" t="s">
        <v>91</v>
      </c>
      <c r="I42" s="1278" t="s">
        <v>47</v>
      </c>
      <c r="J42" s="1278"/>
      <c r="K42" s="1031">
        <v>340</v>
      </c>
      <c r="L42" s="282">
        <v>44211</v>
      </c>
      <c r="M42" s="1" t="s">
        <v>171</v>
      </c>
      <c r="N42" s="749">
        <v>132</v>
      </c>
      <c r="O42" s="447"/>
      <c r="P42" s="84"/>
      <c r="Q42" s="145"/>
      <c r="R42" s="84"/>
      <c r="S42" s="86"/>
      <c r="T42" s="86"/>
      <c r="U42" s="86"/>
      <c r="V42" s="294"/>
      <c r="W42" s="86"/>
      <c r="X42" s="86"/>
      <c r="Y42" s="366"/>
      <c r="Z42" s="366"/>
    </row>
    <row r="43" spans="1:26">
      <c r="A43" s="339"/>
      <c r="B43" s="366"/>
      <c r="C43" s="274"/>
      <c r="D43" s="273"/>
      <c r="E43" s="274"/>
      <c r="F43" s="366"/>
      <c r="G43" s="366"/>
      <c r="H43" s="512" t="s">
        <v>91</v>
      </c>
      <c r="I43" s="1262" t="s">
        <v>51</v>
      </c>
      <c r="J43" s="1262"/>
      <c r="K43" s="1030">
        <v>71.83</v>
      </c>
      <c r="L43" s="282">
        <v>44211</v>
      </c>
      <c r="M43" s="1" t="s">
        <v>171</v>
      </c>
      <c r="N43" s="750">
        <v>40</v>
      </c>
      <c r="O43" s="447"/>
      <c r="P43" s="84"/>
      <c r="Q43" s="145"/>
      <c r="R43" s="273"/>
      <c r="S43" s="366"/>
      <c r="T43" s="86"/>
      <c r="U43" s="86"/>
      <c r="V43" s="294"/>
      <c r="W43" s="294"/>
      <c r="X43" s="294"/>
      <c r="Y43" s="366"/>
    </row>
    <row r="44" spans="1:26">
      <c r="A44" s="340"/>
      <c r="B44" s="366"/>
      <c r="C44" s="366"/>
      <c r="D44" s="273"/>
      <c r="E44" s="199"/>
      <c r="F44" s="366"/>
      <c r="G44" s="366"/>
      <c r="H44" s="512" t="s">
        <v>91</v>
      </c>
      <c r="I44" s="1262" t="s">
        <v>52</v>
      </c>
      <c r="J44" s="1262"/>
      <c r="K44" s="1030">
        <v>5.63</v>
      </c>
      <c r="L44" s="282">
        <v>44211</v>
      </c>
      <c r="M44" s="1" t="s">
        <v>171</v>
      </c>
      <c r="N44" s="750">
        <v>3</v>
      </c>
      <c r="O44" s="447"/>
      <c r="P44" s="84"/>
      <c r="Q44" s="145"/>
      <c r="R44" s="273"/>
      <c r="S44" s="366"/>
      <c r="T44" s="294"/>
      <c r="U44" s="86"/>
      <c r="V44" s="366"/>
      <c r="W44" s="294"/>
      <c r="X44" s="294"/>
      <c r="Y44" s="366"/>
    </row>
    <row r="45" spans="1:26">
      <c r="A45" s="340"/>
      <c r="B45" s="366"/>
      <c r="C45" s="366"/>
      <c r="D45" s="273"/>
      <c r="E45" s="366"/>
      <c r="F45" s="366"/>
      <c r="G45" s="366"/>
      <c r="H45" s="512" t="s">
        <v>91</v>
      </c>
      <c r="I45" s="1262" t="s">
        <v>49</v>
      </c>
      <c r="J45" s="1290"/>
      <c r="K45" s="1030">
        <f>331+17</f>
        <v>348</v>
      </c>
      <c r="L45" s="294">
        <v>44216</v>
      </c>
      <c r="M45" s="1" t="s">
        <v>413</v>
      </c>
      <c r="N45" s="749">
        <v>200</v>
      </c>
      <c r="O45" s="1042"/>
      <c r="P45" s="907"/>
      <c r="Q45" s="145"/>
      <c r="R45" s="1027"/>
      <c r="S45" s="366"/>
      <c r="T45" s="294"/>
      <c r="U45" s="86"/>
      <c r="V45" s="294"/>
      <c r="W45" s="294"/>
      <c r="X45" s="294"/>
      <c r="Y45" s="366"/>
    </row>
    <row r="46" spans="1:26">
      <c r="A46" s="340"/>
      <c r="B46" s="366"/>
      <c r="C46" s="366"/>
      <c r="D46" s="273"/>
      <c r="E46" s="366"/>
      <c r="F46" s="366"/>
      <c r="G46" s="366"/>
      <c r="H46" s="512" t="s">
        <v>91</v>
      </c>
      <c r="I46" s="1263" t="s">
        <v>59</v>
      </c>
      <c r="J46" s="1264"/>
      <c r="K46" s="454">
        <v>182.86</v>
      </c>
      <c r="L46" s="302" t="s">
        <v>177</v>
      </c>
      <c r="M46" s="1" t="s">
        <v>426</v>
      </c>
      <c r="N46" s="751">
        <v>102.73</v>
      </c>
      <c r="O46" s="965"/>
      <c r="P46" s="902"/>
      <c r="Q46" s="145"/>
      <c r="R46" s="540"/>
      <c r="S46" s="366"/>
      <c r="T46" s="294"/>
      <c r="U46" s="86"/>
      <c r="V46" s="294"/>
      <c r="W46" s="366"/>
      <c r="X46" s="366"/>
      <c r="Y46" s="366"/>
    </row>
    <row r="47" spans="1:26">
      <c r="A47" s="340"/>
      <c r="B47" s="199"/>
      <c r="C47" s="199"/>
      <c r="D47" s="273"/>
      <c r="E47" s="199"/>
      <c r="F47" s="366"/>
      <c r="G47" s="366"/>
      <c r="H47" s="512" t="s">
        <v>91</v>
      </c>
      <c r="I47" s="1264" t="s">
        <v>68</v>
      </c>
      <c r="J47" s="1315"/>
      <c r="K47" s="1030">
        <v>367.58</v>
      </c>
      <c r="L47" s="294">
        <v>44216</v>
      </c>
      <c r="M47" s="1" t="s">
        <v>171</v>
      </c>
      <c r="N47" s="751">
        <f>K47/2</f>
        <v>183.79</v>
      </c>
      <c r="O47" s="965"/>
      <c r="P47" s="443"/>
      <c r="Q47" s="363"/>
      <c r="R47" s="1027"/>
      <c r="S47" s="366"/>
      <c r="T47" s="366"/>
      <c r="U47" s="294"/>
      <c r="V47" s="294"/>
      <c r="W47" s="294"/>
      <c r="X47" s="294"/>
      <c r="Y47" s="366"/>
    </row>
    <row r="48" spans="1:26">
      <c r="A48" s="340"/>
      <c r="B48" s="199"/>
      <c r="C48" s="366"/>
      <c r="D48" s="273"/>
      <c r="E48" s="199"/>
      <c r="F48" s="366"/>
      <c r="G48" s="366"/>
      <c r="H48" s="512" t="s">
        <v>91</v>
      </c>
      <c r="I48" s="1032" t="s">
        <v>174</v>
      </c>
      <c r="J48" s="1034"/>
      <c r="K48" s="475">
        <f>180.88+337.71</f>
        <v>518.58999999999992</v>
      </c>
      <c r="L48" s="282">
        <v>44211</v>
      </c>
      <c r="M48" s="1" t="s">
        <v>171</v>
      </c>
      <c r="N48" s="752">
        <f>K48</f>
        <v>518.58999999999992</v>
      </c>
      <c r="O48" s="12"/>
      <c r="P48" s="985"/>
      <c r="Q48" s="363"/>
      <c r="R48" s="365"/>
      <c r="S48" s="366"/>
      <c r="T48" s="294"/>
      <c r="U48" s="294"/>
      <c r="V48" s="294"/>
      <c r="W48" s="294"/>
      <c r="X48" s="294"/>
      <c r="Y48" s="366"/>
    </row>
    <row r="49" spans="1:25">
      <c r="A49" s="340"/>
      <c r="B49" s="199"/>
      <c r="C49" s="366"/>
      <c r="D49" s="273"/>
      <c r="E49" s="199"/>
      <c r="F49" s="366"/>
      <c r="G49" s="366"/>
      <c r="H49" s="512" t="s">
        <v>91</v>
      </c>
      <c r="I49" s="1032" t="s">
        <v>176</v>
      </c>
      <c r="J49" s="1034"/>
      <c r="K49" s="454">
        <v>320.5</v>
      </c>
      <c r="L49" s="294">
        <v>44216</v>
      </c>
      <c r="M49" s="1" t="s">
        <v>171</v>
      </c>
      <c r="N49" s="750">
        <f>K49</f>
        <v>320.5</v>
      </c>
      <c r="O49" s="447"/>
      <c r="P49" s="84"/>
      <c r="Q49" s="363"/>
      <c r="R49" s="365"/>
      <c r="S49" s="366"/>
      <c r="T49" s="294"/>
      <c r="U49" s="294"/>
      <c r="V49" s="294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91</v>
      </c>
      <c r="I50" s="1264" t="s">
        <v>81</v>
      </c>
      <c r="J50" s="1265"/>
      <c r="K50" s="1030">
        <v>1548.7</v>
      </c>
      <c r="L50" s="282">
        <v>44211</v>
      </c>
      <c r="M50" s="1" t="s">
        <v>171</v>
      </c>
      <c r="N50" s="750">
        <f>K50/2</f>
        <v>774.35</v>
      </c>
      <c r="O50" s="145"/>
      <c r="P50" s="84"/>
      <c r="Q50" s="84"/>
      <c r="R50" s="84"/>
      <c r="S50" s="84"/>
      <c r="T50" s="294"/>
      <c r="U50" s="366"/>
      <c r="V50" s="294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338</v>
      </c>
      <c r="I51" s="1264" t="s">
        <v>181</v>
      </c>
      <c r="J51" s="1265"/>
      <c r="K51" s="1030">
        <v>10</v>
      </c>
      <c r="L51" s="282">
        <v>44211</v>
      </c>
      <c r="M51" s="1" t="s">
        <v>171</v>
      </c>
      <c r="N51" s="752">
        <f>K51</f>
        <v>10</v>
      </c>
      <c r="O51" s="12"/>
      <c r="P51" s="145"/>
      <c r="Q51" s="363"/>
      <c r="R51" s="366"/>
      <c r="S51" s="366"/>
      <c r="T51" s="294"/>
      <c r="U51" s="294"/>
      <c r="V51" s="366"/>
      <c r="W51" s="294"/>
      <c r="X51" s="294"/>
      <c r="Y51" s="366"/>
    </row>
    <row r="52" spans="1:25">
      <c r="A52" s="340" t="s">
        <v>314</v>
      </c>
      <c r="B52" s="199"/>
      <c r="C52" s="366"/>
      <c r="D52" s="273"/>
      <c r="E52" s="232"/>
      <c r="F52" s="366"/>
      <c r="G52" s="366"/>
      <c r="H52" s="512" t="s">
        <v>91</v>
      </c>
      <c r="I52" s="1145" t="s">
        <v>61</v>
      </c>
      <c r="J52" s="1145"/>
      <c r="K52" s="967">
        <v>1267.48</v>
      </c>
      <c r="L52" s="294">
        <v>44216</v>
      </c>
      <c r="M52" s="1" t="s">
        <v>171</v>
      </c>
      <c r="N52" s="750"/>
      <c r="O52" s="12"/>
      <c r="P52" s="84"/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91</v>
      </c>
      <c r="I53" s="1145" t="s">
        <v>274</v>
      </c>
      <c r="J53" s="1145"/>
      <c r="K53" s="1039">
        <v>78</v>
      </c>
      <c r="L53" s="294">
        <v>44216</v>
      </c>
      <c r="M53" s="1" t="s">
        <v>171</v>
      </c>
      <c r="N53" s="749">
        <v>40</v>
      </c>
      <c r="P53" s="145"/>
      <c r="Q53" s="365"/>
      <c r="R53" s="365"/>
      <c r="S53" s="366"/>
      <c r="T53" s="294"/>
      <c r="U53" s="294"/>
      <c r="V53" s="366"/>
      <c r="W53" s="294"/>
      <c r="X53" s="294"/>
      <c r="Y53" s="366"/>
    </row>
    <row r="54" spans="1:25">
      <c r="A54" s="340"/>
      <c r="B54" s="199"/>
      <c r="C54" s="366"/>
      <c r="D54" s="273"/>
      <c r="E54" s="232"/>
      <c r="F54" s="366"/>
      <c r="G54" s="366"/>
      <c r="H54" s="512" t="s">
        <v>91</v>
      </c>
      <c r="I54" s="1145" t="s">
        <v>275</v>
      </c>
      <c r="J54" s="1145"/>
      <c r="K54" s="93">
        <v>50</v>
      </c>
      <c r="L54" s="282">
        <v>44211</v>
      </c>
      <c r="M54" s="1" t="s">
        <v>171</v>
      </c>
      <c r="N54" s="750">
        <v>50</v>
      </c>
      <c r="P54" s="145"/>
      <c r="Q54" s="273"/>
      <c r="R54" s="365"/>
      <c r="S54" s="366"/>
      <c r="T54" s="294"/>
      <c r="U54" s="294"/>
      <c r="V54" s="366"/>
      <c r="W54" s="294"/>
      <c r="X54" s="294"/>
      <c r="Y54" s="366"/>
    </row>
    <row r="55" spans="1:25">
      <c r="A55" s="340"/>
      <c r="B55" s="199"/>
      <c r="C55" s="366"/>
      <c r="D55" s="273"/>
      <c r="E55" s="232"/>
      <c r="F55" s="366"/>
      <c r="G55" s="366"/>
      <c r="H55" s="512"/>
      <c r="I55" s="1145" t="s">
        <v>276</v>
      </c>
      <c r="J55" s="1145"/>
      <c r="K55" s="93">
        <v>150</v>
      </c>
      <c r="L55" s="282">
        <v>44226</v>
      </c>
      <c r="M55" s="1" t="s">
        <v>171</v>
      </c>
      <c r="N55" s="750">
        <v>150</v>
      </c>
      <c r="O55" s="12"/>
      <c r="P55" s="145"/>
      <c r="Q55" s="365"/>
      <c r="R55" s="365"/>
      <c r="S55" s="366"/>
      <c r="T55" s="294"/>
      <c r="U55" s="294"/>
      <c r="V55" s="366"/>
      <c r="W55" s="294"/>
      <c r="X55" s="294"/>
      <c r="Y55" s="366"/>
    </row>
    <row r="56" spans="1:25">
      <c r="A56" s="340"/>
      <c r="B56" s="199"/>
      <c r="C56" s="366"/>
      <c r="D56" s="273"/>
      <c r="E56" s="232"/>
      <c r="F56" s="366"/>
      <c r="G56" s="366"/>
      <c r="H56" s="512" t="s">
        <v>91</v>
      </c>
      <c r="I56" s="1145" t="s">
        <v>296</v>
      </c>
      <c r="J56" s="1145"/>
      <c r="K56" s="93">
        <v>18</v>
      </c>
      <c r="L56" s="282">
        <v>44211</v>
      </c>
      <c r="M56" s="1" t="s">
        <v>171</v>
      </c>
      <c r="N56" s="751">
        <v>9</v>
      </c>
      <c r="O56" s="150"/>
      <c r="P56" s="145"/>
      <c r="Q56" s="365"/>
      <c r="R56" s="365"/>
      <c r="S56" s="366"/>
      <c r="T56" s="294"/>
      <c r="U56" s="294"/>
      <c r="V56" s="366"/>
      <c r="W56" s="294"/>
      <c r="X56" s="294"/>
      <c r="Y56" s="366"/>
    </row>
    <row r="57" spans="1:25">
      <c r="A57" s="340"/>
      <c r="B57" s="199"/>
      <c r="C57" s="366"/>
      <c r="D57" s="273"/>
      <c r="E57" s="232"/>
      <c r="F57" s="366"/>
      <c r="G57" s="366"/>
      <c r="H57" s="512"/>
      <c r="I57" s="1143" t="s">
        <v>345</v>
      </c>
      <c r="J57" s="1144"/>
      <c r="K57" s="145">
        <v>772.15</v>
      </c>
      <c r="L57" s="282">
        <v>44226</v>
      </c>
      <c r="M57" s="1" t="s">
        <v>171</v>
      </c>
      <c r="N57" s="771">
        <f>K57</f>
        <v>772.15</v>
      </c>
      <c r="O57" s="150"/>
      <c r="P57" s="145"/>
      <c r="Q57" s="365"/>
      <c r="R57" s="365"/>
      <c r="S57" s="366"/>
      <c r="T57" s="294"/>
      <c r="U57" s="294"/>
      <c r="V57" s="366"/>
      <c r="W57" s="294"/>
      <c r="X57" s="294"/>
      <c r="Y57" s="366"/>
    </row>
    <row r="58" spans="1:25" ht="15.75" thickBot="1">
      <c r="A58" s="341"/>
      <c r="B58" s="330"/>
      <c r="C58" s="331"/>
      <c r="D58" s="342"/>
      <c r="E58" s="330"/>
      <c r="F58" s="331"/>
      <c r="G58" s="331"/>
      <c r="H58" s="1300" t="s">
        <v>179</v>
      </c>
      <c r="I58" s="1281"/>
      <c r="J58" s="361">
        <f>SUM(K42:K57)</f>
        <v>6049.32</v>
      </c>
      <c r="K58" s="1146" t="s">
        <v>180</v>
      </c>
      <c r="L58" s="1146"/>
      <c r="M58" s="746">
        <v>0</v>
      </c>
      <c r="N58" s="753">
        <f>SUM(N42:N57)</f>
        <v>3306.11</v>
      </c>
      <c r="P58" s="145"/>
      <c r="Q58" s="365"/>
      <c r="R58" s="366"/>
      <c r="S58" s="366"/>
      <c r="T58" s="294"/>
      <c r="U58" s="366"/>
      <c r="V58" s="366"/>
      <c r="W58" s="366"/>
      <c r="X58" s="366"/>
      <c r="Y58" s="366"/>
    </row>
    <row r="59" spans="1:25" ht="15.75" thickTop="1">
      <c r="A59" s="366"/>
      <c r="B59" s="366"/>
      <c r="C59" s="366"/>
      <c r="D59" s="366"/>
      <c r="E59" s="366"/>
      <c r="F59" s="366"/>
      <c r="G59" s="366"/>
      <c r="H59" s="1162"/>
      <c r="I59" s="1162"/>
      <c r="J59" s="1162"/>
      <c r="K59" s="1162"/>
      <c r="L59" s="366"/>
      <c r="M59" s="441"/>
      <c r="N59" s="1"/>
      <c r="P59" s="145"/>
      <c r="Q59" s="365"/>
      <c r="R59" s="366"/>
      <c r="S59" s="366"/>
      <c r="T59" s="366"/>
      <c r="U59" s="366"/>
      <c r="V59" s="366"/>
      <c r="W59" s="366"/>
      <c r="X59" s="366"/>
      <c r="Y59" s="366"/>
    </row>
    <row r="60" spans="1:25" ht="15" customHeight="1">
      <c r="A60" s="1163" t="s">
        <v>412</v>
      </c>
      <c r="B60" s="1163"/>
      <c r="C60" s="1163"/>
      <c r="D60" s="1163"/>
      <c r="E60" s="1163"/>
      <c r="F60" s="1163"/>
      <c r="G60" s="1163"/>
      <c r="H60" s="1163"/>
      <c r="I60" s="1163"/>
      <c r="J60" s="1163"/>
      <c r="K60" s="1163"/>
      <c r="L60" s="1163"/>
      <c r="M60" s="1163"/>
      <c r="N60" s="1"/>
      <c r="O60" s="150"/>
      <c r="P60" s="145"/>
      <c r="Q60" s="365"/>
      <c r="R60" s="366"/>
      <c r="S60" s="366"/>
      <c r="T60" s="366"/>
      <c r="U60" s="366"/>
      <c r="V60" s="366"/>
      <c r="W60" s="366"/>
      <c r="X60" s="366"/>
    </row>
    <row r="61" spans="1:25" ht="15.75" customHeight="1" thickBot="1">
      <c r="A61" s="1164"/>
      <c r="B61" s="1164"/>
      <c r="C61" s="1164"/>
      <c r="D61" s="1164"/>
      <c r="E61" s="1164"/>
      <c r="F61" s="1164"/>
      <c r="G61" s="1164"/>
      <c r="H61" s="1164"/>
      <c r="I61" s="1164"/>
      <c r="J61" s="1164"/>
      <c r="K61" s="1164"/>
      <c r="L61" s="1164"/>
      <c r="M61" s="1164"/>
      <c r="N61" s="1"/>
      <c r="P61" s="145"/>
      <c r="Q61" s="365"/>
      <c r="R61" s="365"/>
      <c r="S61" s="1027"/>
      <c r="T61" s="366"/>
      <c r="U61" s="366"/>
      <c r="V61" s="366"/>
      <c r="W61" s="366"/>
      <c r="X61" s="366"/>
    </row>
    <row r="62" spans="1:25" ht="15.75" thickTop="1">
      <c r="A62" s="1266" t="s">
        <v>317</v>
      </c>
      <c r="B62" s="1166"/>
      <c r="C62" s="1166"/>
      <c r="D62" s="1166"/>
      <c r="E62" s="1166"/>
      <c r="F62" s="1166"/>
      <c r="G62" s="1167"/>
      <c r="H62" s="1282" t="s">
        <v>316</v>
      </c>
      <c r="I62" s="1283"/>
      <c r="J62" s="1283"/>
      <c r="K62" s="1283"/>
      <c r="L62" s="1283"/>
      <c r="M62" s="1284"/>
      <c r="N62" s="1"/>
      <c r="P62" s="84"/>
      <c r="Q62" s="366"/>
      <c r="S62" s="274"/>
      <c r="T62" s="366"/>
      <c r="U62" s="366"/>
      <c r="V62" s="366"/>
      <c r="W62" s="366"/>
      <c r="X62" s="366"/>
    </row>
    <row r="63" spans="1:25">
      <c r="A63" s="324" t="s">
        <v>2</v>
      </c>
      <c r="B63" s="1024" t="s">
        <v>34</v>
      </c>
      <c r="C63" s="36" t="s">
        <v>35</v>
      </c>
      <c r="D63" s="36" t="s">
        <v>38</v>
      </c>
      <c r="E63" s="36" t="s">
        <v>42</v>
      </c>
      <c r="F63" s="1024" t="s">
        <v>36</v>
      </c>
      <c r="G63" s="100" t="s">
        <v>173</v>
      </c>
      <c r="H63" s="676" t="s">
        <v>2</v>
      </c>
      <c r="I63" s="1285" t="s">
        <v>34</v>
      </c>
      <c r="J63" s="1285"/>
      <c r="K63" s="1031" t="s">
        <v>35</v>
      </c>
      <c r="L63" s="1286" t="s">
        <v>173</v>
      </c>
      <c r="M63" s="1287"/>
      <c r="N63" s="1"/>
      <c r="P63" s="448"/>
      <c r="Q63" s="366"/>
      <c r="S63" s="274"/>
      <c r="T63" s="366"/>
      <c r="U63" s="366"/>
      <c r="V63" s="366"/>
      <c r="W63" s="366"/>
      <c r="X63" s="366"/>
    </row>
    <row r="64" spans="1:25">
      <c r="A64" s="325">
        <v>44211</v>
      </c>
      <c r="B64" s="161" t="s">
        <v>428</v>
      </c>
      <c r="C64" s="275">
        <v>1768.01</v>
      </c>
      <c r="D64" s="275">
        <v>1768.01</v>
      </c>
      <c r="E64" s="542" t="str">
        <f>IF(C64-D64=0,"",C64-D64)</f>
        <v/>
      </c>
      <c r="F64" s="162" t="str">
        <f t="shared" ref="F64:F79" si="4">IF(C64=0,"",IF(C64-D64=0,"оплачено","ОЖИДАЕТСЯ оплата"))</f>
        <v>оплачено</v>
      </c>
      <c r="G64" s="162"/>
      <c r="H64" s="325"/>
      <c r="I64" s="1288"/>
      <c r="J64" s="1289"/>
      <c r="K64" s="480"/>
      <c r="L64" s="1293"/>
      <c r="M64" s="1294"/>
      <c r="N64" s="1"/>
      <c r="P64" s="448"/>
      <c r="Q64" s="366"/>
      <c r="S64" s="366"/>
      <c r="T64" s="84"/>
      <c r="U64" s="366"/>
      <c r="W64" s="366"/>
      <c r="X64" s="366"/>
    </row>
    <row r="65" spans="1:24">
      <c r="A65" s="325">
        <v>44209</v>
      </c>
      <c r="B65" s="161" t="s">
        <v>429</v>
      </c>
      <c r="C65" s="275">
        <v>400.09</v>
      </c>
      <c r="D65" s="275">
        <v>400.09</v>
      </c>
      <c r="E65" s="542" t="str">
        <f t="shared" ref="E65:E79" si="5">IF(C65-D65=0,"",C65-D65)</f>
        <v/>
      </c>
      <c r="F65" s="162" t="str">
        <f t="shared" si="4"/>
        <v>оплачено</v>
      </c>
      <c r="G65" s="162"/>
      <c r="H65" s="678"/>
      <c r="I65" s="1288"/>
      <c r="J65" s="1289"/>
      <c r="K65" s="480"/>
      <c r="L65" s="1293"/>
      <c r="M65" s="1294"/>
      <c r="N65" s="1"/>
      <c r="P65" s="448"/>
      <c r="Q65" s="366"/>
      <c r="S65" s="366"/>
      <c r="T65" s="366"/>
      <c r="U65" s="366"/>
      <c r="W65" s="366"/>
      <c r="X65" s="366"/>
    </row>
    <row r="66" spans="1:24">
      <c r="A66" s="325">
        <v>44153</v>
      </c>
      <c r="B66" s="161" t="s">
        <v>257</v>
      </c>
      <c r="C66" s="275">
        <v>105.38</v>
      </c>
      <c r="D66" s="275">
        <v>105.38</v>
      </c>
      <c r="E66" s="634" t="str">
        <f t="shared" si="5"/>
        <v/>
      </c>
      <c r="F66" s="162" t="str">
        <f t="shared" si="4"/>
        <v>оплачено</v>
      </c>
      <c r="G66" s="162" t="s">
        <v>430</v>
      </c>
      <c r="H66" s="678"/>
      <c r="I66" s="1288"/>
      <c r="J66" s="1289"/>
      <c r="K66" s="480"/>
      <c r="L66" s="1290"/>
      <c r="M66" s="1291"/>
      <c r="N66" s="1"/>
      <c r="P66" s="448"/>
      <c r="T66" s="366"/>
      <c r="U66" s="366"/>
    </row>
    <row r="67" spans="1:24">
      <c r="A67" s="325">
        <v>44218</v>
      </c>
      <c r="B67" s="161" t="s">
        <v>432</v>
      </c>
      <c r="C67" s="275">
        <v>924</v>
      </c>
      <c r="D67" s="275">
        <v>924</v>
      </c>
      <c r="E67" s="634" t="str">
        <f t="shared" si="5"/>
        <v/>
      </c>
      <c r="F67" s="161" t="str">
        <f t="shared" si="4"/>
        <v>оплачено</v>
      </c>
      <c r="G67" s="161"/>
      <c r="H67" s="678"/>
      <c r="I67" s="1288"/>
      <c r="J67" s="1289"/>
      <c r="K67" s="480"/>
      <c r="L67" s="1290"/>
      <c r="M67" s="1291"/>
      <c r="N67" s="1"/>
      <c r="P67" s="448"/>
      <c r="U67" s="366"/>
    </row>
    <row r="68" spans="1:24">
      <c r="A68" s="325"/>
      <c r="B68" s="161" t="s">
        <v>307</v>
      </c>
      <c r="C68" s="513">
        <v>719.75</v>
      </c>
      <c r="D68" s="513">
        <v>719.75</v>
      </c>
      <c r="E68" s="634" t="str">
        <f t="shared" si="5"/>
        <v/>
      </c>
      <c r="F68" s="162" t="str">
        <f t="shared" si="4"/>
        <v>оплачено</v>
      </c>
      <c r="G68" s="162"/>
      <c r="H68" s="678"/>
      <c r="I68" s="1324"/>
      <c r="J68" s="1289"/>
      <c r="K68" s="480"/>
      <c r="L68" s="1290"/>
      <c r="M68" s="1291"/>
      <c r="N68" s="1"/>
      <c r="O68" s="150"/>
      <c r="P68" s="541"/>
      <c r="U68" s="366"/>
    </row>
    <row r="69" spans="1:24">
      <c r="A69" s="325"/>
      <c r="B69" s="161" t="s">
        <v>434</v>
      </c>
      <c r="C69" s="275">
        <v>420.43</v>
      </c>
      <c r="D69" s="275">
        <v>420.43</v>
      </c>
      <c r="E69" s="634" t="str">
        <f t="shared" si="5"/>
        <v/>
      </c>
      <c r="F69" s="162" t="str">
        <f t="shared" si="4"/>
        <v>оплачено</v>
      </c>
      <c r="G69" s="162" t="s">
        <v>433</v>
      </c>
      <c r="H69" s="678"/>
      <c r="I69" s="1288"/>
      <c r="J69" s="1289"/>
      <c r="K69" s="480"/>
      <c r="L69" s="1290"/>
      <c r="M69" s="1291"/>
      <c r="N69" s="1"/>
      <c r="O69" s="150"/>
      <c r="P69" s="86"/>
      <c r="U69" s="366"/>
    </row>
    <row r="70" spans="1:24" ht="14.45" customHeight="1">
      <c r="A70" s="325">
        <v>44229</v>
      </c>
      <c r="B70" s="161" t="s">
        <v>428</v>
      </c>
      <c r="C70" s="911">
        <v>618.05999999999995</v>
      </c>
      <c r="D70" s="911">
        <v>618.05999999999995</v>
      </c>
      <c r="E70" s="634" t="str">
        <f>IF(C70-D70=0,"",C70-D70)</f>
        <v/>
      </c>
      <c r="F70" s="162" t="str">
        <f>IF(C70=0,"",IF(C70-D70=0,"оплачено","ОЖИДАЕТСЯ оплата"))</f>
        <v>оплачено</v>
      </c>
      <c r="G70" s="162"/>
      <c r="H70" s="678"/>
      <c r="I70" s="1288"/>
      <c r="J70" s="1289"/>
      <c r="K70" s="480"/>
      <c r="L70" s="1191"/>
      <c r="M70" s="1292"/>
      <c r="N70" s="1"/>
      <c r="O70" s="150"/>
      <c r="P70" s="86"/>
    </row>
    <row r="71" spans="1:24" ht="14.45" customHeight="1">
      <c r="A71" s="325"/>
      <c r="B71" s="161"/>
      <c r="C71" s="275"/>
      <c r="D71" s="275"/>
      <c r="E71" s="634" t="str">
        <f>IF(C71-D71=0,"",C71-D71)</f>
        <v/>
      </c>
      <c r="F71" s="162" t="str">
        <f>IF(C71=0,"",IF(C71-D71=0,"оплачено","ОЖИДАЕТСЯ оплата"))</f>
        <v/>
      </c>
      <c r="G71" s="162"/>
      <c r="H71" s="678" t="str">
        <f t="shared" ref="H71:I79" si="6">IF(S11="","",S11)</f>
        <v/>
      </c>
      <c r="I71" s="1288"/>
      <c r="J71" s="1289"/>
      <c r="K71" s="480"/>
      <c r="L71" s="1191"/>
      <c r="M71" s="1292"/>
      <c r="N71" s="1"/>
    </row>
    <row r="72" spans="1:24" ht="14.45" customHeight="1">
      <c r="A72" s="325"/>
      <c r="B72" s="161"/>
      <c r="C72" s="275"/>
      <c r="D72" s="275"/>
      <c r="E72" s="634" t="str">
        <f t="shared" si="5"/>
        <v/>
      </c>
      <c r="F72" s="162" t="str">
        <f t="shared" si="4"/>
        <v/>
      </c>
      <c r="G72" s="162"/>
      <c r="H72" s="678" t="str">
        <f t="shared" si="6"/>
        <v/>
      </c>
      <c r="I72" s="1288" t="str">
        <f t="shared" si="6"/>
        <v/>
      </c>
      <c r="J72" s="1289"/>
      <c r="K72" s="480" t="str">
        <f t="shared" ref="K72:K79" si="7">IF(U12="","",U12)</f>
        <v/>
      </c>
      <c r="L72" s="1191"/>
      <c r="M72" s="1292"/>
      <c r="N72" s="1"/>
      <c r="O72" s="366"/>
    </row>
    <row r="73" spans="1:24">
      <c r="A73" s="325"/>
      <c r="B73" s="161"/>
      <c r="C73" s="275"/>
      <c r="D73" s="275"/>
      <c r="E73" s="634" t="str">
        <f t="shared" si="5"/>
        <v/>
      </c>
      <c r="F73" s="162" t="str">
        <f t="shared" si="4"/>
        <v/>
      </c>
      <c r="G73" s="162"/>
      <c r="H73" s="678" t="str">
        <f t="shared" si="6"/>
        <v/>
      </c>
      <c r="I73" s="1288" t="str">
        <f t="shared" si="6"/>
        <v/>
      </c>
      <c r="J73" s="1289"/>
      <c r="K73" s="480" t="str">
        <f t="shared" si="7"/>
        <v/>
      </c>
      <c r="L73" s="1191"/>
      <c r="M73" s="1292"/>
      <c r="N73" s="1"/>
      <c r="O73" s="366"/>
    </row>
    <row r="74" spans="1:24" s="86" customFormat="1">
      <c r="A74" s="325"/>
      <c r="B74" s="161"/>
      <c r="C74" s="275"/>
      <c r="D74" s="275"/>
      <c r="E74" s="634" t="str">
        <f t="shared" si="5"/>
        <v/>
      </c>
      <c r="F74" s="162" t="str">
        <f t="shared" si="4"/>
        <v/>
      </c>
      <c r="G74" s="162"/>
      <c r="H74" s="678" t="str">
        <f t="shared" si="6"/>
        <v/>
      </c>
      <c r="I74" s="1288" t="str">
        <f t="shared" si="6"/>
        <v/>
      </c>
      <c r="J74" s="1289"/>
      <c r="K74" s="480" t="str">
        <f t="shared" si="7"/>
        <v/>
      </c>
      <c r="L74" s="1290"/>
      <c r="M74" s="1291"/>
      <c r="N74" s="366"/>
      <c r="O74" s="84"/>
      <c r="P74" s="1"/>
      <c r="Q74" s="35"/>
      <c r="T74" s="35"/>
      <c r="U74" s="35"/>
    </row>
    <row r="75" spans="1:24">
      <c r="A75" s="325"/>
      <c r="B75" s="161"/>
      <c r="C75" s="275"/>
      <c r="D75" s="275"/>
      <c r="E75" s="634" t="str">
        <f t="shared" si="5"/>
        <v/>
      </c>
      <c r="F75" s="162" t="str">
        <f t="shared" si="4"/>
        <v/>
      </c>
      <c r="G75" s="162"/>
      <c r="H75" s="678" t="str">
        <f t="shared" si="6"/>
        <v/>
      </c>
      <c r="I75" s="1288" t="str">
        <f t="shared" si="6"/>
        <v/>
      </c>
      <c r="J75" s="1289"/>
      <c r="K75" s="480" t="str">
        <f t="shared" si="7"/>
        <v/>
      </c>
      <c r="L75" s="1191"/>
      <c r="M75" s="1292"/>
      <c r="N75" s="150"/>
      <c r="O75" s="366"/>
      <c r="P75" s="1"/>
      <c r="T75" s="86"/>
    </row>
    <row r="76" spans="1:24">
      <c r="A76" s="325"/>
      <c r="B76" s="161"/>
      <c r="C76" s="275"/>
      <c r="D76" s="275"/>
      <c r="E76" s="634" t="str">
        <f>IF(C76-D76=0,"",C76-D76)</f>
        <v/>
      </c>
      <c r="F76" s="162" t="str">
        <f>IF(C76=0,"",IF(C76-D76=0,"оплачено","ОЖИДАЕТСЯ оплата"))</f>
        <v/>
      </c>
      <c r="G76" s="162"/>
      <c r="H76" s="678" t="str">
        <f t="shared" si="6"/>
        <v/>
      </c>
      <c r="I76" s="1288" t="str">
        <f t="shared" si="6"/>
        <v/>
      </c>
      <c r="J76" s="1289"/>
      <c r="K76" s="480" t="str">
        <f t="shared" si="7"/>
        <v/>
      </c>
      <c r="L76" s="1191"/>
      <c r="M76" s="1292"/>
      <c r="N76" s="1"/>
      <c r="O76" s="84"/>
      <c r="P76" s="366"/>
    </row>
    <row r="77" spans="1:24">
      <c r="A77" s="325"/>
      <c r="B77" s="161"/>
      <c r="C77" s="275"/>
      <c r="D77" s="275"/>
      <c r="E77" s="542" t="str">
        <f t="shared" si="5"/>
        <v/>
      </c>
      <c r="F77" s="162" t="str">
        <f t="shared" si="4"/>
        <v/>
      </c>
      <c r="G77" s="162"/>
      <c r="H77" s="678" t="str">
        <f t="shared" si="6"/>
        <v/>
      </c>
      <c r="I77" s="1288" t="str">
        <f t="shared" si="6"/>
        <v/>
      </c>
      <c r="J77" s="1289"/>
      <c r="K77" s="480" t="str">
        <f t="shared" si="7"/>
        <v/>
      </c>
      <c r="L77" s="1191"/>
      <c r="M77" s="1292"/>
      <c r="N77" s="1"/>
      <c r="O77" s="84"/>
      <c r="P77" s="150"/>
    </row>
    <row r="78" spans="1:24">
      <c r="A78" s="325"/>
      <c r="B78" s="161"/>
      <c r="C78" s="275"/>
      <c r="D78" s="275"/>
      <c r="E78" s="542" t="str">
        <f t="shared" si="5"/>
        <v/>
      </c>
      <c r="F78" s="162" t="str">
        <f t="shared" si="4"/>
        <v/>
      </c>
      <c r="G78" s="162"/>
      <c r="H78" s="678" t="str">
        <f t="shared" si="6"/>
        <v/>
      </c>
      <c r="I78" s="1288" t="str">
        <f t="shared" si="6"/>
        <v/>
      </c>
      <c r="J78" s="1289"/>
      <c r="K78" s="480" t="str">
        <f t="shared" si="7"/>
        <v/>
      </c>
      <c r="L78" s="1191"/>
      <c r="M78" s="1292"/>
      <c r="N78" s="1"/>
      <c r="O78" s="366"/>
      <c r="P78" s="1"/>
      <c r="Q78" s="86"/>
    </row>
    <row r="79" spans="1:24">
      <c r="A79" s="325"/>
      <c r="B79" s="161"/>
      <c r="C79" s="275"/>
      <c r="D79" s="275"/>
      <c r="E79" s="542" t="str">
        <f t="shared" si="5"/>
        <v/>
      </c>
      <c r="F79" s="162" t="str">
        <f t="shared" si="4"/>
        <v/>
      </c>
      <c r="G79" s="162"/>
      <c r="H79" s="678" t="str">
        <f t="shared" si="6"/>
        <v/>
      </c>
      <c r="I79" s="1288" t="str">
        <f t="shared" si="6"/>
        <v/>
      </c>
      <c r="J79" s="1289"/>
      <c r="K79" s="480" t="str">
        <f t="shared" si="7"/>
        <v/>
      </c>
      <c r="L79" s="1191"/>
      <c r="M79" s="1292"/>
      <c r="N79" s="1"/>
      <c r="O79" s="84"/>
    </row>
    <row r="80" spans="1:24" ht="15.75" thickBot="1">
      <c r="A80" s="1272" t="s">
        <v>259</v>
      </c>
      <c r="B80" s="1273"/>
      <c r="C80" s="358">
        <f>SUM(C64:C79)</f>
        <v>4955.7199999999993</v>
      </c>
      <c r="D80" s="358"/>
      <c r="E80" s="542">
        <f>SUM(E64:E79)</f>
        <v>0</v>
      </c>
      <c r="F80" s="162"/>
      <c r="G80" s="450"/>
      <c r="H80" s="1295" t="s">
        <v>259</v>
      </c>
      <c r="I80" s="1296"/>
      <c r="J80" s="1297"/>
      <c r="K80" s="677">
        <f>SUM(K64:K79)</f>
        <v>0</v>
      </c>
      <c r="L80" s="1298"/>
      <c r="M80" s="1299"/>
      <c r="N80" s="1"/>
      <c r="O80" s="366"/>
      <c r="P80" s="84"/>
      <c r="U80" s="86"/>
    </row>
    <row r="81" spans="1:22" ht="15.75" thickTop="1">
      <c r="A81" s="351"/>
      <c r="B81" s="352"/>
      <c r="C81" s="353"/>
      <c r="D81" s="353"/>
      <c r="E81" s="354"/>
      <c r="F81" s="352"/>
      <c r="G81" s="376"/>
      <c r="H81" s="1171" t="s">
        <v>16</v>
      </c>
      <c r="I81" s="1173" t="s">
        <v>17</v>
      </c>
      <c r="J81" s="1173" t="s">
        <v>21</v>
      </c>
      <c r="K81" s="1173"/>
      <c r="L81" s="1175" t="s">
        <v>93</v>
      </c>
      <c r="M81" s="1177" t="s">
        <v>95</v>
      </c>
      <c r="N81" s="1"/>
      <c r="O81" s="84"/>
      <c r="P81" s="84"/>
    </row>
    <row r="82" spans="1:22" ht="24">
      <c r="A82" s="355"/>
      <c r="B82" s="201"/>
      <c r="C82" s="201"/>
      <c r="D82" s="201"/>
      <c r="E82" s="216"/>
      <c r="F82" s="201"/>
      <c r="G82" s="201"/>
      <c r="H82" s="1172"/>
      <c r="I82" s="1174"/>
      <c r="J82" s="1028" t="s">
        <v>21</v>
      </c>
      <c r="K82" s="1028" t="s">
        <v>25</v>
      </c>
      <c r="L82" s="1176"/>
      <c r="M82" s="1178"/>
      <c r="N82" s="1"/>
      <c r="O82" s="366"/>
      <c r="P82" s="84"/>
    </row>
    <row r="83" spans="1:22">
      <c r="A83" s="338"/>
      <c r="B83" s="199"/>
      <c r="C83" s="288"/>
      <c r="D83" s="232"/>
      <c r="E83" s="84"/>
      <c r="F83" s="199"/>
      <c r="G83" s="199"/>
      <c r="H83" s="347" t="s">
        <v>163</v>
      </c>
      <c r="I83" s="94">
        <v>2420.3999999999996</v>
      </c>
      <c r="J83" s="94">
        <v>115.5</v>
      </c>
      <c r="K83" s="1029">
        <v>132.61000000000001</v>
      </c>
      <c r="L83" s="96">
        <v>22665.5</v>
      </c>
      <c r="M83" s="104">
        <f>L83-I83-J83-K83</f>
        <v>19996.989999999998</v>
      </c>
      <c r="N83" s="150"/>
      <c r="O83" s="448"/>
      <c r="P83" s="439"/>
      <c r="R83" s="86"/>
    </row>
    <row r="84" spans="1:22">
      <c r="A84" s="339"/>
      <c r="B84" s="199"/>
      <c r="C84" s="199"/>
      <c r="D84" s="273"/>
      <c r="E84" s="366"/>
      <c r="F84" s="84"/>
      <c r="G84" s="366"/>
      <c r="H84" s="347" t="s">
        <v>192</v>
      </c>
      <c r="I84" s="94">
        <v>7629.69</v>
      </c>
      <c r="J84" s="94">
        <v>352.29</v>
      </c>
      <c r="K84" s="94">
        <v>193.85000000000002</v>
      </c>
      <c r="L84" s="96">
        <v>10342</v>
      </c>
      <c r="M84" s="104">
        <f>M83-I84-J84-K84+L84</f>
        <v>22163.159999999996</v>
      </c>
      <c r="N84" s="1"/>
      <c r="O84" s="448"/>
      <c r="P84" s="439"/>
      <c r="R84" s="86"/>
    </row>
    <row r="85" spans="1:22">
      <c r="A85" s="339"/>
      <c r="B85" s="366"/>
      <c r="C85" s="199"/>
      <c r="D85" s="273"/>
      <c r="E85" s="366"/>
      <c r="F85" s="366"/>
      <c r="G85" s="366"/>
      <c r="H85" s="347" t="s">
        <v>199</v>
      </c>
      <c r="I85" s="298">
        <v>8423.6400000000012</v>
      </c>
      <c r="J85" s="94">
        <v>921.3</v>
      </c>
      <c r="K85" s="299">
        <v>312.46000000000004</v>
      </c>
      <c r="L85" s="299">
        <v>16668</v>
      </c>
      <c r="M85" s="104">
        <f>M84-I85-J85-K85+L85</f>
        <v>29173.759999999995</v>
      </c>
      <c r="N85" s="1"/>
      <c r="O85" s="448"/>
      <c r="P85" s="436"/>
      <c r="R85" s="86"/>
    </row>
    <row r="86" spans="1:22">
      <c r="A86" s="339"/>
      <c r="B86" s="1"/>
      <c r="C86" s="284"/>
      <c r="D86" s="273"/>
      <c r="E86" s="366"/>
      <c r="F86" s="366"/>
      <c r="G86" s="84"/>
      <c r="H86" s="347" t="s">
        <v>209</v>
      </c>
      <c r="I86" s="299">
        <v>8639.7199999999993</v>
      </c>
      <c r="J86" s="300">
        <v>749.49</v>
      </c>
      <c r="K86" s="526">
        <v>435.1</v>
      </c>
      <c r="L86" s="299">
        <v>17824.919999999998</v>
      </c>
      <c r="M86" s="104">
        <f>M85-I86-J86-K86+L86</f>
        <v>37174.369999999995</v>
      </c>
      <c r="N86" s="366"/>
      <c r="O86" s="448"/>
      <c r="P86" s="436"/>
      <c r="R86" s="86"/>
    </row>
    <row r="87" spans="1:22">
      <c r="A87" s="339"/>
      <c r="B87" s="199"/>
      <c r="C87" s="1"/>
      <c r="D87" s="273"/>
      <c r="E87" s="366"/>
      <c r="F87" s="366"/>
      <c r="G87" s="366"/>
      <c r="H87" s="348" t="s">
        <v>210</v>
      </c>
      <c r="I87" s="300">
        <v>12605.26</v>
      </c>
      <c r="J87" s="299">
        <v>600.5</v>
      </c>
      <c r="K87" s="300">
        <v>491.64</v>
      </c>
      <c r="L87" s="299">
        <v>15183.9</v>
      </c>
      <c r="M87" s="104">
        <v>36025.39</v>
      </c>
      <c r="N87" s="436"/>
      <c r="O87" s="145"/>
      <c r="P87" s="437"/>
      <c r="Q87" s="86"/>
      <c r="R87" s="86"/>
    </row>
    <row r="88" spans="1:22">
      <c r="A88" s="339"/>
      <c r="B88" s="199"/>
      <c r="C88" s="1"/>
      <c r="D88" s="273"/>
      <c r="E88" s="366"/>
      <c r="F88" s="366"/>
      <c r="G88" s="366"/>
      <c r="H88" s="379" t="s">
        <v>211</v>
      </c>
      <c r="I88" s="689">
        <v>11425.189999999999</v>
      </c>
      <c r="J88" s="438">
        <v>232.2</v>
      </c>
      <c r="K88" s="694">
        <v>262</v>
      </c>
      <c r="L88" s="606">
        <v>11864.4</v>
      </c>
      <c r="M88" s="104">
        <f>M87-I88-J88-K88+L88</f>
        <v>35970.400000000001</v>
      </c>
      <c r="N88" s="1"/>
      <c r="O88" s="366"/>
      <c r="P88" s="437"/>
      <c r="Q88" s="86"/>
      <c r="R88" s="86"/>
      <c r="V88" s="1"/>
    </row>
    <row r="89" spans="1:22">
      <c r="A89" s="339"/>
      <c r="B89" s="199"/>
      <c r="C89" s="1"/>
      <c r="D89" s="273"/>
      <c r="E89" s="366"/>
      <c r="F89" s="366"/>
      <c r="G89" s="366"/>
      <c r="H89" s="347" t="s">
        <v>9</v>
      </c>
      <c r="I89" s="689">
        <v>13612.520000000002</v>
      </c>
      <c r="J89" s="438">
        <f>19+42+25.5+33+4+25+7.5+18+170+1+9+37.5+2+1.4</f>
        <v>394.9</v>
      </c>
      <c r="K89" s="694">
        <f>112.8+296.38+33.5</f>
        <v>442.68</v>
      </c>
      <c r="L89" s="607">
        <f>14352+1353+311+316+73+278</f>
        <v>16683</v>
      </c>
      <c r="M89" s="738">
        <v>37929.35</v>
      </c>
      <c r="N89" s="722" t="s">
        <v>326</v>
      </c>
      <c r="O89" s="723"/>
      <c r="P89" s="437"/>
      <c r="Q89" s="703"/>
      <c r="R89" s="86"/>
      <c r="V89" s="1"/>
    </row>
    <row r="90" spans="1:22">
      <c r="A90" s="339"/>
      <c r="B90" s="199"/>
      <c r="C90" s="1"/>
      <c r="D90" s="273"/>
      <c r="E90" s="366"/>
      <c r="F90" s="366"/>
      <c r="G90" s="366"/>
      <c r="H90" s="347" t="s">
        <v>18</v>
      </c>
      <c r="I90" s="689">
        <v>14474.099999999999</v>
      </c>
      <c r="J90" s="438">
        <v>947.5</v>
      </c>
      <c r="K90" s="694">
        <v>526.15</v>
      </c>
      <c r="L90" s="607">
        <v>19238.8</v>
      </c>
      <c r="M90" s="104">
        <f>M89-I90-J90-K90+L90</f>
        <v>41220.399999999994</v>
      </c>
      <c r="N90" s="84"/>
      <c r="O90" s="366"/>
      <c r="P90" s="437"/>
      <c r="Q90" s="703"/>
      <c r="R90" s="86"/>
      <c r="V90" s="1"/>
    </row>
    <row r="91" spans="1:22">
      <c r="A91" s="339"/>
      <c r="B91" s="199"/>
      <c r="C91" s="1"/>
      <c r="D91" s="273"/>
      <c r="E91" s="366"/>
      <c r="F91" s="366"/>
      <c r="G91" s="366"/>
      <c r="H91" s="379" t="s">
        <v>19</v>
      </c>
      <c r="I91" s="621">
        <v>17170.439999999999</v>
      </c>
      <c r="J91" s="432">
        <v>3911.3</v>
      </c>
      <c r="K91" s="648">
        <f>21.5+122.1+41.6+353.89+95.92+8.2</f>
        <v>643.20999999999992</v>
      </c>
      <c r="L91" s="621">
        <f>660+513.5+514+683.5+535+212+2085+763+334+208+378+75+60+44+972+347+1461+81+303+363+12+44+73+133+667+281+234+225+789+767+1661+682+2828+477.5+365+873.5+390+553</f>
        <v>21647</v>
      </c>
      <c r="M91" s="104">
        <f>M90-I91-J91-K91+L91</f>
        <v>41142.449999999997</v>
      </c>
      <c r="N91" s="84"/>
      <c r="O91" s="366"/>
      <c r="P91" s="437"/>
      <c r="Q91" s="703"/>
      <c r="R91" s="86"/>
      <c r="V91" s="1"/>
    </row>
    <row r="92" spans="1:22">
      <c r="A92" s="339"/>
      <c r="B92" s="199"/>
      <c r="C92" s="1"/>
      <c r="D92" s="273"/>
      <c r="E92" s="366"/>
      <c r="F92" s="366"/>
      <c r="G92" s="366"/>
      <c r="H92" s="347" t="s">
        <v>20</v>
      </c>
      <c r="I92" s="689">
        <v>17084.789999999997</v>
      </c>
      <c r="J92" s="438">
        <v>1384.5</v>
      </c>
      <c r="K92" s="694">
        <f>231.74+381.32</f>
        <v>613.05999999999995</v>
      </c>
      <c r="L92" s="689">
        <f>861.5+275+194+301.5+390+1883.5+794+563+1402.5+380+670+229.5+35+275+150.5+18+76+68+310+1078+448+706+130+132+120+2048+130.5+296+608+1835+355+214.5+280+60+684+606</f>
        <v>18608</v>
      </c>
      <c r="M92" s="733">
        <v>43441.55</v>
      </c>
      <c r="N92" s="84"/>
      <c r="O92" s="366"/>
      <c r="P92" s="84"/>
      <c r="Q92" s="703"/>
      <c r="R92" s="86"/>
      <c r="V92" s="1"/>
    </row>
    <row r="93" spans="1:22">
      <c r="A93" s="339"/>
      <c r="B93" s="199"/>
      <c r="C93" s="1"/>
      <c r="D93" s="273"/>
      <c r="E93" s="366"/>
      <c r="F93" s="366"/>
      <c r="G93" s="366"/>
      <c r="H93" s="347" t="s">
        <v>148</v>
      </c>
      <c r="I93" s="689">
        <v>16010.099999999999</v>
      </c>
      <c r="J93" s="438">
        <f>16+65+35+15+24+192+4.6+315+19+6+29+4+35+35+15+160</f>
        <v>969.6</v>
      </c>
      <c r="K93" s="694">
        <f>318.55+297.05</f>
        <v>615.6</v>
      </c>
      <c r="L93" s="689">
        <f>2329.5+560+1456+491+2680+2008+1170+1743+283+1122+2144+623+348+597.5+612+1914+48.5+1270+194+20+375+514.5+108+1502+669+441+33+712+828+1156+829+50</f>
        <v>28831</v>
      </c>
      <c r="M93" s="104">
        <f>M92-I93-J93-K93+L93</f>
        <v>54677.250000000007</v>
      </c>
      <c r="N93" s="84"/>
      <c r="O93" s="366"/>
      <c r="P93" s="646"/>
      <c r="Q93" s="703"/>
      <c r="R93" s="86"/>
      <c r="V93" s="1"/>
    </row>
    <row r="94" spans="1:22">
      <c r="A94" s="339"/>
      <c r="B94" s="199"/>
      <c r="C94" s="1"/>
      <c r="D94" s="273"/>
      <c r="E94" s="366"/>
      <c r="F94" s="366"/>
      <c r="G94" s="366"/>
      <c r="H94" s="379" t="s">
        <v>162</v>
      </c>
      <c r="I94" s="621">
        <v>18487.2</v>
      </c>
      <c r="J94" s="432">
        <f>4+108+201+21+330+1+7.2+17+17+230+290.5+22+16+2+80.5+141</f>
        <v>1488.2</v>
      </c>
      <c r="K94" s="648">
        <v>733</v>
      </c>
      <c r="L94" s="621">
        <f>1090.5+178+238+342+320+112+163+3418.5+747+1608+1004+396+30+1858+1508+198+163+100+490+552+1725+777+245+1514.5+850.5+1647+348+1827+454</f>
        <v>23904</v>
      </c>
      <c r="M94" s="104">
        <f>M93-I94-J94-K94+L94</f>
        <v>57872.850000000006</v>
      </c>
      <c r="N94" s="84"/>
      <c r="O94" s="366"/>
      <c r="P94" s="646"/>
      <c r="Q94" s="703"/>
      <c r="R94" s="86"/>
      <c r="V94" s="1"/>
    </row>
    <row r="95" spans="1:22">
      <c r="A95" s="339"/>
      <c r="B95" s="199"/>
      <c r="C95" s="1"/>
      <c r="D95" s="273"/>
      <c r="E95" s="366"/>
      <c r="F95" s="366"/>
      <c r="G95" s="366"/>
      <c r="H95" s="347" t="s">
        <v>163</v>
      </c>
      <c r="I95" s="689">
        <v>18961.969999999998</v>
      </c>
      <c r="J95" s="438">
        <f>22+18+110+17+39+11.3+8.5+320+112+4+5.94+21+236+8+11+8.2+5+10+169.5+87</f>
        <v>1223.44</v>
      </c>
      <c r="K95" s="694">
        <f>334.04+378.25</f>
        <v>712.29</v>
      </c>
      <c r="L95" s="689">
        <f>15.5+600+364+12+2306+740+1687+96+195.5+330+605+285+1211+2305+437+30+1509+42+443.5+664.5+239+42+42.5+114+364+617+545</f>
        <v>15841.5</v>
      </c>
      <c r="M95" s="733">
        <f>M94-I95-J95-K95+L95</f>
        <v>52816.65</v>
      </c>
      <c r="N95" s="84"/>
      <c r="O95" s="366"/>
      <c r="P95" s="646"/>
      <c r="Q95" s="703"/>
      <c r="R95" s="86"/>
      <c r="V95" s="1"/>
    </row>
    <row r="96" spans="1:22">
      <c r="A96" s="339"/>
      <c r="B96" s="199"/>
      <c r="C96" s="1"/>
      <c r="D96" s="273"/>
      <c r="E96" s="366"/>
      <c r="F96" s="366"/>
      <c r="G96" s="366"/>
      <c r="H96" s="961" t="s">
        <v>192</v>
      </c>
      <c r="I96" s="962">
        <v>20708.280000000002</v>
      </c>
      <c r="J96" s="963">
        <f>3.2+18.5+47+46+7+4+329+628.5+6+34+18+28+4+41.5+2.2+77.5+42+2.92+3+48+180</f>
        <v>1570.3200000000002</v>
      </c>
      <c r="K96" s="964">
        <f>163.32+459.3+23.5+1.4</f>
        <v>647.52</v>
      </c>
      <c r="L96" s="962">
        <v>25525.5</v>
      </c>
      <c r="M96" s="104">
        <f>M95-I96-J96-K96+L96</f>
        <v>55416.03</v>
      </c>
      <c r="N96" s="84"/>
      <c r="O96" s="366"/>
      <c r="P96" s="646"/>
      <c r="Q96" s="703"/>
      <c r="R96" s="86"/>
      <c r="V96" s="1"/>
    </row>
    <row r="97" spans="1:26" ht="15.75" thickBot="1">
      <c r="A97" s="339"/>
      <c r="B97" s="199"/>
      <c r="C97" s="1"/>
      <c r="D97" s="273"/>
      <c r="E97" s="366"/>
      <c r="F97" s="366"/>
      <c r="G97" s="366"/>
      <c r="H97" s="608" t="s">
        <v>199</v>
      </c>
      <c r="I97" s="622">
        <f>'ЗП ЯНВАРЬ'!J42</f>
        <v>16124.6</v>
      </c>
      <c r="J97" s="610">
        <f>23+21+24+466+23+81+3+42.5+6+3+3+15+40+101</f>
        <v>851.5</v>
      </c>
      <c r="K97" s="695">
        <f>204.2+349+23</f>
        <v>576.20000000000005</v>
      </c>
      <c r="L97" s="622">
        <f>1977+323+3934+114+1426+2718+684+1794+84+1138+87+1648+775.5+476.5+1842+2748.5+317+102+1088.5+70</f>
        <v>23347</v>
      </c>
      <c r="M97" s="104">
        <f>M96-I97-J97-K97+L97</f>
        <v>61210.73</v>
      </c>
      <c r="N97" s="84"/>
      <c r="O97" s="366"/>
      <c r="P97" s="646"/>
      <c r="Q97" s="703"/>
      <c r="R97" s="86"/>
      <c r="V97" s="1"/>
    </row>
    <row r="98" spans="1:26" ht="14.25" customHeight="1" thickTop="1">
      <c r="A98" s="339"/>
      <c r="B98" s="199"/>
      <c r="C98" s="1"/>
      <c r="D98" s="273"/>
      <c r="E98" s="84"/>
      <c r="F98" s="366"/>
      <c r="G98" s="366"/>
      <c r="H98" s="1148" t="s">
        <v>36</v>
      </c>
      <c r="I98" s="1150" t="s">
        <v>178</v>
      </c>
      <c r="J98" s="1151"/>
      <c r="K98" s="1152"/>
      <c r="L98" s="1156" t="s">
        <v>159</v>
      </c>
      <c r="M98" s="1157"/>
      <c r="N98" s="150"/>
      <c r="O98" s="84"/>
      <c r="P98" s="437"/>
      <c r="Q98" s="86"/>
      <c r="R98" s="86"/>
      <c r="V98" s="1"/>
    </row>
    <row r="99" spans="1:26">
      <c r="A99" s="339"/>
      <c r="B99" s="199"/>
      <c r="C99" s="284"/>
      <c r="D99" s="273"/>
      <c r="E99" s="284"/>
      <c r="F99" s="366"/>
      <c r="G99" s="378"/>
      <c r="H99" s="1149"/>
      <c r="I99" s="1153"/>
      <c r="J99" s="1154"/>
      <c r="K99" s="1155"/>
      <c r="L99" s="1158"/>
      <c r="M99" s="1159"/>
      <c r="N99" s="1"/>
      <c r="O99" s="12"/>
      <c r="P99" s="646"/>
      <c r="Q99" s="86"/>
      <c r="R99" s="366"/>
      <c r="S99" s="1"/>
      <c r="V99" s="1"/>
      <c r="W99" s="1"/>
      <c r="X99" s="1"/>
      <c r="Y99" s="1"/>
    </row>
    <row r="100" spans="1:26">
      <c r="A100" s="339"/>
      <c r="B100" s="199"/>
      <c r="C100" s="199"/>
      <c r="D100" s="273"/>
      <c r="E100" s="199"/>
      <c r="F100" s="366"/>
      <c r="G100" s="378"/>
      <c r="H100" s="512" t="s">
        <v>381</v>
      </c>
      <c r="I100" s="1160" t="s">
        <v>47</v>
      </c>
      <c r="J100" s="1160"/>
      <c r="K100" s="1031">
        <v>0</v>
      </c>
      <c r="L100" s="282">
        <v>44211</v>
      </c>
      <c r="M100" s="44" t="s">
        <v>171</v>
      </c>
      <c r="O100" s="84"/>
      <c r="P100" s="646"/>
      <c r="Q100" s="86"/>
      <c r="R100" s="366"/>
      <c r="S100" s="1"/>
      <c r="T100" s="1"/>
      <c r="V100" s="282"/>
      <c r="W100" s="1"/>
      <c r="X100" s="1"/>
      <c r="Y100" s="1"/>
    </row>
    <row r="101" spans="1:26">
      <c r="A101" s="339"/>
      <c r="B101" s="366"/>
      <c r="C101" s="274"/>
      <c r="D101" s="273"/>
      <c r="E101" s="274"/>
      <c r="F101" s="366"/>
      <c r="G101" s="366"/>
      <c r="H101" s="512" t="s">
        <v>250</v>
      </c>
      <c r="I101" s="1161" t="s">
        <v>51</v>
      </c>
      <c r="J101" s="1161"/>
      <c r="K101" s="1030">
        <v>1</v>
      </c>
      <c r="L101" s="282">
        <v>44211</v>
      </c>
      <c r="M101" s="44" t="s">
        <v>171</v>
      </c>
      <c r="N101" s="490"/>
      <c r="O101" s="84"/>
      <c r="P101" s="646"/>
      <c r="Q101" s="541"/>
      <c r="R101" s="86"/>
      <c r="S101" s="1"/>
      <c r="T101" s="1"/>
      <c r="V101" s="282"/>
      <c r="W101" s="1"/>
      <c r="X101" s="1"/>
      <c r="Y101" s="1"/>
    </row>
    <row r="102" spans="1:26">
      <c r="A102" s="340"/>
      <c r="B102" s="366"/>
      <c r="C102" s="366"/>
      <c r="D102" s="273"/>
      <c r="E102" s="199"/>
      <c r="F102" s="366"/>
      <c r="G102" s="366"/>
      <c r="H102" s="512" t="s">
        <v>250</v>
      </c>
      <c r="I102" s="1161" t="s">
        <v>52</v>
      </c>
      <c r="J102" s="1161"/>
      <c r="K102" s="624">
        <v>2.09</v>
      </c>
      <c r="L102" s="282">
        <v>44211</v>
      </c>
      <c r="M102" s="44" t="s">
        <v>171</v>
      </c>
      <c r="O102" s="84"/>
      <c r="P102" s="646"/>
      <c r="Q102" s="86"/>
      <c r="R102" s="1027"/>
      <c r="S102" s="1"/>
      <c r="T102" s="1"/>
      <c r="V102" s="282"/>
      <c r="W102" s="282"/>
      <c r="X102" s="282"/>
      <c r="Y102" s="1"/>
      <c r="Z102" s="1"/>
    </row>
    <row r="103" spans="1:26">
      <c r="A103" s="340"/>
      <c r="B103" s="366"/>
      <c r="C103" s="366"/>
      <c r="D103" s="273"/>
      <c r="E103" s="366"/>
      <c r="F103" s="366"/>
      <c r="G103" s="366"/>
      <c r="H103" s="512" t="s">
        <v>250</v>
      </c>
      <c r="I103" s="1262" t="s">
        <v>49</v>
      </c>
      <c r="J103" s="1262"/>
      <c r="K103" s="1030">
        <v>89</v>
      </c>
      <c r="L103" s="282">
        <v>44216</v>
      </c>
      <c r="M103" s="44" t="s">
        <v>426</v>
      </c>
      <c r="O103" s="84"/>
      <c r="P103" s="646"/>
      <c r="Q103" s="366"/>
      <c r="R103" s="86"/>
      <c r="S103" s="1"/>
      <c r="T103" s="282"/>
      <c r="U103" s="1"/>
      <c r="V103" s="282"/>
      <c r="W103" s="282"/>
      <c r="X103" s="282"/>
      <c r="Y103" s="1"/>
      <c r="Z103" s="1"/>
    </row>
    <row r="104" spans="1:26">
      <c r="A104" s="340"/>
      <c r="B104" s="366"/>
      <c r="C104" s="366"/>
      <c r="D104" s="273"/>
      <c r="E104" s="366"/>
      <c r="F104" s="366"/>
      <c r="G104" s="366"/>
      <c r="H104" s="512" t="s">
        <v>250</v>
      </c>
      <c r="I104" s="1276" t="s">
        <v>59</v>
      </c>
      <c r="J104" s="1276"/>
      <c r="K104" s="1033">
        <v>763.49</v>
      </c>
      <c r="L104" s="302" t="s">
        <v>177</v>
      </c>
      <c r="M104" s="44" t="s">
        <v>171</v>
      </c>
      <c r="N104" s="490"/>
      <c r="O104" s="84"/>
      <c r="P104" s="646"/>
      <c r="Q104" s="479"/>
      <c r="R104" s="1027"/>
      <c r="S104" s="1"/>
      <c r="T104" s="282"/>
      <c r="U104" s="1"/>
      <c r="V104" s="1"/>
      <c r="W104" s="282"/>
      <c r="X104" s="282"/>
      <c r="Y104" s="1"/>
      <c r="Z104" s="1"/>
    </row>
    <row r="105" spans="1:26">
      <c r="A105" s="340"/>
      <c r="B105" s="199"/>
      <c r="C105" s="199"/>
      <c r="D105" s="273"/>
      <c r="E105" s="199"/>
      <c r="F105" s="366"/>
      <c r="G105" s="366"/>
      <c r="H105" s="512" t="s">
        <v>250</v>
      </c>
      <c r="I105" s="1264" t="s">
        <v>68</v>
      </c>
      <c r="J105" s="1265"/>
      <c r="K105" s="1030">
        <v>67.69</v>
      </c>
      <c r="L105" s="282">
        <v>44216</v>
      </c>
      <c r="M105" s="44" t="s">
        <v>171</v>
      </c>
      <c r="O105" s="84"/>
      <c r="P105" s="437"/>
      <c r="Q105" s="366"/>
      <c r="R105" s="1027"/>
      <c r="S105" s="1"/>
      <c r="T105" s="282"/>
      <c r="U105" s="1"/>
      <c r="V105" s="282"/>
      <c r="W105" s="282"/>
      <c r="X105" s="282"/>
      <c r="Y105" s="1"/>
      <c r="Z105" s="1"/>
    </row>
    <row r="106" spans="1:26">
      <c r="A106" s="340"/>
      <c r="B106" s="199"/>
      <c r="C106" s="366"/>
      <c r="D106" s="273"/>
      <c r="E106" s="199"/>
      <c r="F106" s="366"/>
      <c r="G106" s="366"/>
      <c r="H106" s="512" t="s">
        <v>250</v>
      </c>
      <c r="I106" s="1264" t="s">
        <v>174</v>
      </c>
      <c r="J106" s="1265"/>
      <c r="K106" s="1030">
        <f>49+43.56</f>
        <v>92.56</v>
      </c>
      <c r="L106" s="282">
        <v>44211</v>
      </c>
      <c r="M106" s="44" t="s">
        <v>171</v>
      </c>
      <c r="N106" s="490"/>
      <c r="O106" s="84"/>
      <c r="P106" s="86"/>
      <c r="Q106" s="366"/>
      <c r="R106" s="1027"/>
      <c r="S106" s="1027"/>
      <c r="T106" s="282"/>
      <c r="U106" s="282"/>
      <c r="V106" s="282"/>
      <c r="W106" s="1"/>
      <c r="X106" s="1"/>
      <c r="Y106" s="1"/>
      <c r="Z106" s="1"/>
    </row>
    <row r="107" spans="1:26">
      <c r="A107" s="340"/>
      <c r="B107" s="199"/>
      <c r="C107" s="366"/>
      <c r="D107" s="273"/>
      <c r="E107" s="199"/>
      <c r="F107" s="366"/>
      <c r="G107" s="366"/>
      <c r="H107" s="993" t="s">
        <v>241</v>
      </c>
      <c r="I107" s="1022" t="s">
        <v>176</v>
      </c>
      <c r="J107" s="1023"/>
      <c r="K107" s="1030" t="s">
        <v>258</v>
      </c>
      <c r="L107" s="282">
        <v>44216</v>
      </c>
      <c r="M107" s="44" t="s">
        <v>171</v>
      </c>
      <c r="N107" s="490"/>
      <c r="O107" s="84"/>
      <c r="P107" s="86"/>
      <c r="Q107" s="366"/>
      <c r="R107" s="483"/>
      <c r="S107" s="150"/>
      <c r="T107" s="1"/>
      <c r="U107" s="282"/>
      <c r="V107" s="282"/>
      <c r="W107" s="282"/>
      <c r="X107" s="282"/>
      <c r="Y107" s="1"/>
      <c r="Z107" s="1"/>
    </row>
    <row r="108" spans="1:26">
      <c r="A108" s="340"/>
      <c r="B108" s="199"/>
      <c r="C108" s="366"/>
      <c r="D108" s="273"/>
      <c r="E108" s="232"/>
      <c r="F108" s="366"/>
      <c r="G108" s="366"/>
      <c r="H108" s="512" t="s">
        <v>250</v>
      </c>
      <c r="I108" s="1264" t="s">
        <v>81</v>
      </c>
      <c r="J108" s="1265"/>
      <c r="K108" s="1030">
        <v>871.2</v>
      </c>
      <c r="L108" s="282">
        <v>44206</v>
      </c>
      <c r="M108" s="44" t="s">
        <v>171</v>
      </c>
      <c r="O108" s="84"/>
      <c r="P108" s="86"/>
      <c r="Q108" s="483"/>
      <c r="R108" s="365"/>
      <c r="S108" s="150"/>
      <c r="T108" s="282"/>
      <c r="U108" s="282"/>
      <c r="V108" s="282"/>
      <c r="W108" s="282"/>
      <c r="X108" s="282"/>
      <c r="Y108" s="366"/>
      <c r="Z108" s="1"/>
    </row>
    <row r="109" spans="1:26">
      <c r="A109" s="340"/>
      <c r="B109" s="199"/>
      <c r="C109" s="366"/>
      <c r="D109" s="273"/>
      <c r="E109" s="232"/>
      <c r="F109" s="366"/>
      <c r="G109" s="366"/>
      <c r="H109" s="512" t="s">
        <v>381</v>
      </c>
      <c r="I109" s="1264" t="s">
        <v>53</v>
      </c>
      <c r="J109" s="1265"/>
      <c r="K109" s="454">
        <v>10</v>
      </c>
      <c r="L109" s="282">
        <v>44211</v>
      </c>
      <c r="M109" s="44" t="s">
        <v>171</v>
      </c>
      <c r="N109" s="490"/>
      <c r="O109" s="84"/>
      <c r="P109" s="86"/>
      <c r="Q109" s="1027"/>
      <c r="R109" s="1027"/>
      <c r="S109" s="1"/>
      <c r="T109" s="282"/>
      <c r="U109" s="282"/>
      <c r="V109" s="282"/>
      <c r="W109" s="282"/>
      <c r="X109" s="282"/>
      <c r="Y109" s="366"/>
      <c r="Z109" s="1"/>
    </row>
    <row r="110" spans="1:26">
      <c r="A110" s="340"/>
      <c r="B110" s="199"/>
      <c r="C110" s="366"/>
      <c r="D110" s="273"/>
      <c r="E110" s="232"/>
      <c r="F110" s="366"/>
      <c r="G110" s="366"/>
      <c r="H110" s="512" t="s">
        <v>250</v>
      </c>
      <c r="I110" s="1263" t="s">
        <v>276</v>
      </c>
      <c r="J110" s="1263"/>
      <c r="K110" s="637">
        <v>100</v>
      </c>
      <c r="L110" s="282">
        <v>44226</v>
      </c>
      <c r="M110" s="44" t="s">
        <v>171</v>
      </c>
      <c r="O110" s="84"/>
      <c r="P110" s="86"/>
      <c r="Q110" s="1027"/>
      <c r="R110" s="1027"/>
      <c r="S110" s="366"/>
      <c r="T110" s="282"/>
      <c r="U110" s="282"/>
      <c r="V110" s="282"/>
      <c r="W110" s="282"/>
      <c r="X110" s="282"/>
      <c r="Y110" s="1"/>
      <c r="Z110" s="1"/>
    </row>
    <row r="111" spans="1:26">
      <c r="A111" s="340"/>
      <c r="B111" s="199"/>
      <c r="C111" s="366"/>
      <c r="D111" s="273"/>
      <c r="E111" s="232"/>
      <c r="F111" s="366"/>
      <c r="G111" s="366"/>
      <c r="H111" s="512" t="s">
        <v>250</v>
      </c>
      <c r="I111" s="1263" t="s">
        <v>296</v>
      </c>
      <c r="J111" s="1263"/>
      <c r="K111" s="637">
        <v>9</v>
      </c>
      <c r="L111" s="282">
        <v>44211</v>
      </c>
      <c r="M111" s="44" t="s">
        <v>171</v>
      </c>
      <c r="O111" s="84"/>
      <c r="P111" s="86"/>
      <c r="Q111" s="1027"/>
      <c r="R111" s="1027"/>
      <c r="S111" s="366"/>
      <c r="T111" s="282"/>
      <c r="U111" s="282"/>
      <c r="V111" s="282"/>
      <c r="W111" s="282"/>
      <c r="X111" s="282"/>
      <c r="Y111" s="1"/>
      <c r="Z111" s="1"/>
    </row>
    <row r="112" spans="1:26">
      <c r="A112" s="340"/>
      <c r="B112" s="199"/>
      <c r="C112" s="366"/>
      <c r="D112" s="273"/>
      <c r="E112" s="232"/>
      <c r="F112" s="366"/>
      <c r="G112" s="366"/>
      <c r="H112" s="512"/>
      <c r="I112" s="1143" t="s">
        <v>345</v>
      </c>
      <c r="J112" s="1144"/>
      <c r="K112" s="475"/>
      <c r="L112" s="282">
        <v>44226</v>
      </c>
      <c r="M112" s="44" t="s">
        <v>171</v>
      </c>
      <c r="O112" s="84"/>
      <c r="P112" s="86"/>
      <c r="Q112" s="1027"/>
      <c r="R112" s="1027"/>
      <c r="S112" s="366"/>
      <c r="T112" s="282"/>
      <c r="U112" s="282"/>
      <c r="V112" s="282"/>
      <c r="W112" s="282"/>
      <c r="X112" s="282"/>
      <c r="Y112" s="1"/>
      <c r="Z112" s="1"/>
    </row>
    <row r="113" spans="1:26">
      <c r="A113" s="340"/>
      <c r="B113" s="199"/>
      <c r="C113" s="366"/>
      <c r="D113" s="273"/>
      <c r="E113" s="232"/>
      <c r="F113" s="366"/>
      <c r="G113" s="366"/>
      <c r="H113" s="512" t="s">
        <v>250</v>
      </c>
      <c r="I113" s="1145" t="s">
        <v>417</v>
      </c>
      <c r="J113" s="1145"/>
      <c r="K113" s="637">
        <v>50</v>
      </c>
      <c r="L113" s="282"/>
      <c r="M113" s="44"/>
      <c r="O113" s="84"/>
      <c r="P113" s="86"/>
      <c r="Q113" s="1027"/>
      <c r="R113" s="1027"/>
      <c r="S113" s="366"/>
      <c r="T113" s="282"/>
      <c r="U113" s="282"/>
      <c r="V113" s="282"/>
      <c r="W113" s="282"/>
      <c r="X113" s="282"/>
      <c r="Y113" s="1"/>
      <c r="Z113" s="1"/>
    </row>
    <row r="114" spans="1:26" ht="15.75" thickBot="1">
      <c r="A114" s="341"/>
      <c r="B114" s="330"/>
      <c r="C114" s="331"/>
      <c r="D114" s="342"/>
      <c r="E114" s="330"/>
      <c r="F114" s="331"/>
      <c r="G114" s="331"/>
      <c r="H114" s="1280" t="s">
        <v>179</v>
      </c>
      <c r="I114" s="1281"/>
      <c r="J114" s="361">
        <f>SUM(K100:K113)</f>
        <v>2056.0299999999997</v>
      </c>
      <c r="K114" s="1146" t="s">
        <v>180</v>
      </c>
      <c r="L114" s="1146"/>
      <c r="M114" s="514">
        <v>0</v>
      </c>
      <c r="O114" s="84"/>
      <c r="P114" s="86"/>
      <c r="Q114" s="1027"/>
      <c r="R114" s="365"/>
      <c r="S114" s="366"/>
      <c r="T114" s="282"/>
      <c r="U114" s="282"/>
      <c r="V114" s="1"/>
      <c r="W114" s="282"/>
      <c r="X114" s="282"/>
      <c r="Y114" s="1"/>
      <c r="Z114" s="1"/>
    </row>
    <row r="115" spans="1:26" ht="15.75" thickTop="1">
      <c r="C115" s="491"/>
      <c r="D115" s="491"/>
      <c r="O115" s="84"/>
      <c r="P115" s="86"/>
      <c r="Q115" s="1027"/>
      <c r="R115" s="365"/>
      <c r="S115" s="366"/>
      <c r="T115" s="282"/>
      <c r="U115" s="282"/>
      <c r="V115" s="1"/>
      <c r="W115" s="282"/>
      <c r="X115" s="282"/>
      <c r="Y115" s="1"/>
      <c r="Z115" s="1"/>
    </row>
    <row r="116" spans="1:26" ht="15" customHeight="1">
      <c r="A116" s="1163" t="s">
        <v>386</v>
      </c>
      <c r="B116" s="1163"/>
      <c r="C116" s="1163"/>
      <c r="D116" s="1163"/>
      <c r="E116" s="1163"/>
      <c r="F116" s="1163"/>
      <c r="G116" s="1163"/>
      <c r="H116" s="1163"/>
      <c r="I116" s="1163"/>
      <c r="J116" s="1163"/>
      <c r="K116" s="1163"/>
      <c r="L116" s="1163"/>
      <c r="M116" s="1163"/>
      <c r="O116" s="84"/>
      <c r="P116" s="86"/>
      <c r="Q116" s="1027"/>
      <c r="R116" s="1027"/>
      <c r="S116" s="1"/>
      <c r="T116" s="282"/>
      <c r="U116" s="282"/>
      <c r="V116" s="1"/>
      <c r="W116" s="1"/>
      <c r="X116" s="1"/>
      <c r="Y116" s="1"/>
      <c r="Z116" s="1"/>
    </row>
    <row r="117" spans="1:26" ht="15.75" customHeight="1" thickBot="1">
      <c r="A117" s="1164"/>
      <c r="B117" s="1164"/>
      <c r="C117" s="1164"/>
      <c r="D117" s="1164"/>
      <c r="E117" s="1164"/>
      <c r="F117" s="1164"/>
      <c r="G117" s="1164"/>
      <c r="H117" s="1164"/>
      <c r="I117" s="1164"/>
      <c r="J117" s="1164"/>
      <c r="K117" s="1164"/>
      <c r="L117" s="1164"/>
      <c r="M117" s="1164"/>
      <c r="O117" s="84"/>
      <c r="P117" s="86"/>
      <c r="Q117" s="1027"/>
      <c r="R117" s="1027"/>
      <c r="S117" s="1"/>
      <c r="T117" s="1"/>
      <c r="U117" s="282"/>
      <c r="V117" s="1"/>
      <c r="W117" s="1"/>
      <c r="X117" s="1"/>
      <c r="Y117" s="1"/>
      <c r="Z117" s="1"/>
    </row>
    <row r="118" spans="1:26" ht="15.75" thickTop="1">
      <c r="A118" s="1301" t="s">
        <v>43</v>
      </c>
      <c r="B118" s="1268"/>
      <c r="C118" s="1268"/>
      <c r="D118" s="1268"/>
      <c r="E118" s="1268"/>
      <c r="F118" s="1302"/>
      <c r="G118" s="323"/>
      <c r="O118" s="84"/>
      <c r="P118" s="86"/>
      <c r="Q118" s="647"/>
      <c r="R118" s="1027"/>
      <c r="S118" s="1"/>
      <c r="T118" s="1"/>
      <c r="U118" s="282"/>
      <c r="V118" s="1"/>
      <c r="W118" s="1"/>
      <c r="X118" s="1"/>
      <c r="Y118" s="1"/>
      <c r="Z118" s="1"/>
    </row>
    <row r="119" spans="1:26">
      <c r="A119" s="1213" t="s">
        <v>342</v>
      </c>
      <c r="B119" s="1214"/>
      <c r="C119" s="1026" t="s">
        <v>35</v>
      </c>
      <c r="D119" s="1026" t="s">
        <v>38</v>
      </c>
      <c r="E119" s="1026" t="s">
        <v>42</v>
      </c>
      <c r="F119" s="1026" t="s">
        <v>44</v>
      </c>
      <c r="G119" s="1"/>
      <c r="O119" s="84"/>
      <c r="P119" s="86"/>
      <c r="Q119" s="1027"/>
      <c r="R119" s="1027"/>
      <c r="S119" s="1"/>
      <c r="T119" s="1"/>
      <c r="U119" s="1"/>
      <c r="W119" s="1"/>
      <c r="X119" s="1"/>
      <c r="Y119" s="1"/>
      <c r="Z119" s="1"/>
    </row>
    <row r="120" spans="1:26">
      <c r="A120" s="1290" t="s">
        <v>40</v>
      </c>
      <c r="B120" s="1271"/>
      <c r="C120" s="967">
        <v>788.34</v>
      </c>
      <c r="D120" s="967">
        <v>788.34</v>
      </c>
      <c r="E120" s="481">
        <v>0</v>
      </c>
      <c r="F120" s="3"/>
      <c r="G120" s="1"/>
      <c r="O120" s="84"/>
      <c r="P120" s="86"/>
      <c r="Q120" s="1027"/>
      <c r="R120" s="1027"/>
      <c r="S120" s="1"/>
      <c r="T120" s="1"/>
      <c r="U120" s="1"/>
      <c r="W120" s="1"/>
      <c r="X120" s="1"/>
      <c r="Y120" s="1"/>
      <c r="Z120" s="1"/>
    </row>
    <row r="121" spans="1:26">
      <c r="A121" s="340"/>
      <c r="B121" s="366"/>
      <c r="C121" s="498">
        <f>SUM(C120:C120)</f>
        <v>788.34</v>
      </c>
      <c r="D121" s="366"/>
      <c r="E121" s="84"/>
      <c r="F121" s="366"/>
      <c r="G121" s="1"/>
      <c r="K121" s="490"/>
      <c r="O121" s="84"/>
      <c r="P121" s="86"/>
      <c r="Q121" s="1027"/>
      <c r="R121" s="1027"/>
      <c r="T121" s="1"/>
      <c r="U121" s="1"/>
      <c r="Z121" s="1"/>
    </row>
    <row r="122" spans="1:26">
      <c r="A122" s="340"/>
      <c r="B122" s="366"/>
      <c r="C122" s="366"/>
      <c r="D122" s="366"/>
      <c r="E122" s="366"/>
      <c r="F122" s="366"/>
      <c r="G122" s="1"/>
      <c r="O122" s="84"/>
      <c r="P122" s="86"/>
      <c r="Q122" s="1027"/>
      <c r="R122" s="1027"/>
      <c r="U122" s="1"/>
      <c r="Z122" s="1"/>
    </row>
    <row r="123" spans="1:26">
      <c r="A123" s="340"/>
      <c r="B123" s="366"/>
      <c r="C123" s="366"/>
      <c r="D123" s="366"/>
      <c r="E123" s="366"/>
      <c r="F123" s="366"/>
      <c r="G123" s="1"/>
      <c r="M123" s="490"/>
      <c r="O123" s="84"/>
      <c r="P123" s="86"/>
      <c r="Q123" s="1027"/>
      <c r="R123" s="1027"/>
      <c r="U123" s="1"/>
      <c r="Z123" s="1"/>
    </row>
    <row r="124" spans="1:26">
      <c r="A124" s="340"/>
      <c r="B124" s="366"/>
      <c r="C124" s="366"/>
      <c r="D124" s="366"/>
      <c r="E124" s="366"/>
      <c r="F124" s="366"/>
      <c r="G124" s="1"/>
      <c r="O124" s="84"/>
      <c r="P124" s="86"/>
      <c r="Q124" s="1027"/>
      <c r="R124" s="1027"/>
      <c r="U124" s="1"/>
    </row>
    <row r="125" spans="1:26">
      <c r="A125" s="43"/>
      <c r="B125" s="1"/>
      <c r="C125" s="366"/>
      <c r="D125" s="1"/>
      <c r="E125" s="1"/>
      <c r="F125" s="1"/>
      <c r="G125" s="1"/>
      <c r="M125" s="1"/>
      <c r="O125" s="84"/>
      <c r="P125" s="86"/>
      <c r="Q125" s="1027"/>
      <c r="R125" s="1027"/>
    </row>
    <row r="126" spans="1:26">
      <c r="A126" s="43"/>
      <c r="B126" s="1"/>
      <c r="C126" s="366"/>
      <c r="D126" s="1"/>
      <c r="E126" s="1"/>
      <c r="F126" s="1"/>
      <c r="G126" s="1"/>
      <c r="M126" s="1"/>
      <c r="O126" s="84"/>
      <c r="P126" s="86"/>
      <c r="Q126" s="1027"/>
      <c r="R126" s="1027"/>
    </row>
    <row r="127" spans="1:26">
      <c r="A127" s="43"/>
      <c r="B127" s="1"/>
      <c r="C127" s="366"/>
      <c r="D127" s="1"/>
      <c r="E127" s="1"/>
      <c r="F127" s="1"/>
      <c r="G127" s="1"/>
      <c r="M127" s="1"/>
      <c r="O127" s="84"/>
      <c r="P127" s="86"/>
      <c r="Q127" s="1027"/>
      <c r="R127" s="1027"/>
    </row>
    <row r="128" spans="1:26">
      <c r="A128" s="43"/>
      <c r="B128" s="1"/>
      <c r="C128" s="366"/>
      <c r="D128" s="1"/>
      <c r="E128" s="1"/>
      <c r="F128" s="1"/>
      <c r="G128" s="1"/>
      <c r="M128" s="366"/>
      <c r="O128" s="84"/>
      <c r="P128" s="86"/>
      <c r="Q128" s="1027"/>
      <c r="R128" s="1027"/>
    </row>
    <row r="129" spans="1:26">
      <c r="A129" s="43"/>
      <c r="B129" s="1"/>
      <c r="C129" s="366"/>
      <c r="D129" s="1"/>
      <c r="E129" s="1"/>
      <c r="F129" s="1"/>
      <c r="G129" s="1"/>
      <c r="M129" s="366"/>
      <c r="O129" s="84"/>
      <c r="P129" s="86"/>
      <c r="Q129" s="1027"/>
      <c r="R129" s="1027"/>
    </row>
    <row r="130" spans="1:26">
      <c r="A130" s="43"/>
      <c r="B130" s="1"/>
      <c r="C130" s="366"/>
      <c r="D130" s="1"/>
      <c r="E130" s="1"/>
      <c r="F130" s="1"/>
      <c r="G130" s="1"/>
      <c r="M130" s="1"/>
      <c r="O130" s="84"/>
      <c r="P130" s="86"/>
      <c r="Q130" s="1027"/>
      <c r="R130" s="1027"/>
    </row>
    <row r="131" spans="1:26">
      <c r="A131" s="43"/>
      <c r="B131" s="1"/>
      <c r="C131" s="366"/>
      <c r="D131" s="1"/>
      <c r="E131" s="1"/>
      <c r="F131" s="1"/>
      <c r="G131" s="1"/>
      <c r="M131" s="1"/>
      <c r="O131" s="84"/>
      <c r="P131" s="86"/>
      <c r="Q131" s="1027"/>
      <c r="R131" s="1027"/>
    </row>
    <row r="132" spans="1:26">
      <c r="A132" s="43"/>
      <c r="B132" s="1"/>
      <c r="C132" s="366"/>
      <c r="D132" s="1"/>
      <c r="E132" s="1"/>
      <c r="F132" s="1"/>
      <c r="G132" s="1"/>
      <c r="M132" s="1"/>
      <c r="O132" s="84"/>
      <c r="P132" s="86"/>
      <c r="Q132" s="86"/>
      <c r="R132" s="1027"/>
    </row>
    <row r="133" spans="1:26">
      <c r="A133" s="43"/>
      <c r="B133" s="1"/>
      <c r="C133" s="366"/>
      <c r="D133" s="1"/>
      <c r="E133" s="1"/>
      <c r="F133" s="1"/>
      <c r="G133" s="1"/>
      <c r="M133" s="1"/>
      <c r="O133" s="84"/>
      <c r="P133" s="86"/>
      <c r="Q133" s="86"/>
      <c r="R133" s="1027"/>
    </row>
    <row r="134" spans="1:26">
      <c r="A134" s="43"/>
      <c r="B134" s="1"/>
      <c r="C134" s="366"/>
      <c r="D134" s="1"/>
      <c r="E134" s="1"/>
      <c r="F134" s="1"/>
      <c r="G134" s="1"/>
      <c r="O134" s="84"/>
      <c r="P134" s="86"/>
      <c r="Q134" s="86"/>
      <c r="R134" s="1027"/>
    </row>
    <row r="135" spans="1:26">
      <c r="A135" s="43"/>
      <c r="B135" s="1"/>
      <c r="C135" s="366"/>
      <c r="D135" s="1"/>
      <c r="E135" s="1"/>
      <c r="F135" s="1"/>
      <c r="G135" s="1"/>
      <c r="O135" s="84"/>
      <c r="P135" s="86"/>
      <c r="Q135" s="86"/>
      <c r="R135" s="1027"/>
    </row>
    <row r="136" spans="1:26">
      <c r="C136" s="446"/>
      <c r="O136" s="84"/>
      <c r="P136" s="86"/>
      <c r="Q136" s="86"/>
      <c r="R136" s="145"/>
    </row>
    <row r="137" spans="1:26">
      <c r="A137" s="12"/>
      <c r="C137" s="446"/>
      <c r="O137" s="84"/>
      <c r="P137" s="86"/>
      <c r="Q137" s="86"/>
      <c r="R137" s="366"/>
    </row>
    <row r="138" spans="1:26">
      <c r="C138" s="446"/>
      <c r="O138" s="84"/>
      <c r="R138" s="366"/>
    </row>
    <row r="139" spans="1:26" s="1" customFormat="1" ht="12.75" customHeight="1">
      <c r="A139" s="448"/>
      <c r="B139" s="199"/>
      <c r="D139" s="273"/>
      <c r="E139" s="366"/>
      <c r="F139" s="366"/>
      <c r="G139" s="366"/>
      <c r="H139" s="538"/>
      <c r="I139" s="902"/>
      <c r="J139" s="437"/>
      <c r="K139" s="605"/>
      <c r="L139" s="605"/>
      <c r="M139" s="436"/>
      <c r="O139" s="84"/>
      <c r="P139" s="84"/>
      <c r="Q139" s="145"/>
      <c r="R139" s="84"/>
      <c r="S139" s="84"/>
      <c r="T139" s="366"/>
      <c r="U139" s="366"/>
      <c r="V139" s="366"/>
      <c r="W139" s="366"/>
      <c r="X139" s="366"/>
      <c r="Y139" s="366"/>
      <c r="Z139" s="366"/>
    </row>
    <row r="140" spans="1:26">
      <c r="C140" s="446"/>
      <c r="O140" s="84"/>
      <c r="R140" s="366"/>
    </row>
    <row r="141" spans="1:26">
      <c r="C141" s="446"/>
      <c r="O141" s="150"/>
      <c r="R141" s="366"/>
    </row>
    <row r="142" spans="1:26">
      <c r="C142" s="446"/>
      <c r="R142" s="366"/>
    </row>
    <row r="143" spans="1:26">
      <c r="C143" s="446"/>
      <c r="R143" s="366"/>
    </row>
    <row r="144" spans="1:26">
      <c r="C144" s="446"/>
      <c r="R144" s="910"/>
    </row>
    <row r="145" spans="3:3">
      <c r="C145" s="446"/>
    </row>
  </sheetData>
  <mergeCells count="132"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H40:H41"/>
    <mergeCell ref="I40:K41"/>
    <mergeCell ref="L40:M41"/>
    <mergeCell ref="I42:J42"/>
    <mergeCell ref="I43:J43"/>
    <mergeCell ref="I44:J44"/>
    <mergeCell ref="A20:B20"/>
    <mergeCell ref="H20:J20"/>
    <mergeCell ref="L20:M20"/>
    <mergeCell ref="H21:H22"/>
    <mergeCell ref="I21:I22"/>
    <mergeCell ref="J21:K21"/>
    <mergeCell ref="L21:L22"/>
    <mergeCell ref="M21:M22"/>
    <mergeCell ref="I53:J53"/>
    <mergeCell ref="I54:J54"/>
    <mergeCell ref="I55:J55"/>
    <mergeCell ref="I56:J56"/>
    <mergeCell ref="I57:J57"/>
    <mergeCell ref="H58:I58"/>
    <mergeCell ref="I45:J45"/>
    <mergeCell ref="I46:J46"/>
    <mergeCell ref="I47:J47"/>
    <mergeCell ref="I50:J50"/>
    <mergeCell ref="I51:J51"/>
    <mergeCell ref="I52:J52"/>
    <mergeCell ref="I64:J64"/>
    <mergeCell ref="L64:M64"/>
    <mergeCell ref="I65:J65"/>
    <mergeCell ref="L65:M65"/>
    <mergeCell ref="I66:J66"/>
    <mergeCell ref="L66:M66"/>
    <mergeCell ref="K58:L58"/>
    <mergeCell ref="H59:K59"/>
    <mergeCell ref="A60:M61"/>
    <mergeCell ref="A62:G62"/>
    <mergeCell ref="H62:M62"/>
    <mergeCell ref="I63:J63"/>
    <mergeCell ref="L63:M63"/>
    <mergeCell ref="I70:J70"/>
    <mergeCell ref="L70:M70"/>
    <mergeCell ref="I71:J71"/>
    <mergeCell ref="L71:M71"/>
    <mergeCell ref="I72:J72"/>
    <mergeCell ref="L72:M72"/>
    <mergeCell ref="I67:J67"/>
    <mergeCell ref="L67:M67"/>
    <mergeCell ref="I68:J68"/>
    <mergeCell ref="L68:M68"/>
    <mergeCell ref="I69:J69"/>
    <mergeCell ref="L69:M69"/>
    <mergeCell ref="I76:J76"/>
    <mergeCell ref="L76:M76"/>
    <mergeCell ref="I77:J77"/>
    <mergeCell ref="L77:M77"/>
    <mergeCell ref="I78:J78"/>
    <mergeCell ref="L78:M78"/>
    <mergeCell ref="I73:J73"/>
    <mergeCell ref="L73:M73"/>
    <mergeCell ref="I74:J74"/>
    <mergeCell ref="L74:M74"/>
    <mergeCell ref="I75:J75"/>
    <mergeCell ref="L75:M75"/>
    <mergeCell ref="I79:J79"/>
    <mergeCell ref="L79:M79"/>
    <mergeCell ref="A80:B80"/>
    <mergeCell ref="H80:J80"/>
    <mergeCell ref="L80:M80"/>
    <mergeCell ref="H81:H82"/>
    <mergeCell ref="I81:I82"/>
    <mergeCell ref="J81:K81"/>
    <mergeCell ref="L81:L82"/>
    <mergeCell ref="M81:M82"/>
    <mergeCell ref="I103:J103"/>
    <mergeCell ref="I104:J104"/>
    <mergeCell ref="I105:J105"/>
    <mergeCell ref="I106:J106"/>
    <mergeCell ref="I108:J108"/>
    <mergeCell ref="I109:J109"/>
    <mergeCell ref="H98:H99"/>
    <mergeCell ref="I98:K99"/>
    <mergeCell ref="L98:M99"/>
    <mergeCell ref="I100:J100"/>
    <mergeCell ref="I101:J101"/>
    <mergeCell ref="I102:J102"/>
    <mergeCell ref="A116:M117"/>
    <mergeCell ref="A118:F118"/>
    <mergeCell ref="A119:B119"/>
    <mergeCell ref="A120:B120"/>
    <mergeCell ref="I110:J110"/>
    <mergeCell ref="I111:J111"/>
    <mergeCell ref="I112:J112"/>
    <mergeCell ref="I113:J113"/>
    <mergeCell ref="H114:I114"/>
    <mergeCell ref="K114:L114"/>
  </mergeCells>
  <printOptions horizontalCentered="1" verticalCentered="1"/>
  <pageMargins left="0" right="0" top="0" bottom="0" header="0" footer="0"/>
  <pageSetup paperSize="9" scale="73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4"/>
  <sheetViews>
    <sheetView zoomScaleNormal="100" zoomScaleSheetLayoutView="115" zoomScalePageLayoutView="70" workbookViewId="0">
      <pane xSplit="1" ySplit="1" topLeftCell="B34" activePane="bottomRight" state="frozen"/>
      <selection pane="topRight" activeCell="B1" sqref="B1"/>
      <selection pane="bottomLeft" activeCell="A4" sqref="A4"/>
      <selection pane="bottomRight" activeCell="E32" sqref="E32"/>
    </sheetView>
  </sheetViews>
  <sheetFormatPr defaultColWidth="9.140625" defaultRowHeight="15"/>
  <cols>
    <col min="1" max="1" width="12.7109375" style="35" customWidth="1"/>
    <col min="2" max="2" width="6" style="35" customWidth="1"/>
    <col min="3" max="8" width="14.7109375" style="35" customWidth="1"/>
    <col min="9" max="13" width="18.7109375" style="35" customWidth="1"/>
    <col min="14" max="16384" width="9.140625" style="35"/>
  </cols>
  <sheetData>
    <row r="1" spans="2:16" ht="14.1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307" t="s">
        <v>435</v>
      </c>
      <c r="I1" s="463"/>
      <c r="J1" s="463" t="s">
        <v>371</v>
      </c>
      <c r="K1" s="463"/>
      <c r="L1" s="463"/>
    </row>
    <row r="2" spans="2:16" ht="14.1" customHeight="1">
      <c r="B2" s="16">
        <f>IF(C2="","",WEEKDAY(C2,2))</f>
        <v>5</v>
      </c>
      <c r="C2" s="17">
        <v>44197</v>
      </c>
      <c r="D2" s="757"/>
      <c r="E2" s="757"/>
      <c r="F2" s="702"/>
      <c r="G2" s="226"/>
      <c r="H2" s="1043"/>
      <c r="I2" s="669"/>
      <c r="J2" s="463"/>
      <c r="K2" s="463"/>
      <c r="L2" s="463"/>
    </row>
    <row r="3" spans="2:16" ht="14.1" customHeight="1">
      <c r="B3" s="16">
        <f t="shared" ref="B3" si="0">IF(C3="","",WEEKDAY(C3,2))</f>
        <v>6</v>
      </c>
      <c r="C3" s="17">
        <v>44198</v>
      </c>
      <c r="D3" s="757">
        <v>632.9</v>
      </c>
      <c r="E3" s="757"/>
      <c r="F3" s="702"/>
      <c r="G3" s="226">
        <v>980</v>
      </c>
      <c r="H3" s="1043"/>
      <c r="I3" s="670"/>
      <c r="J3" s="463"/>
      <c r="K3" s="463"/>
      <c r="L3" s="1037"/>
      <c r="M3" s="1038"/>
    </row>
    <row r="4" spans="2:16" ht="14.1" customHeight="1">
      <c r="B4" s="16">
        <f>IF(C4="","",WEEKDAY(C4,2))</f>
        <v>7</v>
      </c>
      <c r="C4" s="17">
        <v>44199</v>
      </c>
      <c r="D4" s="757">
        <v>511.1</v>
      </c>
      <c r="E4" s="757"/>
      <c r="F4" s="702"/>
      <c r="G4" s="226">
        <v>536.4</v>
      </c>
      <c r="H4" s="1043"/>
      <c r="I4" s="669"/>
      <c r="J4" s="463"/>
      <c r="L4" s="463"/>
    </row>
    <row r="5" spans="2:16" ht="14.1" customHeight="1">
      <c r="B5" s="16">
        <f t="shared" ref="B5:B39" si="1">IF(C5="","",WEEKDAY(C5,2))</f>
        <v>1</v>
      </c>
      <c r="C5" s="17">
        <v>44200</v>
      </c>
      <c r="D5" s="757"/>
      <c r="E5" s="757">
        <v>772.3</v>
      </c>
      <c r="F5" s="702">
        <v>519.79999999999995</v>
      </c>
      <c r="G5" s="226"/>
      <c r="H5" s="1043"/>
      <c r="I5" s="670"/>
      <c r="J5" s="463"/>
      <c r="K5" s="463"/>
      <c r="L5" s="463"/>
    </row>
    <row r="6" spans="2:16" ht="14.1" customHeight="1">
      <c r="B6" s="16">
        <f t="shared" si="1"/>
        <v>2</v>
      </c>
      <c r="C6" s="17">
        <v>44201</v>
      </c>
      <c r="D6" s="757"/>
      <c r="E6" s="757">
        <v>722.4</v>
      </c>
      <c r="F6" s="702">
        <v>465.5</v>
      </c>
      <c r="G6" s="226"/>
      <c r="H6" s="1043"/>
      <c r="I6" s="670"/>
      <c r="J6" s="463"/>
      <c r="K6" s="463"/>
      <c r="L6" s="463"/>
    </row>
    <row r="7" spans="2:16" ht="14.1" customHeight="1">
      <c r="B7" s="16">
        <f t="shared" si="1"/>
        <v>3</v>
      </c>
      <c r="C7" s="17">
        <v>44202</v>
      </c>
      <c r="D7" s="757">
        <v>688.21</v>
      </c>
      <c r="E7" s="757">
        <v>12</v>
      </c>
      <c r="F7" s="702"/>
      <c r="G7" s="226">
        <v>400.1</v>
      </c>
      <c r="H7" s="1043"/>
      <c r="I7" s="669"/>
      <c r="J7" s="463"/>
      <c r="K7" s="463"/>
      <c r="L7" s="463"/>
    </row>
    <row r="8" spans="2:16" ht="14.1" customHeight="1">
      <c r="B8" s="16">
        <f t="shared" si="1"/>
        <v>4</v>
      </c>
      <c r="C8" s="17">
        <v>44203</v>
      </c>
      <c r="D8" s="757">
        <v>512</v>
      </c>
      <c r="E8" s="739"/>
      <c r="F8" s="702"/>
      <c r="G8" s="226">
        <v>480.8</v>
      </c>
      <c r="H8" s="1043"/>
      <c r="I8" s="669"/>
      <c r="J8" s="463"/>
      <c r="K8" s="463"/>
      <c r="L8" s="463"/>
    </row>
    <row r="9" spans="2:16" ht="14.1" customHeight="1">
      <c r="B9" s="16">
        <f t="shared" si="1"/>
        <v>5</v>
      </c>
      <c r="C9" s="17">
        <v>44204</v>
      </c>
      <c r="D9" s="757"/>
      <c r="E9" s="757">
        <v>784</v>
      </c>
      <c r="F9" s="702"/>
      <c r="G9" s="226">
        <v>443</v>
      </c>
      <c r="H9" s="875"/>
      <c r="I9" s="669"/>
      <c r="J9" s="463"/>
      <c r="K9" s="463"/>
      <c r="L9" s="463"/>
    </row>
    <row r="10" spans="2:16" ht="14.1" customHeight="1">
      <c r="B10" s="16">
        <f t="shared" si="1"/>
        <v>6</v>
      </c>
      <c r="C10" s="17">
        <v>44205</v>
      </c>
      <c r="D10" s="757">
        <v>496</v>
      </c>
      <c r="E10" s="757"/>
      <c r="F10" s="702">
        <v>549.20000000000005</v>
      </c>
      <c r="G10" s="226"/>
      <c r="H10" s="885"/>
      <c r="I10" s="1045"/>
      <c r="J10" s="463"/>
      <c r="K10" s="463"/>
      <c r="L10" s="463"/>
    </row>
    <row r="11" spans="2:16" ht="14.1" customHeight="1">
      <c r="B11" s="16">
        <f t="shared" si="1"/>
        <v>7</v>
      </c>
      <c r="C11" s="17">
        <v>44206</v>
      </c>
      <c r="D11" s="757">
        <v>426.3</v>
      </c>
      <c r="E11" s="757">
        <v>30</v>
      </c>
      <c r="F11" s="702">
        <v>509.8</v>
      </c>
      <c r="G11" s="226"/>
      <c r="H11" s="18"/>
      <c r="I11" s="1045"/>
      <c r="J11" s="463"/>
      <c r="K11" s="463"/>
      <c r="L11" s="463"/>
    </row>
    <row r="12" spans="2:16" ht="14.1" customHeight="1">
      <c r="B12" s="16">
        <f t="shared" si="1"/>
        <v>1</v>
      </c>
      <c r="C12" s="17">
        <v>44207</v>
      </c>
      <c r="D12" s="757"/>
      <c r="E12" s="757">
        <v>333</v>
      </c>
      <c r="F12" s="702">
        <v>601.1</v>
      </c>
      <c r="G12" s="226"/>
      <c r="H12" s="431"/>
      <c r="I12" s="1045"/>
      <c r="J12" s="463"/>
      <c r="K12" s="463"/>
      <c r="L12" s="463"/>
    </row>
    <row r="13" spans="2:16" ht="14.1" customHeight="1">
      <c r="B13" s="16">
        <f t="shared" si="1"/>
        <v>2</v>
      </c>
      <c r="C13" s="17">
        <v>44208</v>
      </c>
      <c r="D13" s="702">
        <v>349</v>
      </c>
      <c r="E13" s="757">
        <f>548.7</f>
        <v>548.70000000000005</v>
      </c>
      <c r="F13" s="702"/>
      <c r="G13" s="1043"/>
      <c r="H13" s="226"/>
      <c r="I13" s="1044"/>
      <c r="J13" s="463"/>
      <c r="K13" s="465"/>
      <c r="L13" s="463"/>
      <c r="N13" s="86"/>
      <c r="O13" s="86"/>
      <c r="P13" s="86"/>
    </row>
    <row r="14" spans="2:16" ht="14.1" customHeight="1">
      <c r="B14" s="16">
        <f t="shared" si="1"/>
        <v>3</v>
      </c>
      <c r="C14" s="17">
        <v>44209</v>
      </c>
      <c r="D14" s="757">
        <v>613.4</v>
      </c>
      <c r="E14" s="757"/>
      <c r="F14" s="702">
        <v>758.5</v>
      </c>
      <c r="G14" s="226"/>
      <c r="H14" s="226"/>
      <c r="I14" s="1045"/>
      <c r="J14" s="463"/>
      <c r="K14" s="465"/>
      <c r="L14" s="463"/>
      <c r="N14" s="86"/>
      <c r="O14" s="86"/>
      <c r="P14" s="86"/>
    </row>
    <row r="15" spans="2:16" ht="14.1" customHeight="1">
      <c r="B15" s="16">
        <f t="shared" si="1"/>
        <v>4</v>
      </c>
      <c r="C15" s="17">
        <v>44210</v>
      </c>
      <c r="D15" s="757">
        <v>303</v>
      </c>
      <c r="E15" s="757">
        <v>32</v>
      </c>
      <c r="F15" s="702">
        <v>483.5</v>
      </c>
      <c r="G15" s="226"/>
      <c r="H15" s="226"/>
      <c r="I15" s="1045"/>
      <c r="J15" s="463"/>
      <c r="K15" s="465"/>
      <c r="L15" s="463"/>
      <c r="N15" s="86"/>
      <c r="O15" s="86"/>
      <c r="P15" s="86"/>
    </row>
    <row r="16" spans="2:16" ht="14.1" customHeight="1">
      <c r="B16" s="16">
        <f t="shared" si="1"/>
        <v>5</v>
      </c>
      <c r="C16" s="17">
        <v>44211</v>
      </c>
      <c r="D16" s="757"/>
      <c r="E16" s="757">
        <v>710</v>
      </c>
      <c r="F16" s="702"/>
      <c r="G16" s="226">
        <v>873.7</v>
      </c>
      <c r="H16" s="226"/>
      <c r="I16" s="1045"/>
      <c r="J16" s="463"/>
      <c r="K16" s="465"/>
      <c r="L16" s="463"/>
      <c r="N16" s="86"/>
      <c r="O16" s="86"/>
      <c r="P16" s="86"/>
    </row>
    <row r="17" spans="1:16" ht="14.1" customHeight="1">
      <c r="A17" s="86"/>
      <c r="B17" s="16">
        <f t="shared" si="1"/>
        <v>6</v>
      </c>
      <c r="C17" s="17">
        <v>44212</v>
      </c>
      <c r="D17" s="757"/>
      <c r="E17" s="757">
        <v>1021.1</v>
      </c>
      <c r="F17" s="702"/>
      <c r="G17" s="226">
        <v>1148.7</v>
      </c>
      <c r="H17" s="1043"/>
      <c r="I17" s="1045"/>
      <c r="J17" s="463"/>
      <c r="K17" s="465"/>
      <c r="L17" s="463"/>
      <c r="N17" s="86"/>
      <c r="O17" s="86"/>
      <c r="P17" s="86"/>
    </row>
    <row r="18" spans="1:16" ht="14.1" customHeight="1">
      <c r="A18" s="86"/>
      <c r="B18" s="16">
        <f t="shared" si="1"/>
        <v>7</v>
      </c>
      <c r="C18" s="17">
        <v>44213</v>
      </c>
      <c r="D18" s="757">
        <v>1555.8</v>
      </c>
      <c r="E18" s="757"/>
      <c r="F18" s="702"/>
      <c r="G18" s="226">
        <v>787</v>
      </c>
      <c r="H18" s="885"/>
      <c r="I18" s="1045"/>
      <c r="J18" s="463"/>
      <c r="K18" s="465"/>
      <c r="L18" s="465"/>
      <c r="M18" s="86"/>
      <c r="N18" s="86"/>
      <c r="O18" s="86"/>
      <c r="P18" s="86"/>
    </row>
    <row r="19" spans="1:16" ht="14.1" customHeight="1">
      <c r="A19" s="86"/>
      <c r="B19" s="16">
        <f t="shared" si="1"/>
        <v>1</v>
      </c>
      <c r="C19" s="17">
        <v>44214</v>
      </c>
      <c r="D19" s="757">
        <f>1230.6</f>
        <v>1230.5999999999999</v>
      </c>
      <c r="E19" s="757"/>
      <c r="F19" s="702">
        <v>497.7</v>
      </c>
      <c r="G19" s="226"/>
      <c r="H19" s="14"/>
      <c r="I19" s="1045"/>
      <c r="J19" s="463"/>
      <c r="K19" s="465"/>
      <c r="L19" s="467"/>
      <c r="M19" s="86"/>
      <c r="N19" s="86"/>
      <c r="O19" s="86"/>
      <c r="P19" s="86"/>
    </row>
    <row r="20" spans="1:16" ht="14.1" customHeight="1">
      <c r="A20" s="86"/>
      <c r="B20" s="16">
        <f t="shared" si="1"/>
        <v>2</v>
      </c>
      <c r="C20" s="17">
        <v>44215</v>
      </c>
      <c r="D20" s="757">
        <v>21</v>
      </c>
      <c r="E20" s="757">
        <v>627</v>
      </c>
      <c r="F20" s="702">
        <v>801.5</v>
      </c>
      <c r="G20" s="226"/>
      <c r="H20" s="226"/>
      <c r="I20" s="1045"/>
      <c r="J20" s="463"/>
      <c r="K20" s="465"/>
      <c r="L20" s="465"/>
      <c r="M20" s="86"/>
      <c r="N20" s="86"/>
      <c r="O20" s="86"/>
      <c r="P20" s="86"/>
    </row>
    <row r="21" spans="1:16" ht="14.1" customHeight="1">
      <c r="A21" s="86"/>
      <c r="B21" s="16">
        <f t="shared" si="1"/>
        <v>3</v>
      </c>
      <c r="C21" s="17">
        <v>44216</v>
      </c>
      <c r="D21" s="757"/>
      <c r="E21" s="757">
        <v>837.7</v>
      </c>
      <c r="F21" s="702"/>
      <c r="G21" s="226">
        <v>811.5</v>
      </c>
      <c r="H21" s="14"/>
      <c r="I21" s="1045"/>
      <c r="J21" s="463"/>
      <c r="K21" s="465"/>
      <c r="L21" s="465"/>
      <c r="M21" s="86"/>
      <c r="N21" s="86"/>
      <c r="O21" s="86"/>
      <c r="P21" s="86"/>
    </row>
    <row r="22" spans="1:16" s="86" customFormat="1" ht="14.1" customHeight="1">
      <c r="A22" s="474"/>
      <c r="B22" s="16">
        <f t="shared" si="1"/>
        <v>4</v>
      </c>
      <c r="C22" s="17">
        <v>44217</v>
      </c>
      <c r="D22" s="757">
        <v>859.6</v>
      </c>
      <c r="E22" s="757"/>
      <c r="F22" s="702"/>
      <c r="G22" s="226">
        <v>805</v>
      </c>
      <c r="H22" s="22"/>
      <c r="I22" s="1046"/>
      <c r="J22" s="465"/>
      <c r="K22" s="465"/>
      <c r="L22" s="465"/>
    </row>
    <row r="23" spans="1:16" s="86" customFormat="1" ht="14.1" customHeight="1">
      <c r="B23" s="16">
        <f t="shared" si="1"/>
        <v>5</v>
      </c>
      <c r="C23" s="17">
        <v>44218</v>
      </c>
      <c r="D23" s="757">
        <v>857.9</v>
      </c>
      <c r="E23" s="757"/>
      <c r="F23" s="702"/>
      <c r="G23" s="226">
        <v>292.5</v>
      </c>
      <c r="H23" s="226"/>
      <c r="I23" s="1046"/>
      <c r="J23" s="465"/>
      <c r="K23" s="465"/>
      <c r="L23" s="465"/>
    </row>
    <row r="24" spans="1:16" s="86" customFormat="1" ht="14.1" customHeight="1">
      <c r="B24" s="16">
        <f t="shared" si="1"/>
        <v>6</v>
      </c>
      <c r="C24" s="17">
        <v>44219</v>
      </c>
      <c r="D24" s="739"/>
      <c r="E24" s="757">
        <v>1197.7</v>
      </c>
      <c r="F24" s="702">
        <v>1145.5</v>
      </c>
      <c r="G24" s="226"/>
      <c r="H24" s="226"/>
      <c r="I24" s="1046"/>
      <c r="J24" s="465"/>
      <c r="K24" s="465"/>
      <c r="L24" s="465"/>
    </row>
    <row r="25" spans="1:16" s="86" customFormat="1" ht="14.1" customHeight="1">
      <c r="A25" s="888"/>
      <c r="B25" s="16">
        <f t="shared" si="1"/>
        <v>7</v>
      </c>
      <c r="C25" s="17">
        <v>44220</v>
      </c>
      <c r="D25" s="757"/>
      <c r="E25" s="757">
        <f>1254.5</f>
        <v>1254.5</v>
      </c>
      <c r="F25" s="702"/>
      <c r="G25" s="226">
        <v>884.3</v>
      </c>
      <c r="H25" s="475"/>
      <c r="I25" s="1046"/>
      <c r="J25" s="465"/>
      <c r="K25" s="465"/>
      <c r="L25" s="465"/>
    </row>
    <row r="26" spans="1:16" s="86" customFormat="1" ht="14.1" customHeight="1">
      <c r="A26" s="888"/>
      <c r="B26" s="16">
        <f t="shared" si="1"/>
        <v>1</v>
      </c>
      <c r="C26" s="17">
        <v>44221</v>
      </c>
      <c r="D26" s="757">
        <v>1399.85</v>
      </c>
      <c r="E26" s="757"/>
      <c r="F26" s="702"/>
      <c r="G26" s="226">
        <v>595.5</v>
      </c>
      <c r="H26" s="226"/>
      <c r="I26" s="1046"/>
      <c r="J26" s="465"/>
      <c r="K26" s="704"/>
      <c r="L26" s="465"/>
    </row>
    <row r="27" spans="1:16" s="86" customFormat="1" ht="14.1" customHeight="1">
      <c r="B27" s="16">
        <f t="shared" si="1"/>
        <v>2</v>
      </c>
      <c r="C27" s="17">
        <v>44222</v>
      </c>
      <c r="D27" s="757">
        <v>844.9</v>
      </c>
      <c r="E27" s="757">
        <v>33</v>
      </c>
      <c r="F27" s="702"/>
      <c r="G27" s="226">
        <v>405</v>
      </c>
      <c r="H27" s="226"/>
      <c r="I27" s="1046"/>
      <c r="J27" s="465"/>
      <c r="K27" s="465"/>
      <c r="L27" s="476"/>
    </row>
    <row r="28" spans="1:16" s="86" customFormat="1" ht="14.1" customHeight="1">
      <c r="B28" s="16">
        <f t="shared" si="1"/>
        <v>3</v>
      </c>
      <c r="C28" s="17">
        <v>44223</v>
      </c>
      <c r="D28" s="757"/>
      <c r="E28" s="757">
        <v>830.5</v>
      </c>
      <c r="F28" s="702"/>
      <c r="G28" s="226"/>
      <c r="H28" s="226"/>
      <c r="I28" s="1046"/>
      <c r="J28" s="465"/>
      <c r="K28" s="465"/>
      <c r="L28" s="476"/>
    </row>
    <row r="29" spans="1:16" s="86" customFormat="1" ht="14.1" customHeight="1">
      <c r="B29" s="16">
        <f t="shared" si="1"/>
        <v>4</v>
      </c>
      <c r="C29" s="17">
        <v>44224</v>
      </c>
      <c r="D29" s="757"/>
      <c r="E29" s="757">
        <f>592.6</f>
        <v>592.6</v>
      </c>
      <c r="F29" s="702"/>
      <c r="G29" s="702"/>
      <c r="H29" s="226"/>
      <c r="I29" s="1046"/>
      <c r="J29" s="468"/>
      <c r="K29" s="468"/>
      <c r="L29" s="468"/>
      <c r="M29" s="366"/>
      <c r="N29" s="366"/>
      <c r="O29" s="366"/>
      <c r="P29" s="366"/>
    </row>
    <row r="30" spans="1:16" s="86" customFormat="1" ht="14.1" customHeight="1">
      <c r="A30" s="474"/>
      <c r="B30" s="16">
        <f t="shared" si="1"/>
        <v>5</v>
      </c>
      <c r="C30" s="17">
        <v>44225</v>
      </c>
      <c r="D30" s="757">
        <v>600.29999999999995</v>
      </c>
      <c r="E30" s="757">
        <v>29.5</v>
      </c>
      <c r="F30" s="702"/>
      <c r="G30" s="702"/>
      <c r="H30" s="226"/>
      <c r="I30" s="1046"/>
      <c r="J30" s="468"/>
      <c r="K30" s="468"/>
      <c r="L30" s="468"/>
      <c r="M30" s="366"/>
      <c r="N30" s="366"/>
      <c r="O30" s="366"/>
      <c r="P30" s="366"/>
    </row>
    <row r="31" spans="1:16" s="86" customFormat="1" ht="14.1" customHeight="1">
      <c r="B31" s="16">
        <f t="shared" si="1"/>
        <v>6</v>
      </c>
      <c r="C31" s="17">
        <v>44226</v>
      </c>
      <c r="D31" s="757">
        <v>985.26</v>
      </c>
      <c r="E31" s="757"/>
      <c r="F31" s="702"/>
      <c r="G31" s="226"/>
      <c r="H31" s="1047">
        <v>764.5</v>
      </c>
      <c r="I31" s="1046"/>
      <c r="J31" s="468"/>
      <c r="K31" s="466"/>
      <c r="L31" s="466"/>
      <c r="M31" s="366"/>
      <c r="N31" s="366"/>
      <c r="O31" s="366"/>
      <c r="P31" s="366"/>
    </row>
    <row r="32" spans="1:16" s="86" customFormat="1" ht="13.5" customHeight="1">
      <c r="B32" s="16">
        <f t="shared" si="1"/>
        <v>7</v>
      </c>
      <c r="C32" s="17">
        <v>44227</v>
      </c>
      <c r="D32" s="757"/>
      <c r="E32" s="757">
        <v>865.3</v>
      </c>
      <c r="F32" s="702"/>
      <c r="G32" s="226"/>
      <c r="H32" s="573">
        <v>597.79999999999995</v>
      </c>
      <c r="I32" s="1046"/>
      <c r="J32" s="466"/>
      <c r="K32" s="468"/>
      <c r="L32" s="466"/>
      <c r="M32" s="366"/>
      <c r="N32" s="366"/>
      <c r="O32" s="366"/>
      <c r="P32" s="366"/>
    </row>
    <row r="33" spans="2:16" s="86" customFormat="1" ht="13.5" customHeight="1">
      <c r="B33" s="16">
        <f t="shared" si="1"/>
        <v>1</v>
      </c>
      <c r="C33" s="17">
        <v>44228</v>
      </c>
      <c r="D33" s="757"/>
      <c r="E33" s="757"/>
      <c r="F33" s="702"/>
      <c r="G33" s="226"/>
      <c r="H33" s="226"/>
      <c r="I33" s="466"/>
      <c r="J33" s="466"/>
      <c r="K33" s="468"/>
      <c r="L33" s="466"/>
      <c r="M33" s="366"/>
      <c r="N33" s="366"/>
      <c r="O33" s="366"/>
      <c r="P33" s="366"/>
    </row>
    <row r="34" spans="2:16" s="86" customFormat="1" ht="13.5" customHeight="1">
      <c r="B34" s="16">
        <f t="shared" si="1"/>
        <v>2</v>
      </c>
      <c r="C34" s="17">
        <v>44229</v>
      </c>
      <c r="D34" s="757"/>
      <c r="E34" s="757"/>
      <c r="F34" s="702"/>
      <c r="G34" s="226"/>
      <c r="H34" s="226"/>
      <c r="I34" s="466"/>
      <c r="J34" s="466"/>
      <c r="K34" s="468"/>
      <c r="L34" s="466"/>
      <c r="M34" s="366"/>
      <c r="N34" s="366"/>
      <c r="O34" s="366"/>
      <c r="P34" s="366"/>
    </row>
    <row r="35" spans="2:16" s="86" customFormat="1" ht="13.5" customHeight="1">
      <c r="B35" s="16">
        <f t="shared" si="1"/>
        <v>3</v>
      </c>
      <c r="C35" s="17">
        <v>44230</v>
      </c>
      <c r="D35" s="757"/>
      <c r="E35" s="757"/>
      <c r="F35" s="702"/>
      <c r="G35" s="226"/>
      <c r="H35" s="226">
        <v>480.5</v>
      </c>
      <c r="I35" s="466"/>
      <c r="J35" s="466"/>
      <c r="K35" s="468"/>
      <c r="L35" s="466"/>
      <c r="M35" s="366"/>
      <c r="N35" s="366"/>
      <c r="O35" s="366"/>
      <c r="P35" s="366"/>
    </row>
    <row r="36" spans="2:16" s="86" customFormat="1" ht="13.5" customHeight="1">
      <c r="B36" s="16">
        <f t="shared" si="1"/>
        <v>4</v>
      </c>
      <c r="C36" s="17">
        <v>44231</v>
      </c>
      <c r="D36" s="757"/>
      <c r="E36" s="757"/>
      <c r="F36" s="702"/>
      <c r="G36" s="226"/>
      <c r="H36" s="226">
        <v>408</v>
      </c>
      <c r="I36" s="466"/>
      <c r="J36" s="466"/>
      <c r="K36" s="468"/>
      <c r="L36" s="466"/>
      <c r="M36" s="366"/>
      <c r="N36" s="366"/>
      <c r="O36" s="366"/>
      <c r="P36" s="366"/>
    </row>
    <row r="37" spans="2:16" s="86" customFormat="1" ht="13.5" customHeight="1">
      <c r="B37" s="16">
        <f t="shared" si="1"/>
        <v>5</v>
      </c>
      <c r="C37" s="17">
        <v>44232</v>
      </c>
      <c r="D37" s="757"/>
      <c r="E37" s="757"/>
      <c r="F37" s="702"/>
      <c r="G37" s="226"/>
      <c r="H37" s="226"/>
      <c r="I37" s="466"/>
      <c r="J37" s="466"/>
      <c r="K37" s="468"/>
      <c r="L37" s="466"/>
      <c r="M37" s="366"/>
      <c r="N37" s="366"/>
      <c r="O37" s="366"/>
      <c r="P37" s="366"/>
    </row>
    <row r="38" spans="2:16" s="86" customFormat="1" ht="13.5" customHeight="1">
      <c r="B38" s="16">
        <f t="shared" si="1"/>
        <v>6</v>
      </c>
      <c r="C38" s="17">
        <v>44233</v>
      </c>
      <c r="D38" s="757"/>
      <c r="E38" s="757"/>
      <c r="F38" s="702"/>
      <c r="G38" s="226"/>
      <c r="H38" s="1047"/>
      <c r="I38" s="466"/>
      <c r="J38" s="466"/>
      <c r="K38" s="468"/>
      <c r="L38" s="466"/>
      <c r="M38" s="366"/>
      <c r="N38" s="366"/>
      <c r="O38" s="366"/>
      <c r="P38" s="366"/>
    </row>
    <row r="39" spans="2:16" s="86" customFormat="1" ht="13.5" customHeight="1">
      <c r="B39" s="16">
        <f t="shared" si="1"/>
        <v>7</v>
      </c>
      <c r="C39" s="17">
        <v>44234</v>
      </c>
      <c r="D39" s="757"/>
      <c r="E39" s="757"/>
      <c r="F39" s="702"/>
      <c r="G39" s="226"/>
      <c r="H39" s="573">
        <v>657</v>
      </c>
      <c r="I39" s="466"/>
      <c r="J39" s="466"/>
      <c r="K39" s="468"/>
      <c r="L39" s="466"/>
      <c r="M39" s="366"/>
      <c r="N39" s="366"/>
      <c r="O39" s="366"/>
      <c r="P39" s="366"/>
    </row>
    <row r="40" spans="2:16" ht="14.1" customHeight="1" thickBot="1">
      <c r="B40" s="21"/>
      <c r="C40" s="546" t="s">
        <v>225</v>
      </c>
      <c r="D40" s="248">
        <v>17</v>
      </c>
      <c r="E40" s="248">
        <v>14</v>
      </c>
      <c r="F40" s="248">
        <f>COUNT(F4:F32)</f>
        <v>10</v>
      </c>
      <c r="G40" s="248">
        <f>COUNT(G2:G32)</f>
        <v>14</v>
      </c>
      <c r="H40" s="307">
        <f>COUNT(H2:H39)</f>
        <v>5</v>
      </c>
      <c r="I40" s="469"/>
      <c r="J40" s="469"/>
      <c r="K40" s="469"/>
      <c r="L40" s="469"/>
      <c r="M40" s="366"/>
      <c r="N40" s="366"/>
      <c r="O40" s="366"/>
      <c r="P40" s="366"/>
    </row>
    <row r="41" spans="2:16" ht="14.1" customHeight="1" thickBot="1">
      <c r="B41" s="21"/>
      <c r="C41" s="85" t="s">
        <v>73</v>
      </c>
      <c r="D41" s="238">
        <f>SUM(D2:D32)</f>
        <v>12887.119999999999</v>
      </c>
      <c r="E41" s="238">
        <f>SUM(E2:E32)</f>
        <v>11233.3</v>
      </c>
      <c r="F41" s="238">
        <f>SUM(F4:F32)</f>
        <v>6332.1</v>
      </c>
      <c r="G41" s="238">
        <f>SUM(G2:G32)</f>
        <v>9443.5</v>
      </c>
      <c r="H41" s="1043">
        <f>SUM(H2:H39)</f>
        <v>2907.8</v>
      </c>
      <c r="I41" s="109" t="s">
        <v>189</v>
      </c>
      <c r="J41" s="292" t="s">
        <v>190</v>
      </c>
      <c r="K41" s="452" t="s">
        <v>219</v>
      </c>
      <c r="L41" s="363"/>
      <c r="M41" s="366"/>
      <c r="N41" s="366"/>
      <c r="O41" s="366"/>
      <c r="P41" s="366"/>
    </row>
    <row r="42" spans="2:16" ht="14.1" customHeight="1" thickBot="1">
      <c r="B42" s="21"/>
      <c r="C42" s="85" t="s">
        <v>22</v>
      </c>
      <c r="D42" s="238">
        <v>13965.1</v>
      </c>
      <c r="E42" s="238">
        <v>10801.6</v>
      </c>
      <c r="F42" s="238">
        <v>6125</v>
      </c>
      <c r="G42" s="238">
        <v>9405.7000000000007</v>
      </c>
      <c r="H42" s="5">
        <v>2787</v>
      </c>
      <c r="I42" s="1048">
        <f>SUM(D2:E39)-D13</f>
        <v>23771.419999999995</v>
      </c>
      <c r="J42" s="292">
        <f>SUM(F2:G32)+D13</f>
        <v>16124.6</v>
      </c>
      <c r="K42" s="453">
        <f>SUM(I4:I32)</f>
        <v>0</v>
      </c>
      <c r="L42" s="363"/>
      <c r="M42" s="366"/>
      <c r="N42" s="366"/>
      <c r="O42" s="366"/>
      <c r="P42" s="366"/>
    </row>
    <row r="43" spans="2:16" ht="14.1" customHeight="1">
      <c r="B43" s="21"/>
      <c r="C43" s="85" t="s">
        <v>5</v>
      </c>
      <c r="D43" s="88">
        <f t="shared" ref="D43:G43" si="2">ABS(D41-D42)</f>
        <v>1077.9800000000014</v>
      </c>
      <c r="E43" s="88">
        <f t="shared" si="2"/>
        <v>431.69999999999891</v>
      </c>
      <c r="F43" s="88">
        <f t="shared" si="2"/>
        <v>207.10000000000036</v>
      </c>
      <c r="G43" s="88">
        <f t="shared" si="2"/>
        <v>37.799999999999272</v>
      </c>
      <c r="H43" s="88">
        <f>ABS(H41-H42)</f>
        <v>120.80000000000018</v>
      </c>
      <c r="I43" s="363"/>
      <c r="J43" s="363"/>
      <c r="K43" s="363"/>
      <c r="L43" s="363"/>
      <c r="M43" s="366"/>
      <c r="N43" s="366"/>
      <c r="O43" s="366"/>
      <c r="P43" s="366"/>
    </row>
    <row r="44" spans="2:16" ht="14.1" customHeight="1">
      <c r="B44" s="21"/>
      <c r="C44" s="700" t="s">
        <v>233</v>
      </c>
      <c r="D44" s="89">
        <f>ROUND(D43*1%,2)</f>
        <v>10.78</v>
      </c>
      <c r="E44" s="89">
        <f t="shared" ref="E44" si="3">ROUND(E43*1%,2)</f>
        <v>4.32</v>
      </c>
      <c r="F44" s="89">
        <f>ROUND(F43*1%,2)</f>
        <v>2.0699999999999998</v>
      </c>
      <c r="G44" s="89">
        <f>ROUND(G43*1%,2)</f>
        <v>0.38</v>
      </c>
      <c r="H44" s="89">
        <f>ROUND(H43*1%,2)</f>
        <v>1.21</v>
      </c>
      <c r="I44" s="363"/>
      <c r="J44" s="363"/>
      <c r="K44" s="363"/>
      <c r="L44" s="363"/>
      <c r="M44" s="366"/>
      <c r="N44" s="366"/>
      <c r="O44" s="366"/>
      <c r="P44" s="366"/>
    </row>
    <row r="45" spans="2:16" ht="14.1" customHeight="1">
      <c r="B45" s="21"/>
      <c r="C45" s="699" t="s">
        <v>234</v>
      </c>
      <c r="D45" s="89">
        <f>ROUND(3%*D42,2)</f>
        <v>418.95</v>
      </c>
      <c r="E45" s="89">
        <f>ROUND(3%*E42,2)</f>
        <v>324.05</v>
      </c>
      <c r="F45" s="89">
        <f>ROUND(3%*F42,2)</f>
        <v>183.75</v>
      </c>
      <c r="G45" s="89">
        <f>ROUND(3%*G42,2)</f>
        <v>282.17</v>
      </c>
      <c r="H45" s="89">
        <f>ROUND(3%*H42,2)</f>
        <v>83.61</v>
      </c>
      <c r="I45" s="145"/>
      <c r="J45" s="145"/>
      <c r="K45" s="366"/>
      <c r="L45" s="363"/>
      <c r="M45" s="366"/>
      <c r="N45" s="366"/>
      <c r="O45" s="366"/>
      <c r="P45" s="366"/>
    </row>
    <row r="46" spans="2:16" ht="14.1" customHeight="1">
      <c r="B46" s="21"/>
      <c r="C46" s="85" t="s">
        <v>7</v>
      </c>
      <c r="D46" s="87">
        <v>50</v>
      </c>
      <c r="E46" s="87">
        <v>50</v>
      </c>
      <c r="F46" s="87"/>
      <c r="G46" s="87">
        <v>40</v>
      </c>
      <c r="H46" s="87"/>
      <c r="I46" s="145"/>
      <c r="J46" s="145"/>
      <c r="K46" s="366"/>
      <c r="L46" s="363"/>
      <c r="M46" s="366"/>
      <c r="N46" s="366"/>
      <c r="O46" s="366"/>
      <c r="P46" s="366"/>
    </row>
    <row r="47" spans="2:16" ht="14.1" customHeight="1">
      <c r="B47" s="21"/>
      <c r="C47" s="85" t="s">
        <v>14</v>
      </c>
      <c r="D47" s="87">
        <f>(20*16)+25</f>
        <v>345</v>
      </c>
      <c r="E47" s="87">
        <f>20*14</f>
        <v>280</v>
      </c>
      <c r="F47" s="87">
        <f>ROUND(25*F40,2)</f>
        <v>250</v>
      </c>
      <c r="G47" s="88">
        <f>25*G40</f>
        <v>350</v>
      </c>
      <c r="H47" s="87">
        <f>25*H40</f>
        <v>125</v>
      </c>
      <c r="I47" s="283"/>
      <c r="J47" s="145"/>
      <c r="K47" s="145"/>
      <c r="L47" s="363"/>
      <c r="M47" s="366"/>
      <c r="N47" s="366"/>
      <c r="O47" s="366"/>
      <c r="P47" s="366"/>
    </row>
    <row r="48" spans="2:16" ht="14.1" customHeight="1">
      <c r="B48" s="974"/>
      <c r="C48" s="975" t="s">
        <v>94</v>
      </c>
      <c r="D48" s="14">
        <v>337.71</v>
      </c>
      <c r="E48" s="241">
        <v>180.88</v>
      </c>
      <c r="F48" s="87">
        <v>43.56</v>
      </c>
      <c r="G48" s="87">
        <v>49</v>
      </c>
      <c r="H48" s="241"/>
      <c r="I48" s="145"/>
      <c r="J48" s="145"/>
      <c r="K48" s="366"/>
      <c r="L48" s="363"/>
      <c r="M48" s="366"/>
      <c r="N48" s="366"/>
      <c r="O48" s="366"/>
      <c r="P48" s="366"/>
    </row>
    <row r="49" spans="1:22" ht="14.1" customHeight="1">
      <c r="B49" s="974"/>
      <c r="C49" s="975" t="s">
        <v>26</v>
      </c>
      <c r="D49" s="1041"/>
      <c r="E49" s="241">
        <v>100</v>
      </c>
      <c r="F49" s="87">
        <f>300-F48</f>
        <v>256.44</v>
      </c>
      <c r="G49" s="87">
        <v>27</v>
      </c>
      <c r="H49" s="241"/>
      <c r="I49" s="145"/>
      <c r="J49" s="145"/>
      <c r="K49" s="366"/>
      <c r="L49" s="363"/>
      <c r="M49" s="366"/>
      <c r="N49" s="366"/>
      <c r="O49" s="366"/>
      <c r="P49" s="366"/>
    </row>
    <row r="50" spans="1:22" ht="14.1" customHeight="1">
      <c r="B50" s="21"/>
      <c r="C50" s="975" t="s">
        <v>401</v>
      </c>
      <c r="D50" s="18"/>
      <c r="E50" s="241"/>
      <c r="F50" s="87">
        <v>162</v>
      </c>
      <c r="G50" s="87">
        <v>50</v>
      </c>
      <c r="H50" s="241"/>
      <c r="I50" s="283"/>
      <c r="J50" s="145"/>
      <c r="K50" s="366"/>
      <c r="L50" s="366"/>
      <c r="M50" s="366"/>
      <c r="N50" s="366"/>
      <c r="O50" s="366"/>
      <c r="P50" s="366"/>
    </row>
    <row r="51" spans="1:22" ht="14.1" customHeight="1">
      <c r="B51" s="31"/>
      <c r="C51" s="245" t="s">
        <v>77</v>
      </c>
      <c r="D51" s="455">
        <f>D52-D48</f>
        <v>487.02000000000004</v>
      </c>
      <c r="E51" s="455">
        <f>E52-E48-E49</f>
        <v>377.49</v>
      </c>
      <c r="F51" s="455">
        <f>F52-F48-F49-F50</f>
        <v>-26.180000000000007</v>
      </c>
      <c r="G51" s="455">
        <f>G52-G48-G49-G50</f>
        <v>546.54999999999995</v>
      </c>
      <c r="H51" s="455">
        <f>H52-H47</f>
        <v>84.82</v>
      </c>
      <c r="I51" s="145"/>
      <c r="J51" s="145"/>
      <c r="K51" s="366"/>
      <c r="L51" s="366"/>
      <c r="M51" s="366"/>
      <c r="N51" s="366"/>
      <c r="O51" s="366"/>
      <c r="P51" s="366"/>
    </row>
    <row r="52" spans="1:22" ht="14.1" customHeight="1">
      <c r="B52" s="21"/>
      <c r="C52" s="286" t="s">
        <v>45</v>
      </c>
      <c r="D52" s="287">
        <f>D44+D45+D47+D46</f>
        <v>824.73</v>
      </c>
      <c r="E52" s="287">
        <f>E44+E45+E46+E47</f>
        <v>658.37</v>
      </c>
      <c r="F52" s="287">
        <f>F44+F45+F47</f>
        <v>435.82</v>
      </c>
      <c r="G52" s="287">
        <f>G44+G45+G46+G47</f>
        <v>672.55</v>
      </c>
      <c r="H52" s="287">
        <f>H44+H45+H47</f>
        <v>209.82</v>
      </c>
      <c r="I52" s="461"/>
      <c r="J52" s="366"/>
      <c r="K52" s="366"/>
      <c r="L52" s="366"/>
      <c r="M52" s="366"/>
      <c r="N52" s="366"/>
      <c r="O52" s="366"/>
      <c r="P52" s="366"/>
      <c r="Q52" s="1"/>
      <c r="R52" s="1"/>
      <c r="S52" s="1"/>
      <c r="T52" s="1"/>
      <c r="U52" s="1"/>
      <c r="V52" s="1"/>
    </row>
    <row r="53" spans="1:22" ht="14.1" customHeight="1">
      <c r="B53" s="21"/>
      <c r="C53" s="169"/>
      <c r="D53" s="364"/>
      <c r="E53" s="461"/>
      <c r="F53" s="8"/>
      <c r="G53" s="8"/>
      <c r="H53" s="8"/>
      <c r="I53" s="283"/>
      <c r="J53" s="145"/>
      <c r="K53" s="366"/>
      <c r="L53" s="366"/>
      <c r="M53" s="366"/>
      <c r="N53" s="366"/>
      <c r="O53" s="366"/>
      <c r="P53" s="366"/>
      <c r="Q53" s="1"/>
      <c r="R53" s="1"/>
      <c r="S53" s="1"/>
      <c r="T53" s="1"/>
      <c r="U53" s="1"/>
      <c r="V53" s="1"/>
    </row>
    <row r="54" spans="1:22" s="86" customFormat="1" ht="14.1" customHeight="1">
      <c r="A54" s="168"/>
      <c r="B54" s="474"/>
      <c r="C54" s="363"/>
      <c r="D54" s="363"/>
      <c r="E54" s="363"/>
      <c r="F54" s="363"/>
      <c r="G54" s="363"/>
      <c r="H54" s="8"/>
      <c r="I54" s="68"/>
      <c r="J54" s="145"/>
      <c r="K54" s="366"/>
      <c r="L54" s="366"/>
      <c r="M54" s="145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4.1" customHeight="1">
      <c r="A55" s="168"/>
      <c r="B55" s="474"/>
      <c r="C55" s="1329"/>
      <c r="D55" s="1329"/>
      <c r="E55" s="145"/>
      <c r="F55" s="168"/>
      <c r="G55" s="168"/>
      <c r="H55" s="168"/>
      <c r="I55" s="72"/>
      <c r="J55" s="366"/>
      <c r="K55" s="366"/>
      <c r="L55" s="366"/>
      <c r="M55" s="145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ht="14.1" customHeight="1">
      <c r="B56" s="32"/>
      <c r="C56" s="1329"/>
      <c r="D56" s="1329"/>
      <c r="E56" s="12"/>
      <c r="G56" s="8"/>
      <c r="H56" s="207"/>
      <c r="I56" s="68"/>
      <c r="J56" s="366"/>
      <c r="K56" s="366"/>
      <c r="L56" s="366"/>
      <c r="M56" s="366"/>
      <c r="N56" s="366"/>
      <c r="O56" s="366"/>
      <c r="P56" s="366"/>
      <c r="Q56" s="1"/>
      <c r="R56" s="1"/>
      <c r="S56" s="1"/>
      <c r="T56" s="1"/>
      <c r="U56" s="1"/>
      <c r="V56" s="1"/>
    </row>
    <row r="57" spans="1:22" s="86" customFormat="1" ht="12.95" customHeight="1">
      <c r="B57" s="501"/>
      <c r="C57" s="1329"/>
      <c r="D57" s="1329"/>
      <c r="E57" s="502"/>
      <c r="F57" s="524"/>
      <c r="G57" s="502"/>
      <c r="H57" s="503"/>
      <c r="I57" s="1025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 ht="12.95" customHeight="1">
      <c r="C58" s="502"/>
      <c r="D58" s="502"/>
      <c r="E58" s="524"/>
      <c r="F58" s="524"/>
      <c r="G58" s="502"/>
      <c r="H58" s="168"/>
      <c r="I58" s="525"/>
      <c r="J58" s="502"/>
      <c r="K58" s="502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 ht="12" customHeight="1">
      <c r="A59" s="366"/>
      <c r="B59" s="366"/>
      <c r="C59" s="502"/>
      <c r="D59" s="502"/>
      <c r="E59" s="524"/>
      <c r="F59" s="524"/>
      <c r="G59" s="502"/>
      <c r="H59" s="503"/>
      <c r="I59" s="502"/>
      <c r="J59" s="502"/>
      <c r="K59" s="502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 ht="18.75">
      <c r="A60" s="366"/>
      <c r="B60" s="366"/>
      <c r="C60" s="366"/>
      <c r="D60" s="366"/>
      <c r="E60" s="144"/>
      <c r="F60" s="168"/>
      <c r="H60" s="503"/>
      <c r="I60" s="502"/>
      <c r="J60" s="502"/>
      <c r="K60" s="502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>
      <c r="A61" s="366"/>
      <c r="B61" s="366"/>
      <c r="C61" s="366"/>
      <c r="D61" s="366"/>
      <c r="E61" s="144"/>
      <c r="I61" s="143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 s="86" customFormat="1" ht="15" customHeight="1">
      <c r="A62" s="366"/>
      <c r="B62" s="366"/>
      <c r="C62" s="366"/>
      <c r="D62" s="366"/>
      <c r="E62" s="144"/>
      <c r="H62" s="524"/>
      <c r="I62" s="366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</row>
    <row r="63" spans="1:22" s="86" customFormat="1" ht="15" customHeight="1">
      <c r="A63" s="366"/>
      <c r="B63" s="366"/>
      <c r="C63" s="366"/>
      <c r="D63" s="366"/>
      <c r="E63" s="144"/>
      <c r="H63" s="524"/>
      <c r="I63" s="366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</row>
    <row r="64" spans="1:22" s="86" customFormat="1" ht="15" customHeight="1">
      <c r="A64" s="366"/>
      <c r="B64" s="366"/>
      <c r="C64" s="366"/>
      <c r="D64" s="366"/>
      <c r="E64" s="144"/>
      <c r="H64" s="524"/>
      <c r="I64" s="366"/>
      <c r="J64" s="366"/>
      <c r="K64" s="366"/>
      <c r="L64" s="366"/>
      <c r="M64" s="366"/>
      <c r="N64" s="366"/>
      <c r="O64" s="366"/>
      <c r="P64" s="366"/>
      <c r="Q64" s="366"/>
      <c r="R64" s="366"/>
      <c r="S64" s="366"/>
      <c r="T64" s="366"/>
      <c r="U64" s="366"/>
      <c r="V64" s="366"/>
    </row>
    <row r="65" spans="1:22" s="86" customFormat="1">
      <c r="A65" s="366"/>
      <c r="B65" s="366"/>
      <c r="C65" s="366"/>
      <c r="D65" s="366"/>
      <c r="E65" s="144"/>
      <c r="H65" s="168"/>
      <c r="J65" s="366"/>
      <c r="K65" s="366"/>
      <c r="L65" s="366"/>
      <c r="M65" s="366"/>
      <c r="N65" s="366"/>
      <c r="O65" s="366"/>
      <c r="P65" s="366"/>
      <c r="Q65" s="366"/>
      <c r="R65" s="366"/>
      <c r="S65" s="366"/>
      <c r="T65" s="366"/>
      <c r="U65" s="366"/>
      <c r="V65" s="366"/>
    </row>
    <row r="66" spans="1:22" s="86" customFormat="1">
      <c r="A66" s="366"/>
      <c r="B66" s="366"/>
      <c r="C66" s="366"/>
      <c r="D66" s="366"/>
      <c r="E66" s="144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</row>
    <row r="67" spans="1:22" s="86" customFormat="1">
      <c r="A67" s="366"/>
      <c r="B67" s="366"/>
      <c r="C67" s="366"/>
      <c r="D67" s="366"/>
      <c r="E67" s="144"/>
      <c r="J67" s="366"/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366"/>
      <c r="V67" s="366"/>
    </row>
    <row r="68" spans="1:22" s="86" customFormat="1">
      <c r="A68" s="366"/>
      <c r="B68" s="366"/>
      <c r="C68" s="366"/>
      <c r="D68" s="366"/>
      <c r="E68" s="144"/>
      <c r="J68" s="366"/>
      <c r="K68" s="366"/>
      <c r="L68" s="366"/>
      <c r="M68" s="366"/>
      <c r="N68" s="366"/>
      <c r="O68" s="366"/>
      <c r="P68" s="366"/>
      <c r="Q68" s="366"/>
      <c r="R68" s="366"/>
      <c r="S68" s="366"/>
      <c r="T68" s="366"/>
      <c r="U68" s="366"/>
      <c r="V68" s="366"/>
    </row>
    <row r="69" spans="1:22" s="86" customFormat="1">
      <c r="A69" s="366"/>
      <c r="B69" s="366"/>
      <c r="C69" s="366"/>
      <c r="D69" s="366"/>
      <c r="E69" s="144"/>
      <c r="J69" s="366"/>
      <c r="K69" s="366"/>
      <c r="L69" s="366"/>
      <c r="M69" s="366"/>
      <c r="N69" s="366"/>
      <c r="O69" s="366"/>
      <c r="P69" s="366"/>
      <c r="Q69" s="366"/>
      <c r="R69" s="366"/>
      <c r="S69" s="366"/>
      <c r="T69" s="366"/>
      <c r="U69" s="366"/>
      <c r="V69" s="366"/>
    </row>
    <row r="70" spans="1:22">
      <c r="A70" s="1"/>
      <c r="B70" s="1"/>
      <c r="C70" s="1"/>
      <c r="D70" s="1"/>
      <c r="E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11"/>
    </row>
    <row r="90" spans="1:5">
      <c r="A90" s="1"/>
      <c r="B90" s="1"/>
      <c r="C90" s="1"/>
      <c r="D90" s="1"/>
      <c r="E90" s="11"/>
    </row>
    <row r="91" spans="1:5">
      <c r="A91" s="1"/>
      <c r="B91" s="1"/>
      <c r="C91" s="1"/>
      <c r="D91" s="1"/>
      <c r="E91" s="11"/>
    </row>
    <row r="92" spans="1:5">
      <c r="A92" s="1"/>
      <c r="B92" s="1"/>
      <c r="C92" s="1"/>
      <c r="D92" s="1"/>
      <c r="E92" s="11"/>
    </row>
    <row r="93" spans="1:5">
      <c r="A93" s="1"/>
      <c r="B93" s="1"/>
      <c r="C93" s="1"/>
      <c r="D93" s="1"/>
      <c r="E93" s="11"/>
    </row>
    <row r="94" spans="1:5">
      <c r="A94" s="1"/>
      <c r="B94" s="1"/>
      <c r="C94" s="1"/>
      <c r="D94" s="1"/>
      <c r="E94" s="11"/>
    </row>
    <row r="95" spans="1:5">
      <c r="A95" s="1"/>
      <c r="B95" s="1"/>
      <c r="C95" s="1"/>
      <c r="D95" s="1"/>
      <c r="E95" s="11"/>
    </row>
    <row r="96" spans="1:5">
      <c r="A96" s="1"/>
      <c r="B96" s="1"/>
      <c r="C96" s="1"/>
      <c r="D96" s="1"/>
      <c r="E96" s="2"/>
    </row>
    <row r="97" spans="1:5">
      <c r="A97" s="1"/>
      <c r="B97" s="1"/>
      <c r="C97" s="1"/>
      <c r="D97" s="1"/>
      <c r="E97" s="2"/>
    </row>
    <row r="98" spans="1:5">
      <c r="A98" s="1"/>
      <c r="B98" s="1"/>
      <c r="E98" s="2"/>
    </row>
    <row r="99" spans="1:5">
      <c r="A99" s="1"/>
      <c r="B99" s="1"/>
      <c r="E99" s="2"/>
    </row>
    <row r="100" spans="1:5">
      <c r="A100" s="1"/>
      <c r="B100" s="1"/>
      <c r="E100" s="2"/>
    </row>
    <row r="101" spans="1:5">
      <c r="B101" s="1"/>
      <c r="E101" s="2"/>
    </row>
    <row r="102" spans="1:5">
      <c r="B102" s="1"/>
      <c r="E102" s="2"/>
    </row>
    <row r="103" spans="1:5">
      <c r="E103" s="2"/>
    </row>
    <row r="104" spans="1:5">
      <c r="E104" s="2"/>
    </row>
    <row r="105" spans="1:5">
      <c r="E105" s="2"/>
    </row>
    <row r="106" spans="1:5">
      <c r="E106" s="2"/>
    </row>
    <row r="107" spans="1:5">
      <c r="E107" s="2"/>
    </row>
    <row r="108" spans="1:5">
      <c r="E108" s="2"/>
    </row>
    <row r="109" spans="1:5">
      <c r="E109" s="2"/>
    </row>
    <row r="110" spans="1:5">
      <c r="E110" s="2"/>
    </row>
    <row r="111" spans="1:5">
      <c r="E111" s="2"/>
    </row>
    <row r="112" spans="1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</sheetData>
  <mergeCells count="1">
    <mergeCell ref="C55:D57"/>
  </mergeCells>
  <conditionalFormatting sqref="F14:G15 D14:D15 D16:G31 D4:G12 D32:F39 D13:F13 C2:C39 B4:B39">
    <cfRule type="expression" dxfId="25" priority="5">
      <formula>$B2=7</formula>
    </cfRule>
    <cfRule type="expression" dxfId="24" priority="6">
      <formula>$B2=6</formula>
    </cfRule>
  </conditionalFormatting>
  <conditionalFormatting sqref="E14">
    <cfRule type="expression" dxfId="23" priority="7">
      <formula>$B15=7</formula>
    </cfRule>
    <cfRule type="expression" dxfId="22" priority="8">
      <formula>$B15=6</formula>
    </cfRule>
  </conditionalFormatting>
  <conditionalFormatting sqref="E15">
    <cfRule type="expression" dxfId="21" priority="3">
      <formula>$B15=7</formula>
    </cfRule>
    <cfRule type="expression" dxfId="20" priority="4">
      <formula>$B15=6</formula>
    </cfRule>
  </conditionalFormatting>
  <conditionalFormatting sqref="B2:B3 D2:G3">
    <cfRule type="expression" dxfId="19" priority="1">
      <formula>$B2=7</formula>
    </cfRule>
    <cfRule type="expression" dxfId="18" priority="2">
      <formula>$B2=6</formula>
    </cfRule>
  </conditionalFormatting>
  <conditionalFormatting sqref="G32:G39">
    <cfRule type="expression" dxfId="17" priority="55">
      <formula>#REF!=7</formula>
    </cfRule>
    <cfRule type="expression" dxfId="16" priority="56">
      <formula>#REF!=6</formula>
    </cfRule>
  </conditionalFormatting>
  <pageMargins left="0.7" right="0.7" top="0.75" bottom="0.75" header="0.3" footer="0.3"/>
  <pageSetup paperSize="11" scale="5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45"/>
  <sheetViews>
    <sheetView topLeftCell="A40" zoomScale="85" zoomScaleNormal="85" zoomScaleSheetLayoutView="70" zoomScalePageLayoutView="70" workbookViewId="0">
      <selection activeCell="I12" sqref="I12:J12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1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262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1056"/>
      <c r="O2" s="1058"/>
      <c r="P2" s="1058"/>
      <c r="Q2" s="1058"/>
      <c r="R2" s="366"/>
      <c r="S2" s="1058"/>
      <c r="T2" s="1058"/>
      <c r="U2" s="1058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1056"/>
      <c r="O3" s="366"/>
      <c r="P3" s="366"/>
      <c r="Q3" s="366"/>
      <c r="R3" s="366"/>
      <c r="S3" s="366"/>
      <c r="T3" s="366"/>
      <c r="U3" s="366"/>
      <c r="V3" s="1058"/>
      <c r="W3" s="1058"/>
      <c r="X3" s="366"/>
      <c r="Y3" s="1058"/>
      <c r="Z3" s="629"/>
      <c r="AA3" s="366"/>
      <c r="AB3" s="366"/>
      <c r="AC3" s="366"/>
      <c r="AD3" s="1058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1049" t="s">
        <v>34</v>
      </c>
      <c r="C4" s="36" t="s">
        <v>35</v>
      </c>
      <c r="D4" s="36" t="s">
        <v>38</v>
      </c>
      <c r="E4" s="36" t="s">
        <v>42</v>
      </c>
      <c r="F4" s="1049" t="s">
        <v>36</v>
      </c>
      <c r="G4" s="100" t="s">
        <v>173</v>
      </c>
      <c r="H4" s="676" t="s">
        <v>2</v>
      </c>
      <c r="I4" s="1285" t="s">
        <v>34</v>
      </c>
      <c r="J4" s="1285"/>
      <c r="K4" s="1062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1014"/>
      <c r="B5" s="167" t="s">
        <v>334</v>
      </c>
      <c r="C5" s="1013">
        <v>75</v>
      </c>
      <c r="D5" s="1013">
        <v>75</v>
      </c>
      <c r="E5" s="542" t="str">
        <f t="shared" ref="E5:E19" si="0">IF(C5-D5=0,"",C5-D5)</f>
        <v/>
      </c>
      <c r="F5" s="162" t="str">
        <f t="shared" ref="F5:F19" si="1">IF(C5=0,"",IF(C5-D5=0,"оплачено","ОЖИДАЕТСЯ оплата"))</f>
        <v>оплачено</v>
      </c>
      <c r="G5" s="161"/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/>
      <c r="B6" s="161" t="s">
        <v>437</v>
      </c>
      <c r="C6" s="275">
        <v>485.33</v>
      </c>
      <c r="D6" s="275">
        <v>485.33</v>
      </c>
      <c r="E6" s="634" t="str">
        <f t="shared" si="0"/>
        <v/>
      </c>
      <c r="F6" s="161" t="str">
        <f t="shared" si="1"/>
        <v>оплачено</v>
      </c>
      <c r="G6" s="161"/>
      <c r="H6" s="678"/>
      <c r="I6" s="1288"/>
      <c r="J6" s="1289"/>
      <c r="K6" s="480"/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/>
      <c r="B7" s="161" t="s">
        <v>439</v>
      </c>
      <c r="C7" s="275">
        <v>563.28</v>
      </c>
      <c r="D7" s="275">
        <v>563.28</v>
      </c>
      <c r="E7" s="542" t="str">
        <f t="shared" si="0"/>
        <v/>
      </c>
      <c r="F7" s="162" t="str">
        <f t="shared" si="1"/>
        <v>оплачено</v>
      </c>
      <c r="G7" s="161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/>
      <c r="B8" s="161" t="s">
        <v>415</v>
      </c>
      <c r="C8" s="275">
        <v>385.15</v>
      </c>
      <c r="D8" s="275"/>
      <c r="E8" s="542">
        <f t="shared" si="0"/>
        <v>385.15</v>
      </c>
      <c r="F8" s="162" t="str">
        <f t="shared" si="1"/>
        <v>ОЖИДАЕТСЯ оплата</v>
      </c>
      <c r="G8" s="161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/>
      <c r="B9" s="161"/>
      <c r="C9" s="275"/>
      <c r="D9" s="275"/>
      <c r="E9" s="634"/>
      <c r="F9" s="161" t="str">
        <f t="shared" si="1"/>
        <v/>
      </c>
      <c r="G9" s="161"/>
      <c r="H9" s="678"/>
      <c r="I9" s="1288"/>
      <c r="J9" s="1289"/>
      <c r="K9" s="480"/>
      <c r="L9" s="1290"/>
      <c r="M9" s="1291"/>
      <c r="N9" s="1012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s="86" customFormat="1" ht="15.75" customHeight="1">
      <c r="A10" s="325"/>
      <c r="B10" s="161"/>
      <c r="C10" s="275"/>
      <c r="D10" s="275"/>
      <c r="E10" s="634" t="str">
        <f t="shared" si="0"/>
        <v/>
      </c>
      <c r="F10" s="161" t="str">
        <f t="shared" si="1"/>
        <v/>
      </c>
      <c r="G10" s="161"/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s="86" customFormat="1" ht="15.75" customHeight="1">
      <c r="A11" s="325"/>
      <c r="B11" s="161"/>
      <c r="C11" s="275"/>
      <c r="D11" s="275"/>
      <c r="E11" s="634" t="str">
        <f t="shared" si="0"/>
        <v/>
      </c>
      <c r="F11" s="161" t="str">
        <f t="shared" si="1"/>
        <v/>
      </c>
      <c r="G11" s="161"/>
      <c r="H11" s="678"/>
      <c r="I11" s="1288"/>
      <c r="J11" s="1289"/>
      <c r="K11" s="480"/>
      <c r="L11" s="1290"/>
      <c r="M11" s="1291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s="86" customFormat="1" ht="14.25" customHeight="1">
      <c r="A12" s="325"/>
      <c r="B12" s="161"/>
      <c r="C12" s="275"/>
      <c r="D12" s="275"/>
      <c r="E12" s="634" t="str">
        <f t="shared" si="0"/>
        <v/>
      </c>
      <c r="F12" s="161" t="str">
        <f t="shared" si="1"/>
        <v/>
      </c>
      <c r="G12" s="161"/>
      <c r="H12" s="678"/>
      <c r="I12" s="1288"/>
      <c r="J12" s="1289"/>
      <c r="K12" s="480"/>
      <c r="L12" s="1290"/>
      <c r="M12" s="1291"/>
      <c r="N12" s="766"/>
      <c r="O12" s="1042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>
      <c r="A13" s="325"/>
      <c r="B13" s="161"/>
      <c r="C13" s="275"/>
      <c r="D13" s="275"/>
      <c r="E13" s="542" t="str">
        <f t="shared" si="0"/>
        <v/>
      </c>
      <c r="F13" s="162" t="str">
        <f t="shared" si="1"/>
        <v/>
      </c>
      <c r="G13" s="161"/>
      <c r="H13" s="678"/>
      <c r="I13" s="1288"/>
      <c r="J13" s="1289"/>
      <c r="K13" s="480"/>
      <c r="L13" s="1191"/>
      <c r="M13" s="1292"/>
      <c r="N13" s="766"/>
      <c r="O13" s="936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>IF(C14-D14=0,"",C14-D14)</f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935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1106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1508.7599999999998</v>
      </c>
      <c r="D20" s="358"/>
      <c r="E20" s="160">
        <f>SUM(E5:E19)</f>
        <v>385.15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1054" t="s">
        <v>21</v>
      </c>
      <c r="K22" s="1054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/>
      <c r="P24" s="366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447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 t="shared" ref="M31:M35" si="3">M30-I31-J31-K31+L31</f>
        <v>75409.000000000015</v>
      </c>
      <c r="N31" s="1"/>
      <c r="O31" s="44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 t="shared" si="3"/>
        <v>68068.100000000006</v>
      </c>
      <c r="N32" s="1"/>
      <c r="O32" s="44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 t="shared" si="3"/>
        <v>69125.030000000013</v>
      </c>
      <c r="N33" s="1"/>
      <c r="O33" s="12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20</v>
      </c>
      <c r="I34" s="689">
        <v>28716.309999999994</v>
      </c>
      <c r="J34" s="438">
        <v>4480.1000000000004</v>
      </c>
      <c r="K34" s="607">
        <f>741.01+462.85</f>
        <v>1203.8600000000001</v>
      </c>
      <c r="L34" s="607">
        <v>40057.5</v>
      </c>
      <c r="M34" s="104">
        <f t="shared" si="3"/>
        <v>74782.260000000009</v>
      </c>
      <c r="N34" s="1"/>
      <c r="O34" s="44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>
      <c r="A35" s="339"/>
      <c r="B35" s="199"/>
      <c r="C35" s="1"/>
      <c r="D35" s="273"/>
      <c r="E35" s="366"/>
      <c r="F35" s="366"/>
      <c r="G35" s="366"/>
      <c r="H35" s="347" t="s">
        <v>148</v>
      </c>
      <c r="I35" s="689">
        <v>26800.16</v>
      </c>
      <c r="J35" s="438">
        <f>4+53+32.5+311.5+375+214+61.3+1914+130.5+597.5+16.8+2.5+2148.5+28+491+24</f>
        <v>6404.1</v>
      </c>
      <c r="K35" s="607">
        <f>835.3+489.85</f>
        <v>1325.15</v>
      </c>
      <c r="L35" s="960">
        <f>3255+623+28+192+21+427+2680+9605+4070+1513+315+1563.5+1878+808.5+417+35+1146+2886+540+1020+66+1156+773.5+396+2643.5+1976+588+375+1850.5</f>
        <v>42847.5</v>
      </c>
      <c r="M35" s="104">
        <f t="shared" si="3"/>
        <v>83100.350000000006</v>
      </c>
      <c r="N35" s="1"/>
      <c r="O35" s="44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>
      <c r="A36" s="339"/>
      <c r="B36" s="199"/>
      <c r="C36" s="1"/>
      <c r="D36" s="273"/>
      <c r="E36" s="366"/>
      <c r="F36" s="366"/>
      <c r="G36" s="366"/>
      <c r="H36" s="347" t="s">
        <v>162</v>
      </c>
      <c r="I36" s="689">
        <v>25796.49</v>
      </c>
      <c r="J36" s="438">
        <f>2.2+22+11+100+1+324+64.2+163+106+6+211.5+238+369+166+327.5+1+30+198</f>
        <v>2340.4</v>
      </c>
      <c r="K36" s="607">
        <v>1417.21</v>
      </c>
      <c r="L36" s="960">
        <f>1442+786+491+108+201+501+256+1197+2570+42+883.5+330+192+1658+539+1550.5+1020.5+410+1497+230+17+879+290.5+569+1403.5+696+517+2100+1076.5+482+811</f>
        <v>24746</v>
      </c>
      <c r="M36" s="104">
        <f>M35-I36-J36-K36+L36</f>
        <v>78292.25</v>
      </c>
      <c r="N36" s="1"/>
      <c r="O36" s="447"/>
      <c r="P36" s="84"/>
      <c r="Q36" s="145"/>
      <c r="R36" s="84"/>
      <c r="S36" s="541"/>
      <c r="T36" s="86"/>
      <c r="U36" s="86"/>
      <c r="V36" s="86"/>
      <c r="W36" s="86"/>
      <c r="X36" s="86"/>
      <c r="Y36" s="366"/>
      <c r="Z36" s="366"/>
    </row>
    <row r="37" spans="1:26" ht="12.75" customHeight="1">
      <c r="A37" s="339"/>
      <c r="B37" s="199"/>
      <c r="C37" s="1"/>
      <c r="D37" s="273"/>
      <c r="E37" s="366"/>
      <c r="F37" s="366"/>
      <c r="G37" s="366"/>
      <c r="H37" s="379" t="s">
        <v>163</v>
      </c>
      <c r="I37" s="621">
        <v>26221.170000000002</v>
      </c>
      <c r="J37" s="432">
        <f>16.8+18.5+21+481+291+23+197.5+70.2+18+706.5+91+23+42+175+2+617+9+611</f>
        <v>3413.5</v>
      </c>
      <c r="K37" s="734">
        <f>538.23+638.25</f>
        <v>1176.48</v>
      </c>
      <c r="L37" s="1040">
        <f>600+18+110+3039+866+639+533.5+48+72+1216+449.5+602+112+5408+228+20+1228+80+1766.5+1774+202+236+466+411.5+30.5+195+5659.5+327.5</f>
        <v>26337.5</v>
      </c>
      <c r="M37" s="104">
        <f>M35-I37-J37-K37+L37</f>
        <v>78626.700000000012</v>
      </c>
      <c r="N37" s="1"/>
      <c r="O37" s="447"/>
      <c r="P37" s="84"/>
      <c r="Q37" s="145"/>
      <c r="R37" s="84"/>
      <c r="S37" s="541"/>
      <c r="T37" s="86"/>
      <c r="U37" s="86"/>
      <c r="V37" s="86"/>
      <c r="W37" s="86"/>
      <c r="X37" s="86"/>
      <c r="Y37" s="366"/>
      <c r="Z37" s="366"/>
    </row>
    <row r="38" spans="1:26" ht="12.75" customHeight="1">
      <c r="A38" s="339"/>
      <c r="B38" s="199"/>
      <c r="C38" s="1"/>
      <c r="D38" s="273"/>
      <c r="E38" s="366"/>
      <c r="F38" s="366"/>
      <c r="G38" s="366"/>
      <c r="H38" s="347" t="s">
        <v>192</v>
      </c>
      <c r="I38" s="689">
        <v>25688.519999999993</v>
      </c>
      <c r="J38" s="438">
        <f>41+87+50.5+210+23.5+38+126+28.2+92.2+278.5+147.5</f>
        <v>1122.4000000000001</v>
      </c>
      <c r="K38" s="607">
        <v>929.44</v>
      </c>
      <c r="L38" s="960">
        <f>46+773+1131+329+628.5+1201+628.5+1037+56+222+428+150+1972+3098+1100.5+1593.5+138.5+165+921+1224+272.5+527+292.5</f>
        <v>17934.5</v>
      </c>
      <c r="M38" s="733">
        <f>M36-I38-J38-K38+L38</f>
        <v>68486.390000000014</v>
      </c>
      <c r="N38" s="1"/>
      <c r="O38" s="447"/>
      <c r="P38" s="84"/>
      <c r="Q38" s="145"/>
      <c r="R38" s="84"/>
      <c r="S38" s="541"/>
      <c r="T38" s="86"/>
      <c r="U38" s="86"/>
      <c r="V38" s="86"/>
      <c r="W38" s="86"/>
      <c r="X38" s="86"/>
      <c r="Y38" s="366"/>
      <c r="Z38" s="366"/>
    </row>
    <row r="39" spans="1:26" ht="12.75" customHeight="1" thickBot="1">
      <c r="A39" s="339"/>
      <c r="B39" s="199"/>
      <c r="C39" s="1"/>
      <c r="D39" s="273"/>
      <c r="E39" s="366"/>
      <c r="F39" s="366"/>
      <c r="G39" s="366"/>
      <c r="H39" s="608" t="s">
        <v>199</v>
      </c>
      <c r="I39" s="622"/>
      <c r="J39" s="610"/>
      <c r="K39" s="611"/>
      <c r="L39" s="941"/>
      <c r="M39" s="612"/>
      <c r="N39" s="1"/>
      <c r="O39" s="447"/>
      <c r="P39" s="84"/>
      <c r="Q39" s="145"/>
      <c r="R39" s="84"/>
      <c r="S39" s="541"/>
      <c r="T39" s="86"/>
      <c r="U39" s="86"/>
      <c r="V39" s="86"/>
      <c r="W39" s="86"/>
      <c r="X39" s="86"/>
      <c r="Y39" s="366"/>
      <c r="Z39" s="366"/>
    </row>
    <row r="40" spans="1:26" ht="12.75" customHeight="1" thickTop="1">
      <c r="A40" s="339"/>
      <c r="B40" s="199"/>
      <c r="C40" s="1"/>
      <c r="D40" s="273"/>
      <c r="E40" s="84"/>
      <c r="F40" s="366"/>
      <c r="G40" s="366"/>
      <c r="H40" s="1148" t="s">
        <v>36</v>
      </c>
      <c r="I40" s="1150" t="s">
        <v>178</v>
      </c>
      <c r="J40" s="1151"/>
      <c r="K40" s="1152"/>
      <c r="L40" s="1156" t="s">
        <v>159</v>
      </c>
      <c r="M40" s="1156"/>
      <c r="N40" s="747" t="s">
        <v>341</v>
      </c>
      <c r="O40" s="447"/>
      <c r="P40" s="84"/>
      <c r="Q40" s="145"/>
      <c r="R40" s="145"/>
      <c r="S40" s="86"/>
      <c r="T40" s="86"/>
      <c r="U40" s="86"/>
      <c r="V40" s="86"/>
      <c r="W40" s="86"/>
      <c r="X40" s="86"/>
      <c r="Y40" s="366"/>
      <c r="Z40" s="366"/>
    </row>
    <row r="41" spans="1:26" ht="13.5" customHeight="1">
      <c r="A41" s="339"/>
      <c r="B41" s="199"/>
      <c r="C41" s="284"/>
      <c r="D41" s="273"/>
      <c r="E41" s="284"/>
      <c r="F41" s="366"/>
      <c r="G41" s="378"/>
      <c r="H41" s="1149"/>
      <c r="I41" s="1153"/>
      <c r="J41" s="1154"/>
      <c r="K41" s="1155"/>
      <c r="L41" s="1158"/>
      <c r="M41" s="1158"/>
      <c r="N41" s="748" t="s">
        <v>189</v>
      </c>
      <c r="O41" s="447"/>
      <c r="P41" s="84"/>
      <c r="Q41" s="145"/>
      <c r="R41" s="84"/>
      <c r="S41" s="86"/>
      <c r="T41" s="86"/>
      <c r="U41" s="86"/>
      <c r="V41" s="294"/>
      <c r="W41" s="86"/>
      <c r="X41" s="86"/>
      <c r="Y41" s="366"/>
      <c r="Z41" s="366"/>
    </row>
    <row r="42" spans="1:26" ht="15.75" customHeight="1">
      <c r="A42" s="339"/>
      <c r="B42" s="199"/>
      <c r="C42" s="199"/>
      <c r="D42" s="273"/>
      <c r="E42" s="199"/>
      <c r="F42" s="366"/>
      <c r="G42" s="378"/>
      <c r="H42" s="512" t="s">
        <v>91</v>
      </c>
      <c r="I42" s="1278" t="s">
        <v>47</v>
      </c>
      <c r="J42" s="1278"/>
      <c r="K42" s="1062">
        <v>350</v>
      </c>
      <c r="L42" s="282">
        <v>44211</v>
      </c>
      <c r="M42" s="1" t="s">
        <v>171</v>
      </c>
      <c r="N42" s="749">
        <v>132</v>
      </c>
      <c r="O42" s="447"/>
      <c r="P42" s="84"/>
      <c r="Q42" s="145"/>
      <c r="R42" s="84"/>
      <c r="S42" s="86"/>
      <c r="T42" s="86"/>
      <c r="U42" s="86"/>
      <c r="V42" s="294"/>
      <c r="W42" s="86"/>
      <c r="X42" s="86"/>
      <c r="Y42" s="366"/>
      <c r="Z42" s="366"/>
    </row>
    <row r="43" spans="1:26">
      <c r="A43" s="339"/>
      <c r="B43" s="366"/>
      <c r="C43" s="274"/>
      <c r="D43" s="273"/>
      <c r="E43" s="274"/>
      <c r="F43" s="366"/>
      <c r="G43" s="366"/>
      <c r="H43" s="512" t="s">
        <v>91</v>
      </c>
      <c r="I43" s="1262" t="s">
        <v>51</v>
      </c>
      <c r="J43" s="1262"/>
      <c r="K43" s="1061">
        <v>76.05</v>
      </c>
      <c r="L43" s="282">
        <v>44211</v>
      </c>
      <c r="M43" s="1" t="s">
        <v>171</v>
      </c>
      <c r="N43" s="750">
        <v>40</v>
      </c>
      <c r="O43" s="447"/>
      <c r="P43" s="84"/>
      <c r="Q43" s="145"/>
      <c r="R43" s="273"/>
      <c r="S43" s="366"/>
      <c r="T43" s="86"/>
      <c r="U43" s="86"/>
      <c r="V43" s="294"/>
      <c r="W43" s="294"/>
      <c r="X43" s="294"/>
      <c r="Y43" s="366"/>
    </row>
    <row r="44" spans="1:26">
      <c r="A44" s="340"/>
      <c r="B44" s="366"/>
      <c r="C44" s="366"/>
      <c r="D44" s="273"/>
      <c r="E44" s="199"/>
      <c r="F44" s="366"/>
      <c r="G44" s="366"/>
      <c r="H44" s="512" t="s">
        <v>91</v>
      </c>
      <c r="I44" s="1262" t="s">
        <v>52</v>
      </c>
      <c r="J44" s="1262"/>
      <c r="K44" s="1061">
        <v>6</v>
      </c>
      <c r="L44" s="282">
        <v>44211</v>
      </c>
      <c r="M44" s="1" t="s">
        <v>171</v>
      </c>
      <c r="N44" s="750">
        <v>3</v>
      </c>
      <c r="O44" s="447"/>
      <c r="P44" s="84"/>
      <c r="Q44" s="145"/>
      <c r="R44" s="273"/>
      <c r="S44" s="366"/>
      <c r="T44" s="294"/>
      <c r="U44" s="86"/>
      <c r="V44" s="366"/>
      <c r="W44" s="294"/>
      <c r="X44" s="294"/>
      <c r="Y44" s="366"/>
    </row>
    <row r="45" spans="1:26">
      <c r="A45" s="340"/>
      <c r="B45" s="366"/>
      <c r="C45" s="366"/>
      <c r="D45" s="273"/>
      <c r="E45" s="366"/>
      <c r="F45" s="366"/>
      <c r="G45" s="366"/>
      <c r="H45" s="512" t="s">
        <v>91</v>
      </c>
      <c r="I45" s="1262" t="s">
        <v>49</v>
      </c>
      <c r="J45" s="1290"/>
      <c r="K45" s="1061">
        <v>331</v>
      </c>
      <c r="L45" s="294">
        <v>44216</v>
      </c>
      <c r="M45" s="1" t="s">
        <v>413</v>
      </c>
      <c r="N45" s="749">
        <v>200</v>
      </c>
      <c r="O45" s="1042"/>
      <c r="P45" s="907"/>
      <c r="Q45" s="145"/>
      <c r="R45" s="1058"/>
      <c r="S45" s="366"/>
      <c r="T45" s="294"/>
      <c r="U45" s="86"/>
      <c r="V45" s="294"/>
      <c r="W45" s="294"/>
      <c r="X45" s="294"/>
      <c r="Y45" s="366"/>
    </row>
    <row r="46" spans="1:26">
      <c r="A46" s="340"/>
      <c r="B46" s="366"/>
      <c r="C46" s="366"/>
      <c r="D46" s="273"/>
      <c r="E46" s="366"/>
      <c r="F46" s="366"/>
      <c r="G46" s="366"/>
      <c r="H46" s="512" t="s">
        <v>91</v>
      </c>
      <c r="I46" s="1263" t="s">
        <v>59</v>
      </c>
      <c r="J46" s="1264"/>
      <c r="K46" s="454">
        <v>135</v>
      </c>
      <c r="L46" s="302" t="s">
        <v>177</v>
      </c>
      <c r="M46" s="1" t="s">
        <v>426</v>
      </c>
      <c r="N46" s="751">
        <v>102.73</v>
      </c>
      <c r="O46" s="965"/>
      <c r="P46" s="902"/>
      <c r="Q46" s="145"/>
      <c r="R46" s="540"/>
      <c r="S46" s="366"/>
      <c r="T46" s="294"/>
      <c r="U46" s="86"/>
      <c r="V46" s="294"/>
      <c r="W46" s="366"/>
      <c r="X46" s="366"/>
      <c r="Y46" s="366"/>
    </row>
    <row r="47" spans="1:26">
      <c r="A47" s="340"/>
      <c r="B47" s="199"/>
      <c r="C47" s="199"/>
      <c r="D47" s="273"/>
      <c r="E47" s="199"/>
      <c r="F47" s="366"/>
      <c r="G47" s="366"/>
      <c r="H47" s="512" t="s">
        <v>91</v>
      </c>
      <c r="I47" s="1264" t="s">
        <v>68</v>
      </c>
      <c r="J47" s="1315"/>
      <c r="K47" s="1061">
        <v>418.41</v>
      </c>
      <c r="L47" s="294">
        <v>44216</v>
      </c>
      <c r="M47" s="1" t="s">
        <v>171</v>
      </c>
      <c r="N47" s="751">
        <f>K47/2</f>
        <v>209.20500000000001</v>
      </c>
      <c r="O47" s="965"/>
      <c r="P47" s="443"/>
      <c r="Q47" s="363"/>
      <c r="R47" s="1058"/>
      <c r="S47" s="366"/>
      <c r="T47" s="366"/>
      <c r="U47" s="294"/>
      <c r="V47" s="294"/>
      <c r="W47" s="294"/>
      <c r="X47" s="294"/>
      <c r="Y47" s="366"/>
    </row>
    <row r="48" spans="1:26">
      <c r="A48" s="340"/>
      <c r="B48" s="199"/>
      <c r="C48" s="366"/>
      <c r="D48" s="273"/>
      <c r="E48" s="199"/>
      <c r="F48" s="366"/>
      <c r="G48" s="366"/>
      <c r="H48" s="512" t="s">
        <v>338</v>
      </c>
      <c r="I48" s="1059" t="s">
        <v>174</v>
      </c>
      <c r="J48" s="1064"/>
      <c r="K48" s="475">
        <v>0</v>
      </c>
      <c r="L48" s="282">
        <v>44211</v>
      </c>
      <c r="M48" s="1" t="s">
        <v>171</v>
      </c>
      <c r="N48" s="752">
        <f>K48</f>
        <v>0</v>
      </c>
      <c r="O48" s="12"/>
      <c r="P48" s="985"/>
      <c r="Q48" s="363"/>
      <c r="R48" s="365"/>
      <c r="S48" s="366"/>
      <c r="T48" s="294"/>
      <c r="U48" s="294"/>
      <c r="V48" s="294"/>
      <c r="W48" s="294"/>
      <c r="X48" s="294"/>
      <c r="Y48" s="366"/>
    </row>
    <row r="49" spans="1:25">
      <c r="A49" s="340"/>
      <c r="B49" s="199"/>
      <c r="C49" s="366"/>
      <c r="D49" s="273"/>
      <c r="E49" s="199"/>
      <c r="F49" s="366"/>
      <c r="G49" s="366"/>
      <c r="H49" s="512" t="s">
        <v>337</v>
      </c>
      <c r="I49" s="1059" t="s">
        <v>176</v>
      </c>
      <c r="J49" s="1064"/>
      <c r="K49" s="454">
        <v>320.5</v>
      </c>
      <c r="L49" s="294">
        <v>44216</v>
      </c>
      <c r="M49" s="1" t="s">
        <v>171</v>
      </c>
      <c r="N49" s="750">
        <f>K49</f>
        <v>320.5</v>
      </c>
      <c r="O49" s="447"/>
      <c r="P49" s="84"/>
      <c r="Q49" s="363"/>
      <c r="R49" s="365"/>
      <c r="S49" s="366"/>
      <c r="T49" s="294"/>
      <c r="U49" s="294"/>
      <c r="V49" s="294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91</v>
      </c>
      <c r="I50" s="1264" t="s">
        <v>81</v>
      </c>
      <c r="J50" s="1265"/>
      <c r="K50" s="1061">
        <v>267</v>
      </c>
      <c r="L50" s="282">
        <v>44211</v>
      </c>
      <c r="M50" s="1" t="s">
        <v>171</v>
      </c>
      <c r="N50" s="750">
        <f>K50/2</f>
        <v>133.5</v>
      </c>
      <c r="O50" s="145"/>
      <c r="P50" s="84"/>
      <c r="Q50" s="84"/>
      <c r="R50" s="84"/>
      <c r="S50" s="84"/>
      <c r="T50" s="294"/>
      <c r="U50" s="366"/>
      <c r="V50" s="294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338</v>
      </c>
      <c r="I51" s="1264" t="s">
        <v>181</v>
      </c>
      <c r="J51" s="1265"/>
      <c r="K51" s="1061">
        <v>10</v>
      </c>
      <c r="L51" s="282">
        <v>44211</v>
      </c>
      <c r="M51" s="1" t="s">
        <v>171</v>
      </c>
      <c r="N51" s="752">
        <f>K51</f>
        <v>10</v>
      </c>
      <c r="O51" s="12"/>
      <c r="P51" s="145"/>
      <c r="Q51" s="363"/>
      <c r="R51" s="366"/>
      <c r="S51" s="366"/>
      <c r="T51" s="294"/>
      <c r="U51" s="294"/>
      <c r="V51" s="366"/>
      <c r="W51" s="294"/>
      <c r="X51" s="294"/>
      <c r="Y51" s="366"/>
    </row>
    <row r="52" spans="1:25">
      <c r="A52" s="340" t="s">
        <v>314</v>
      </c>
      <c r="B52" s="199"/>
      <c r="C52" s="366"/>
      <c r="D52" s="273"/>
      <c r="E52" s="232"/>
      <c r="F52" s="366"/>
      <c r="G52" s="366"/>
      <c r="H52" s="512" t="s">
        <v>91</v>
      </c>
      <c r="I52" s="1145" t="s">
        <v>61</v>
      </c>
      <c r="J52" s="1145"/>
      <c r="K52" s="967">
        <v>1108.55</v>
      </c>
      <c r="L52" s="294">
        <v>44216</v>
      </c>
      <c r="M52" s="1" t="s">
        <v>171</v>
      </c>
      <c r="N52" s="750"/>
      <c r="O52" s="12"/>
      <c r="P52" s="84"/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91</v>
      </c>
      <c r="I53" s="1145" t="s">
        <v>274</v>
      </c>
      <c r="J53" s="1145"/>
      <c r="K53" s="1039">
        <v>78</v>
      </c>
      <c r="L53" s="294">
        <v>44216</v>
      </c>
      <c r="M53" s="1" t="s">
        <v>171</v>
      </c>
      <c r="N53" s="749">
        <v>40</v>
      </c>
      <c r="P53" s="145"/>
      <c r="Q53" s="365"/>
      <c r="R53" s="365"/>
      <c r="S53" s="366"/>
      <c r="T53" s="294"/>
      <c r="U53" s="294"/>
      <c r="V53" s="366"/>
      <c r="W53" s="294"/>
      <c r="X53" s="294"/>
      <c r="Y53" s="366"/>
    </row>
    <row r="54" spans="1:25">
      <c r="A54" s="340"/>
      <c r="B54" s="199"/>
      <c r="C54" s="366"/>
      <c r="D54" s="273"/>
      <c r="E54" s="232"/>
      <c r="F54" s="366"/>
      <c r="G54" s="366"/>
      <c r="H54" s="512" t="s">
        <v>91</v>
      </c>
      <c r="I54" s="1145" t="s">
        <v>275</v>
      </c>
      <c r="J54" s="1145"/>
      <c r="K54" s="93">
        <v>50</v>
      </c>
      <c r="L54" s="282">
        <v>44211</v>
      </c>
      <c r="M54" s="1" t="s">
        <v>171</v>
      </c>
      <c r="N54" s="750">
        <v>50</v>
      </c>
      <c r="P54" s="145"/>
      <c r="Q54" s="273"/>
      <c r="R54" s="365"/>
      <c r="S54" s="366"/>
      <c r="T54" s="294"/>
      <c r="U54" s="294"/>
      <c r="V54" s="366"/>
      <c r="W54" s="294"/>
      <c r="X54" s="294"/>
      <c r="Y54" s="366"/>
    </row>
    <row r="55" spans="1:25">
      <c r="A55" s="340"/>
      <c r="B55" s="199"/>
      <c r="C55" s="366"/>
      <c r="D55" s="273"/>
      <c r="E55" s="232"/>
      <c r="F55" s="366"/>
      <c r="G55" s="366"/>
      <c r="H55" s="512" t="s">
        <v>91</v>
      </c>
      <c r="I55" s="1145" t="s">
        <v>276</v>
      </c>
      <c r="J55" s="1145"/>
      <c r="K55" s="93">
        <v>150</v>
      </c>
      <c r="L55" s="282">
        <v>44226</v>
      </c>
      <c r="M55" s="1" t="s">
        <v>171</v>
      </c>
      <c r="N55" s="750">
        <v>150</v>
      </c>
      <c r="O55" s="12"/>
      <c r="P55" s="145"/>
      <c r="Q55" s="365"/>
      <c r="R55" s="365"/>
      <c r="S55" s="366"/>
      <c r="T55" s="294"/>
      <c r="U55" s="294"/>
      <c r="V55" s="366"/>
      <c r="W55" s="294"/>
      <c r="X55" s="294"/>
      <c r="Y55" s="366"/>
    </row>
    <row r="56" spans="1:25">
      <c r="A56" s="340"/>
      <c r="B56" s="199"/>
      <c r="C56" s="366"/>
      <c r="D56" s="273"/>
      <c r="E56" s="232"/>
      <c r="F56" s="366"/>
      <c r="G56" s="366"/>
      <c r="H56" s="512" t="s">
        <v>91</v>
      </c>
      <c r="I56" s="1145" t="s">
        <v>296</v>
      </c>
      <c r="J56" s="1145"/>
      <c r="K56" s="93">
        <v>19.2</v>
      </c>
      <c r="L56" s="282">
        <v>44211</v>
      </c>
      <c r="M56" s="1" t="s">
        <v>171</v>
      </c>
      <c r="N56" s="751">
        <v>9</v>
      </c>
      <c r="O56" s="150"/>
      <c r="P56" s="145"/>
      <c r="Q56" s="365"/>
      <c r="R56" s="365"/>
      <c r="S56" s="366"/>
      <c r="T56" s="294"/>
      <c r="U56" s="294"/>
      <c r="V56" s="366"/>
      <c r="W56" s="294"/>
      <c r="X56" s="294"/>
      <c r="Y56" s="366"/>
    </row>
    <row r="57" spans="1:25">
      <c r="A57" s="340"/>
      <c r="B57" s="199"/>
      <c r="C57" s="366"/>
      <c r="D57" s="273"/>
      <c r="E57" s="232"/>
      <c r="F57" s="366"/>
      <c r="G57" s="366"/>
      <c r="H57" s="512" t="s">
        <v>91</v>
      </c>
      <c r="I57" s="1143" t="s">
        <v>345</v>
      </c>
      <c r="J57" s="1144"/>
      <c r="K57" s="145">
        <v>1102.8600000000001</v>
      </c>
      <c r="L57" s="282">
        <v>44226</v>
      </c>
      <c r="M57" s="1" t="s">
        <v>171</v>
      </c>
      <c r="N57" s="771">
        <f>K57</f>
        <v>1102.8600000000001</v>
      </c>
      <c r="O57" s="150"/>
      <c r="P57" s="145"/>
      <c r="Q57" s="365"/>
      <c r="R57" s="365"/>
      <c r="S57" s="366"/>
      <c r="T57" s="294"/>
      <c r="U57" s="294"/>
      <c r="V57" s="366"/>
      <c r="W57" s="294"/>
      <c r="X57" s="294"/>
      <c r="Y57" s="366"/>
    </row>
    <row r="58" spans="1:25" ht="15.75" thickBot="1">
      <c r="A58" s="341"/>
      <c r="B58" s="330"/>
      <c r="C58" s="331"/>
      <c r="D58" s="342"/>
      <c r="E58" s="330"/>
      <c r="F58" s="331"/>
      <c r="G58" s="331"/>
      <c r="H58" s="1300" t="s">
        <v>179</v>
      </c>
      <c r="I58" s="1281"/>
      <c r="J58" s="361">
        <f>SUM(K42:K57)</f>
        <v>4422.57</v>
      </c>
      <c r="K58" s="1146" t="s">
        <v>180</v>
      </c>
      <c r="L58" s="1146"/>
      <c r="M58" s="746">
        <v>0</v>
      </c>
      <c r="N58" s="753">
        <f>SUM(N42:N57)</f>
        <v>2502.7950000000001</v>
      </c>
      <c r="P58" s="145"/>
      <c r="Q58" s="365"/>
      <c r="R58" s="366"/>
      <c r="S58" s="366"/>
      <c r="T58" s="294"/>
      <c r="U58" s="366"/>
      <c r="V58" s="366"/>
      <c r="W58" s="366"/>
      <c r="X58" s="366"/>
      <c r="Y58" s="366"/>
    </row>
    <row r="59" spans="1:25" ht="15.75" thickTop="1">
      <c r="A59" s="366"/>
      <c r="B59" s="366"/>
      <c r="C59" s="366"/>
      <c r="D59" s="366"/>
      <c r="E59" s="366"/>
      <c r="F59" s="366"/>
      <c r="G59" s="366"/>
      <c r="H59" s="1162"/>
      <c r="I59" s="1162"/>
      <c r="J59" s="1162"/>
      <c r="K59" s="1162"/>
      <c r="L59" s="366"/>
      <c r="M59" s="441"/>
      <c r="N59" s="1"/>
      <c r="P59" s="145"/>
      <c r="Q59" s="365"/>
      <c r="R59" s="366"/>
      <c r="S59" s="366"/>
      <c r="T59" s="366"/>
      <c r="U59" s="366"/>
      <c r="V59" s="366"/>
      <c r="W59" s="366"/>
      <c r="X59" s="366"/>
      <c r="Y59" s="366"/>
    </row>
    <row r="60" spans="1:25" ht="15" customHeight="1">
      <c r="A60" s="1163" t="s">
        <v>261</v>
      </c>
      <c r="B60" s="1163"/>
      <c r="C60" s="1163"/>
      <c r="D60" s="1163"/>
      <c r="E60" s="1163"/>
      <c r="F60" s="1163"/>
      <c r="G60" s="1163"/>
      <c r="H60" s="1163"/>
      <c r="I60" s="1163"/>
      <c r="J60" s="1163"/>
      <c r="K60" s="1163"/>
      <c r="L60" s="1163"/>
      <c r="M60" s="1163"/>
      <c r="N60" s="1"/>
      <c r="O60" s="150"/>
      <c r="P60" s="145"/>
      <c r="Q60" s="365"/>
      <c r="R60" s="366"/>
      <c r="S60" s="366"/>
      <c r="T60" s="366"/>
      <c r="U60" s="366"/>
      <c r="V60" s="366"/>
      <c r="W60" s="366"/>
      <c r="X60" s="366"/>
    </row>
    <row r="61" spans="1:25" ht="15.75" customHeight="1" thickBot="1">
      <c r="A61" s="1164"/>
      <c r="B61" s="1164"/>
      <c r="C61" s="1164"/>
      <c r="D61" s="1164"/>
      <c r="E61" s="1164"/>
      <c r="F61" s="1164"/>
      <c r="G61" s="1164"/>
      <c r="H61" s="1164"/>
      <c r="I61" s="1164"/>
      <c r="J61" s="1164"/>
      <c r="K61" s="1164"/>
      <c r="L61" s="1164"/>
      <c r="M61" s="1164"/>
      <c r="N61" s="1"/>
      <c r="P61" s="145"/>
      <c r="Q61" s="365"/>
      <c r="R61" s="365"/>
      <c r="S61" s="1058"/>
      <c r="T61" s="366"/>
      <c r="U61" s="366"/>
      <c r="V61" s="366"/>
      <c r="W61" s="366"/>
      <c r="X61" s="366"/>
    </row>
    <row r="62" spans="1:25" ht="15.75" thickTop="1">
      <c r="A62" s="1266" t="s">
        <v>317</v>
      </c>
      <c r="B62" s="1166"/>
      <c r="C62" s="1166"/>
      <c r="D62" s="1166"/>
      <c r="E62" s="1166"/>
      <c r="F62" s="1166"/>
      <c r="G62" s="1167"/>
      <c r="H62" s="1282" t="s">
        <v>316</v>
      </c>
      <c r="I62" s="1283"/>
      <c r="J62" s="1283"/>
      <c r="K62" s="1283"/>
      <c r="L62" s="1283"/>
      <c r="M62" s="1284"/>
      <c r="N62" s="1"/>
      <c r="P62" s="84"/>
      <c r="Q62" s="366"/>
      <c r="S62" s="274"/>
      <c r="T62" s="366"/>
      <c r="U62" s="366"/>
      <c r="V62" s="366"/>
      <c r="W62" s="366"/>
      <c r="X62" s="366"/>
    </row>
    <row r="63" spans="1:25">
      <c r="A63" s="324" t="s">
        <v>2</v>
      </c>
      <c r="B63" s="1049" t="s">
        <v>34</v>
      </c>
      <c r="C63" s="36" t="s">
        <v>35</v>
      </c>
      <c r="D63" s="36" t="s">
        <v>38</v>
      </c>
      <c r="E63" s="36" t="s">
        <v>42</v>
      </c>
      <c r="F63" s="1049" t="s">
        <v>36</v>
      </c>
      <c r="G63" s="100" t="s">
        <v>173</v>
      </c>
      <c r="H63" s="676" t="s">
        <v>2</v>
      </c>
      <c r="I63" s="1285" t="s">
        <v>34</v>
      </c>
      <c r="J63" s="1285"/>
      <c r="K63" s="1062" t="s">
        <v>35</v>
      </c>
      <c r="L63" s="1286" t="s">
        <v>173</v>
      </c>
      <c r="M63" s="1287"/>
      <c r="N63" s="1"/>
      <c r="P63" s="448"/>
      <c r="Q63" s="366"/>
      <c r="S63" s="274"/>
      <c r="T63" s="366"/>
      <c r="U63" s="366"/>
      <c r="V63" s="366"/>
      <c r="W63" s="366"/>
      <c r="X63" s="366"/>
    </row>
    <row r="64" spans="1:25">
      <c r="A64" s="325"/>
      <c r="B64" s="161" t="s">
        <v>438</v>
      </c>
      <c r="C64" s="275">
        <v>358.31</v>
      </c>
      <c r="D64" s="275">
        <v>358.31</v>
      </c>
      <c r="E64" s="542" t="str">
        <f>IF(C64-D64=0,"",C64-D64)</f>
        <v/>
      </c>
      <c r="F64" s="162" t="str">
        <f t="shared" ref="F64:F79" si="4">IF(C64=0,"",IF(C64-D64=0,"оплачено","ОЖИДАЕТСЯ оплата"))</f>
        <v>оплачено</v>
      </c>
      <c r="G64" s="162"/>
      <c r="H64" s="325"/>
      <c r="I64" s="1288"/>
      <c r="J64" s="1289"/>
      <c r="K64" s="480"/>
      <c r="L64" s="1293"/>
      <c r="M64" s="1294"/>
      <c r="N64" s="1"/>
      <c r="P64" s="448"/>
      <c r="Q64" s="366"/>
      <c r="S64" s="366"/>
      <c r="T64" s="84"/>
      <c r="U64" s="366"/>
      <c r="W64" s="366"/>
      <c r="X64" s="366"/>
    </row>
    <row r="65" spans="1:24">
      <c r="A65" s="325"/>
      <c r="B65" s="161" t="s">
        <v>439</v>
      </c>
      <c r="C65" s="275">
        <v>1132.3800000000001</v>
      </c>
      <c r="D65" s="275">
        <v>1132.3800000000001</v>
      </c>
      <c r="E65" s="542" t="str">
        <f t="shared" ref="E65:E79" si="5">IF(C65-D65=0,"",C65-D65)</f>
        <v/>
      </c>
      <c r="F65" s="162" t="str">
        <f t="shared" si="4"/>
        <v>оплачено</v>
      </c>
      <c r="G65" s="162"/>
      <c r="H65" s="678"/>
      <c r="I65" s="1288"/>
      <c r="J65" s="1289"/>
      <c r="K65" s="480"/>
      <c r="L65" s="1293"/>
      <c r="M65" s="1294"/>
      <c r="N65" s="1"/>
      <c r="P65" s="448"/>
      <c r="Q65" s="366"/>
      <c r="S65" s="366"/>
      <c r="T65" s="366"/>
      <c r="U65" s="366"/>
      <c r="W65" s="366"/>
      <c r="X65" s="366"/>
    </row>
    <row r="66" spans="1:24">
      <c r="A66" s="325"/>
      <c r="B66" s="161" t="s">
        <v>415</v>
      </c>
      <c r="C66" s="275">
        <v>348.1</v>
      </c>
      <c r="D66" s="275">
        <v>348.1</v>
      </c>
      <c r="E66" s="634" t="str">
        <f t="shared" si="5"/>
        <v/>
      </c>
      <c r="F66" s="162" t="str">
        <f t="shared" si="4"/>
        <v>оплачено</v>
      </c>
      <c r="G66" s="162"/>
      <c r="H66" s="678"/>
      <c r="I66" s="1288"/>
      <c r="J66" s="1289"/>
      <c r="K66" s="480"/>
      <c r="L66" s="1290"/>
      <c r="M66" s="1291"/>
      <c r="N66" s="1"/>
      <c r="P66" s="448"/>
      <c r="T66" s="366"/>
      <c r="U66" s="366"/>
    </row>
    <row r="67" spans="1:24">
      <c r="A67" s="325"/>
      <c r="B67" s="161" t="s">
        <v>440</v>
      </c>
      <c r="C67" s="275">
        <v>542.54999999999995</v>
      </c>
      <c r="D67" s="275">
        <v>542.54999999999995</v>
      </c>
      <c r="E67" s="634" t="str">
        <f t="shared" si="5"/>
        <v/>
      </c>
      <c r="F67" s="161" t="str">
        <f t="shared" si="4"/>
        <v>оплачено</v>
      </c>
      <c r="G67" s="162"/>
      <c r="H67" s="678"/>
      <c r="I67" s="1288"/>
      <c r="J67" s="1289"/>
      <c r="K67" s="480"/>
      <c r="L67" s="1290"/>
      <c r="M67" s="1291"/>
      <c r="N67" s="1"/>
      <c r="P67" s="448"/>
      <c r="U67" s="366"/>
    </row>
    <row r="68" spans="1:24">
      <c r="A68" s="325"/>
      <c r="B68" s="161" t="s">
        <v>31</v>
      </c>
      <c r="C68" s="513">
        <v>1077.1500000000001</v>
      </c>
      <c r="D68" s="513">
        <v>1077.1500000000001</v>
      </c>
      <c r="E68" s="634" t="str">
        <f t="shared" si="5"/>
        <v/>
      </c>
      <c r="F68" s="162" t="str">
        <f t="shared" si="4"/>
        <v>оплачено</v>
      </c>
      <c r="G68" s="162" t="s">
        <v>172</v>
      </c>
      <c r="H68" s="678"/>
      <c r="I68" s="1324"/>
      <c r="J68" s="1289"/>
      <c r="K68" s="480"/>
      <c r="L68" s="1290"/>
      <c r="M68" s="1291"/>
      <c r="N68" s="1"/>
      <c r="O68" s="150"/>
      <c r="P68" s="541"/>
      <c r="U68" s="366"/>
    </row>
    <row r="69" spans="1:24">
      <c r="A69" s="325"/>
      <c r="B69" s="161" t="s">
        <v>399</v>
      </c>
      <c r="C69" s="275">
        <v>558.33000000000004</v>
      </c>
      <c r="D69" s="275"/>
      <c r="E69" s="634">
        <f t="shared" si="5"/>
        <v>558.33000000000004</v>
      </c>
      <c r="F69" s="162" t="str">
        <f t="shared" si="4"/>
        <v>ОЖИДАЕТСЯ оплата</v>
      </c>
      <c r="G69" s="162" t="s">
        <v>172</v>
      </c>
      <c r="H69" s="678"/>
      <c r="I69" s="1288"/>
      <c r="J69" s="1289"/>
      <c r="K69" s="480"/>
      <c r="L69" s="1290"/>
      <c r="M69" s="1291"/>
      <c r="N69" s="1"/>
      <c r="O69" s="150"/>
      <c r="P69" s="86"/>
      <c r="U69" s="366"/>
    </row>
    <row r="70" spans="1:24" ht="14.45" customHeight="1">
      <c r="A70" s="325"/>
      <c r="B70" s="161"/>
      <c r="C70" s="911"/>
      <c r="D70" s="911"/>
      <c r="E70" s="634" t="str">
        <f>IF(C70-D70=0,"",C70-D70)</f>
        <v/>
      </c>
      <c r="F70" s="162" t="str">
        <f>IF(C70=0,"",IF(C70-D70=0,"оплачено","ОЖИДАЕТСЯ оплата"))</f>
        <v/>
      </c>
      <c r="G70" s="162"/>
      <c r="H70" s="678"/>
      <c r="I70" s="1288"/>
      <c r="J70" s="1289"/>
      <c r="K70" s="480"/>
      <c r="L70" s="1191"/>
      <c r="M70" s="1292"/>
      <c r="N70" s="1"/>
      <c r="O70" s="150"/>
      <c r="P70" s="86"/>
    </row>
    <row r="71" spans="1:24" ht="14.45" customHeight="1">
      <c r="A71" s="325"/>
      <c r="B71" s="161"/>
      <c r="C71" s="275"/>
      <c r="D71" s="275"/>
      <c r="E71" s="634" t="str">
        <f>IF(C71-D71=0,"",C71-D71)</f>
        <v/>
      </c>
      <c r="F71" s="162" t="str">
        <f>IF(C71=0,"",IF(C71-D71=0,"оплачено","ОЖИДАЕТСЯ оплата"))</f>
        <v/>
      </c>
      <c r="G71" s="162"/>
      <c r="H71" s="678" t="str">
        <f t="shared" ref="H71:I79" si="6">IF(S11="","",S11)</f>
        <v/>
      </c>
      <c r="I71" s="1288"/>
      <c r="J71" s="1289"/>
      <c r="K71" s="480"/>
      <c r="L71" s="1191"/>
      <c r="M71" s="1292"/>
      <c r="N71" s="1"/>
    </row>
    <row r="72" spans="1:24" ht="14.45" customHeight="1">
      <c r="A72" s="325"/>
      <c r="B72" s="161"/>
      <c r="C72" s="275"/>
      <c r="D72" s="275"/>
      <c r="E72" s="634" t="str">
        <f t="shared" si="5"/>
        <v/>
      </c>
      <c r="F72" s="162" t="str">
        <f t="shared" si="4"/>
        <v/>
      </c>
      <c r="G72" s="162"/>
      <c r="H72" s="678" t="str">
        <f t="shared" si="6"/>
        <v/>
      </c>
      <c r="I72" s="1288" t="str">
        <f t="shared" si="6"/>
        <v/>
      </c>
      <c r="J72" s="1289"/>
      <c r="K72" s="480" t="str">
        <f t="shared" ref="K72:K79" si="7">IF(U12="","",U12)</f>
        <v/>
      </c>
      <c r="L72" s="1191"/>
      <c r="M72" s="1292"/>
      <c r="N72" s="1"/>
      <c r="O72" s="366"/>
    </row>
    <row r="73" spans="1:24">
      <c r="A73" s="325"/>
      <c r="B73" s="161"/>
      <c r="C73" s="275"/>
      <c r="D73" s="275"/>
      <c r="E73" s="634" t="str">
        <f t="shared" si="5"/>
        <v/>
      </c>
      <c r="F73" s="162" t="str">
        <f t="shared" si="4"/>
        <v/>
      </c>
      <c r="G73" s="162"/>
      <c r="H73" s="678" t="str">
        <f t="shared" si="6"/>
        <v/>
      </c>
      <c r="I73" s="1288" t="str">
        <f t="shared" si="6"/>
        <v/>
      </c>
      <c r="J73" s="1289"/>
      <c r="K73" s="480" t="str">
        <f t="shared" si="7"/>
        <v/>
      </c>
      <c r="L73" s="1191"/>
      <c r="M73" s="1292"/>
      <c r="N73" s="1"/>
      <c r="O73" s="366"/>
    </row>
    <row r="74" spans="1:24" s="86" customFormat="1">
      <c r="A74" s="325"/>
      <c r="B74" s="161"/>
      <c r="C74" s="275"/>
      <c r="D74" s="275"/>
      <c r="E74" s="634" t="str">
        <f t="shared" si="5"/>
        <v/>
      </c>
      <c r="F74" s="162" t="str">
        <f t="shared" si="4"/>
        <v/>
      </c>
      <c r="G74" s="162"/>
      <c r="H74" s="678" t="str">
        <f t="shared" si="6"/>
        <v/>
      </c>
      <c r="I74" s="1288" t="str">
        <f t="shared" si="6"/>
        <v/>
      </c>
      <c r="J74" s="1289"/>
      <c r="K74" s="480" t="str">
        <f t="shared" si="7"/>
        <v/>
      </c>
      <c r="L74" s="1290"/>
      <c r="M74" s="1291"/>
      <c r="N74" s="366"/>
      <c r="O74" s="84"/>
      <c r="P74" s="1"/>
      <c r="Q74" s="35"/>
      <c r="T74" s="35"/>
      <c r="U74" s="35"/>
    </row>
    <row r="75" spans="1:24">
      <c r="A75" s="325"/>
      <c r="B75" s="161"/>
      <c r="C75" s="275"/>
      <c r="D75" s="275"/>
      <c r="E75" s="634" t="str">
        <f t="shared" si="5"/>
        <v/>
      </c>
      <c r="F75" s="162" t="str">
        <f t="shared" si="4"/>
        <v/>
      </c>
      <c r="G75" s="162"/>
      <c r="H75" s="678" t="str">
        <f t="shared" si="6"/>
        <v/>
      </c>
      <c r="I75" s="1288" t="str">
        <f t="shared" si="6"/>
        <v/>
      </c>
      <c r="J75" s="1289"/>
      <c r="K75" s="480" t="str">
        <f t="shared" si="7"/>
        <v/>
      </c>
      <c r="L75" s="1191"/>
      <c r="M75" s="1292"/>
      <c r="N75" s="150"/>
      <c r="O75" s="366"/>
      <c r="P75" s="1"/>
      <c r="T75" s="86"/>
    </row>
    <row r="76" spans="1:24">
      <c r="A76" s="325"/>
      <c r="B76" s="161"/>
      <c r="C76" s="275"/>
      <c r="D76" s="275"/>
      <c r="E76" s="634" t="str">
        <f>IF(C76-D76=0,"",C76-D76)</f>
        <v/>
      </c>
      <c r="F76" s="162" t="str">
        <f>IF(C76=0,"",IF(C76-D76=0,"оплачено","ОЖИДАЕТСЯ оплата"))</f>
        <v/>
      </c>
      <c r="G76" s="162"/>
      <c r="H76" s="678" t="str">
        <f t="shared" si="6"/>
        <v/>
      </c>
      <c r="I76" s="1288" t="str">
        <f t="shared" si="6"/>
        <v/>
      </c>
      <c r="J76" s="1289"/>
      <c r="K76" s="480" t="str">
        <f t="shared" si="7"/>
        <v/>
      </c>
      <c r="L76" s="1191"/>
      <c r="M76" s="1292"/>
      <c r="N76" s="1"/>
      <c r="O76" s="84"/>
      <c r="P76" s="366"/>
    </row>
    <row r="77" spans="1:24">
      <c r="A77" s="325"/>
      <c r="B77" s="161"/>
      <c r="C77" s="275"/>
      <c r="D77" s="275"/>
      <c r="E77" s="542" t="str">
        <f t="shared" si="5"/>
        <v/>
      </c>
      <c r="F77" s="162" t="str">
        <f t="shared" si="4"/>
        <v/>
      </c>
      <c r="G77" s="162"/>
      <c r="H77" s="678" t="str">
        <f t="shared" si="6"/>
        <v/>
      </c>
      <c r="I77" s="1288" t="str">
        <f t="shared" si="6"/>
        <v/>
      </c>
      <c r="J77" s="1289"/>
      <c r="K77" s="480" t="str">
        <f t="shared" si="7"/>
        <v/>
      </c>
      <c r="L77" s="1191"/>
      <c r="M77" s="1292"/>
      <c r="N77" s="1"/>
      <c r="O77" s="84"/>
      <c r="P77" s="150"/>
    </row>
    <row r="78" spans="1:24">
      <c r="A78" s="325"/>
      <c r="B78" s="161"/>
      <c r="C78" s="275"/>
      <c r="D78" s="275"/>
      <c r="E78" s="542" t="str">
        <f t="shared" si="5"/>
        <v/>
      </c>
      <c r="F78" s="162" t="str">
        <f t="shared" si="4"/>
        <v/>
      </c>
      <c r="G78" s="162"/>
      <c r="H78" s="678" t="str">
        <f t="shared" si="6"/>
        <v/>
      </c>
      <c r="I78" s="1288" t="str">
        <f t="shared" si="6"/>
        <v/>
      </c>
      <c r="J78" s="1289"/>
      <c r="K78" s="480" t="str">
        <f t="shared" si="7"/>
        <v/>
      </c>
      <c r="L78" s="1191"/>
      <c r="M78" s="1292"/>
      <c r="N78" s="1"/>
      <c r="O78" s="366"/>
      <c r="P78" s="1"/>
      <c r="Q78" s="86"/>
    </row>
    <row r="79" spans="1:24">
      <c r="A79" s="325"/>
      <c r="B79" s="161"/>
      <c r="C79" s="275"/>
      <c r="D79" s="275"/>
      <c r="E79" s="542" t="str">
        <f t="shared" si="5"/>
        <v/>
      </c>
      <c r="F79" s="162" t="str">
        <f t="shared" si="4"/>
        <v/>
      </c>
      <c r="G79" s="162"/>
      <c r="H79" s="678" t="str">
        <f t="shared" si="6"/>
        <v/>
      </c>
      <c r="I79" s="1288" t="str">
        <f t="shared" si="6"/>
        <v/>
      </c>
      <c r="J79" s="1289"/>
      <c r="K79" s="480" t="str">
        <f t="shared" si="7"/>
        <v/>
      </c>
      <c r="L79" s="1191"/>
      <c r="M79" s="1292"/>
      <c r="N79" s="1"/>
      <c r="O79" s="84"/>
    </row>
    <row r="80" spans="1:24" ht="15.75" thickBot="1">
      <c r="A80" s="1272" t="s">
        <v>259</v>
      </c>
      <c r="B80" s="1273"/>
      <c r="C80" s="358">
        <f>SUM(C64:C79)</f>
        <v>4016.82</v>
      </c>
      <c r="D80" s="358"/>
      <c r="E80" s="542">
        <f>SUM(E64:E79)</f>
        <v>558.33000000000004</v>
      </c>
      <c r="F80" s="162"/>
      <c r="G80" s="450"/>
      <c r="H80" s="1295" t="s">
        <v>259</v>
      </c>
      <c r="I80" s="1296"/>
      <c r="J80" s="1297"/>
      <c r="K80" s="677">
        <f>SUM(K64:K79)</f>
        <v>0</v>
      </c>
      <c r="L80" s="1298"/>
      <c r="M80" s="1299"/>
      <c r="N80" s="1"/>
      <c r="O80" s="366"/>
      <c r="P80" s="84"/>
      <c r="U80" s="86"/>
    </row>
    <row r="81" spans="1:22" ht="15.75" thickTop="1">
      <c r="A81" s="351"/>
      <c r="B81" s="352"/>
      <c r="C81" s="353"/>
      <c r="D81" s="353"/>
      <c r="E81" s="354"/>
      <c r="F81" s="352"/>
      <c r="G81" s="376"/>
      <c r="H81" s="1171" t="s">
        <v>16</v>
      </c>
      <c r="I81" s="1173" t="s">
        <v>17</v>
      </c>
      <c r="J81" s="1173" t="s">
        <v>21</v>
      </c>
      <c r="K81" s="1173"/>
      <c r="L81" s="1175" t="s">
        <v>93</v>
      </c>
      <c r="M81" s="1177" t="s">
        <v>95</v>
      </c>
      <c r="N81" s="1"/>
      <c r="O81" s="84"/>
      <c r="P81" s="84"/>
    </row>
    <row r="82" spans="1:22" ht="24">
      <c r="A82" s="355"/>
      <c r="B82" s="201"/>
      <c r="C82" s="201"/>
      <c r="D82" s="201"/>
      <c r="E82" s="216"/>
      <c r="F82" s="201"/>
      <c r="G82" s="201"/>
      <c r="H82" s="1172"/>
      <c r="I82" s="1174"/>
      <c r="J82" s="1054" t="s">
        <v>21</v>
      </c>
      <c r="K82" s="1054" t="s">
        <v>25</v>
      </c>
      <c r="L82" s="1176"/>
      <c r="M82" s="1178"/>
      <c r="N82" s="1"/>
      <c r="O82" s="366"/>
      <c r="P82" s="84"/>
    </row>
    <row r="83" spans="1:22">
      <c r="A83" s="338"/>
      <c r="B83" s="199"/>
      <c r="C83" s="288"/>
      <c r="D83" s="232"/>
      <c r="E83" s="84"/>
      <c r="F83" s="199"/>
      <c r="G83" s="199"/>
      <c r="H83" s="347" t="s">
        <v>163</v>
      </c>
      <c r="I83" s="94">
        <v>2420.3999999999996</v>
      </c>
      <c r="J83" s="94">
        <v>115.5</v>
      </c>
      <c r="K83" s="1056">
        <v>132.61000000000001</v>
      </c>
      <c r="L83" s="96">
        <v>22665.5</v>
      </c>
      <c r="M83" s="104">
        <f>L83-I83-J83-K83</f>
        <v>19996.989999999998</v>
      </c>
      <c r="N83" s="150"/>
      <c r="O83" s="448"/>
      <c r="P83" s="439"/>
      <c r="R83" s="86"/>
    </row>
    <row r="84" spans="1:22">
      <c r="A84" s="339"/>
      <c r="B84" s="199"/>
      <c r="C84" s="199"/>
      <c r="D84" s="273"/>
      <c r="E84" s="366"/>
      <c r="F84" s="84"/>
      <c r="G84" s="366"/>
      <c r="H84" s="347" t="s">
        <v>192</v>
      </c>
      <c r="I84" s="94">
        <v>7629.69</v>
      </c>
      <c r="J84" s="94">
        <v>352.29</v>
      </c>
      <c r="K84" s="94">
        <v>193.85000000000002</v>
      </c>
      <c r="L84" s="96">
        <v>10342</v>
      </c>
      <c r="M84" s="104">
        <f>M83-I84-J84-K84+L84</f>
        <v>22163.159999999996</v>
      </c>
      <c r="N84" s="1"/>
      <c r="O84" s="448"/>
      <c r="P84" s="439"/>
      <c r="R84" s="86"/>
    </row>
    <row r="85" spans="1:22">
      <c r="A85" s="339"/>
      <c r="B85" s="366"/>
      <c r="C85" s="199"/>
      <c r="D85" s="273"/>
      <c r="E85" s="366"/>
      <c r="F85" s="366"/>
      <c r="G85" s="366"/>
      <c r="H85" s="347" t="s">
        <v>199</v>
      </c>
      <c r="I85" s="298">
        <v>8423.6400000000012</v>
      </c>
      <c r="J85" s="94">
        <v>921.3</v>
      </c>
      <c r="K85" s="299">
        <v>312.46000000000004</v>
      </c>
      <c r="L85" s="299">
        <v>16668</v>
      </c>
      <c r="M85" s="104">
        <f>M84-I85-J85-K85+L85</f>
        <v>29173.759999999995</v>
      </c>
      <c r="N85" s="1"/>
      <c r="O85" s="448"/>
      <c r="P85" s="436"/>
      <c r="R85" s="86"/>
    </row>
    <row r="86" spans="1:22">
      <c r="A86" s="339"/>
      <c r="B86" s="1"/>
      <c r="C86" s="284"/>
      <c r="D86" s="273"/>
      <c r="E86" s="366"/>
      <c r="F86" s="366"/>
      <c r="G86" s="84"/>
      <c r="H86" s="347" t="s">
        <v>209</v>
      </c>
      <c r="I86" s="299">
        <v>8639.7199999999993</v>
      </c>
      <c r="J86" s="300">
        <v>749.49</v>
      </c>
      <c r="K86" s="526">
        <v>435.1</v>
      </c>
      <c r="L86" s="299">
        <v>17824.919999999998</v>
      </c>
      <c r="M86" s="104">
        <f>M85-I86-J86-K86+L86</f>
        <v>37174.369999999995</v>
      </c>
      <c r="N86" s="366"/>
      <c r="O86" s="448"/>
      <c r="P86" s="436"/>
      <c r="R86" s="86"/>
    </row>
    <row r="87" spans="1:22">
      <c r="A87" s="339"/>
      <c r="B87" s="199"/>
      <c r="C87" s="1"/>
      <c r="D87" s="273"/>
      <c r="E87" s="366"/>
      <c r="F87" s="366"/>
      <c r="G87" s="366"/>
      <c r="H87" s="348" t="s">
        <v>210</v>
      </c>
      <c r="I87" s="300">
        <v>12605.26</v>
      </c>
      <c r="J87" s="299">
        <v>600.5</v>
      </c>
      <c r="K87" s="300">
        <v>491.64</v>
      </c>
      <c r="L87" s="299">
        <v>15183.9</v>
      </c>
      <c r="M87" s="104">
        <v>36025.39</v>
      </c>
      <c r="N87" s="436"/>
      <c r="O87" s="145"/>
      <c r="P87" s="437"/>
      <c r="Q87" s="86"/>
      <c r="R87" s="86"/>
    </row>
    <row r="88" spans="1:22">
      <c r="A88" s="339"/>
      <c r="B88" s="199"/>
      <c r="C88" s="1"/>
      <c r="D88" s="273"/>
      <c r="E88" s="366"/>
      <c r="F88" s="366"/>
      <c r="G88" s="366"/>
      <c r="H88" s="379" t="s">
        <v>211</v>
      </c>
      <c r="I88" s="689">
        <v>11425.189999999999</v>
      </c>
      <c r="J88" s="438">
        <v>232.2</v>
      </c>
      <c r="K88" s="694">
        <v>262</v>
      </c>
      <c r="L88" s="606">
        <v>11864.4</v>
      </c>
      <c r="M88" s="104">
        <f>M87-I88-J88-K88+L88</f>
        <v>35970.400000000001</v>
      </c>
      <c r="N88" s="1"/>
      <c r="O88" s="366"/>
      <c r="P88" s="437"/>
      <c r="Q88" s="86"/>
      <c r="R88" s="86"/>
      <c r="V88" s="1"/>
    </row>
    <row r="89" spans="1:22">
      <c r="A89" s="339"/>
      <c r="B89" s="199"/>
      <c r="C89" s="1"/>
      <c r="D89" s="273"/>
      <c r="E89" s="366"/>
      <c r="F89" s="366"/>
      <c r="G89" s="366"/>
      <c r="H89" s="347" t="s">
        <v>9</v>
      </c>
      <c r="I89" s="689">
        <v>13612.520000000002</v>
      </c>
      <c r="J89" s="438">
        <f>19+42+25.5+33+4+25+7.5+18+170+1+9+37.5+2+1.4</f>
        <v>394.9</v>
      </c>
      <c r="K89" s="694">
        <f>112.8+296.38+33.5</f>
        <v>442.68</v>
      </c>
      <c r="L89" s="607">
        <f>14352+1353+311+316+73+278</f>
        <v>16683</v>
      </c>
      <c r="M89" s="738">
        <v>37929.35</v>
      </c>
      <c r="N89" s="722" t="s">
        <v>326</v>
      </c>
      <c r="O89" s="723"/>
      <c r="P89" s="437"/>
      <c r="Q89" s="703"/>
      <c r="R89" s="86"/>
      <c r="V89" s="1"/>
    </row>
    <row r="90" spans="1:22">
      <c r="A90" s="339"/>
      <c r="B90" s="199"/>
      <c r="C90" s="1"/>
      <c r="D90" s="273"/>
      <c r="E90" s="366"/>
      <c r="F90" s="366"/>
      <c r="G90" s="366"/>
      <c r="H90" s="347" t="s">
        <v>18</v>
      </c>
      <c r="I90" s="689">
        <v>14474.099999999999</v>
      </c>
      <c r="J90" s="438">
        <v>947.5</v>
      </c>
      <c r="K90" s="694">
        <v>526.15</v>
      </c>
      <c r="L90" s="607">
        <v>19238.8</v>
      </c>
      <c r="M90" s="104">
        <f>M89-I90-J90-K90+L90</f>
        <v>41220.399999999994</v>
      </c>
      <c r="N90" s="84"/>
      <c r="O90" s="366"/>
      <c r="P90" s="437"/>
      <c r="Q90" s="703"/>
      <c r="R90" s="86"/>
      <c r="V90" s="1"/>
    </row>
    <row r="91" spans="1:22">
      <c r="A91" s="339"/>
      <c r="B91" s="199"/>
      <c r="C91" s="1"/>
      <c r="D91" s="273"/>
      <c r="E91" s="366"/>
      <c r="F91" s="366"/>
      <c r="G91" s="366"/>
      <c r="H91" s="379" t="s">
        <v>19</v>
      </c>
      <c r="I91" s="621">
        <v>17170.439999999999</v>
      </c>
      <c r="J91" s="432">
        <v>3911.3</v>
      </c>
      <c r="K91" s="648">
        <f>21.5+122.1+41.6+353.89+95.92+8.2</f>
        <v>643.20999999999992</v>
      </c>
      <c r="L91" s="621">
        <f>660+513.5+514+683.5+535+212+2085+763+334+208+378+75+60+44+972+347+1461+81+303+363+12+44+73+133+667+281+234+225+789+767+1661+682+2828+477.5+365+873.5+390+553</f>
        <v>21647</v>
      </c>
      <c r="M91" s="104">
        <f>M90-I91-J91-K91+L91</f>
        <v>41142.449999999997</v>
      </c>
      <c r="N91" s="84"/>
      <c r="O91" s="366"/>
      <c r="P91" s="437"/>
      <c r="Q91" s="703"/>
      <c r="R91" s="86"/>
      <c r="V91" s="1"/>
    </row>
    <row r="92" spans="1:22">
      <c r="A92" s="339"/>
      <c r="B92" s="199"/>
      <c r="C92" s="1"/>
      <c r="D92" s="273"/>
      <c r="E92" s="366"/>
      <c r="F92" s="366"/>
      <c r="G92" s="366"/>
      <c r="H92" s="347" t="s">
        <v>20</v>
      </c>
      <c r="I92" s="689">
        <v>17084.789999999997</v>
      </c>
      <c r="J92" s="438">
        <v>1384.5</v>
      </c>
      <c r="K92" s="694">
        <f>231.74+381.32</f>
        <v>613.05999999999995</v>
      </c>
      <c r="L92" s="689">
        <f>861.5+275+194+301.5+390+1883.5+794+563+1402.5+380+670+229.5+35+275+150.5+18+76+68+310+1078+448+706+130+132+120+2048+130.5+296+608+1835+355+214.5+280+60+684+606</f>
        <v>18608</v>
      </c>
      <c r="M92" s="733">
        <v>43441.55</v>
      </c>
      <c r="N92" s="84"/>
      <c r="O92" s="366"/>
      <c r="P92" s="84"/>
      <c r="Q92" s="703"/>
      <c r="R92" s="86"/>
      <c r="V92" s="1"/>
    </row>
    <row r="93" spans="1:22">
      <c r="A93" s="339"/>
      <c r="B93" s="199"/>
      <c r="C93" s="1"/>
      <c r="D93" s="273"/>
      <c r="E93" s="366"/>
      <c r="F93" s="366"/>
      <c r="G93" s="366"/>
      <c r="H93" s="347" t="s">
        <v>148</v>
      </c>
      <c r="I93" s="689">
        <v>16010.099999999999</v>
      </c>
      <c r="J93" s="438">
        <f>16+65+35+15+24+192+4.6+315+19+6+29+4+35+35+15+160</f>
        <v>969.6</v>
      </c>
      <c r="K93" s="694">
        <f>318.55+297.05</f>
        <v>615.6</v>
      </c>
      <c r="L93" s="689">
        <f>2329.5+560+1456+491+2680+2008+1170+1743+283+1122+2144+623+348+597.5+612+1914+48.5+1270+194+20+375+514.5+108+1502+669+441+33+712+828+1156+829+50</f>
        <v>28831</v>
      </c>
      <c r="M93" s="104">
        <f t="shared" ref="M93:M97" si="8">M92-I93-J93-K93+L93</f>
        <v>54677.250000000007</v>
      </c>
      <c r="N93" s="84"/>
      <c r="O93" s="366"/>
      <c r="P93" s="646"/>
      <c r="Q93" s="703"/>
      <c r="R93" s="86"/>
      <c r="V93" s="1"/>
    </row>
    <row r="94" spans="1:22">
      <c r="A94" s="339"/>
      <c r="B94" s="199"/>
      <c r="C94" s="1"/>
      <c r="D94" s="273"/>
      <c r="E94" s="366"/>
      <c r="F94" s="366"/>
      <c r="G94" s="366"/>
      <c r="H94" s="379" t="s">
        <v>162</v>
      </c>
      <c r="I94" s="621">
        <v>18487.2</v>
      </c>
      <c r="J94" s="432">
        <f>4+108+201+21+330+1+7.2+17+17+230+290.5+22+16+2+80.5+141</f>
        <v>1488.2</v>
      </c>
      <c r="K94" s="648">
        <v>733</v>
      </c>
      <c r="L94" s="621">
        <f>1090.5+178+238+342+320+112+163+3418.5+747+1608+1004+396+30+1858+1508+198+163+100+490+552+1725+777+245+1514.5+850.5+1647+348+1827+454</f>
        <v>23904</v>
      </c>
      <c r="M94" s="104">
        <f t="shared" si="8"/>
        <v>57872.850000000006</v>
      </c>
      <c r="N94" s="84"/>
      <c r="O94" s="366"/>
      <c r="P94" s="646"/>
      <c r="Q94" s="703"/>
      <c r="R94" s="86"/>
      <c r="V94" s="1"/>
    </row>
    <row r="95" spans="1:22">
      <c r="A95" s="339"/>
      <c r="B95" s="199"/>
      <c r="C95" s="1"/>
      <c r="D95" s="273"/>
      <c r="E95" s="366"/>
      <c r="F95" s="366"/>
      <c r="G95" s="366"/>
      <c r="H95" s="347" t="s">
        <v>163</v>
      </c>
      <c r="I95" s="689">
        <v>18961.969999999998</v>
      </c>
      <c r="J95" s="438">
        <f>22+18+110+17+39+11.3+8.5+320+112+4+5.94+21+236+8+11+8.2+5+10+169.5+87</f>
        <v>1223.44</v>
      </c>
      <c r="K95" s="694">
        <f>334.04+378.25</f>
        <v>712.29</v>
      </c>
      <c r="L95" s="689">
        <f>15.5+600+364+12+2306+740+1687+96+195.5+330+605+285+1211+2305+437+30+1509+42+443.5+664.5+239+42+42.5+114+364+617+545</f>
        <v>15841.5</v>
      </c>
      <c r="M95" s="733">
        <f t="shared" si="8"/>
        <v>52816.65</v>
      </c>
      <c r="N95" s="84"/>
      <c r="O95" s="366"/>
      <c r="P95" s="646"/>
      <c r="Q95" s="703"/>
      <c r="R95" s="86"/>
      <c r="V95" s="1"/>
    </row>
    <row r="96" spans="1:22">
      <c r="A96" s="339"/>
      <c r="B96" s="199"/>
      <c r="C96" s="1"/>
      <c r="D96" s="273"/>
      <c r="E96" s="366"/>
      <c r="F96" s="366"/>
      <c r="G96" s="366"/>
      <c r="H96" s="961" t="s">
        <v>192</v>
      </c>
      <c r="I96" s="962">
        <v>20708.280000000002</v>
      </c>
      <c r="J96" s="963">
        <f>3.2+18.5+47+46+7+4+329+628.5+6+34+18+28+4+41.5+2.2+77.5+42+2.92+3+48+180</f>
        <v>1570.3200000000002</v>
      </c>
      <c r="K96" s="964">
        <f>163.32+459.3+23.5+1.4</f>
        <v>647.52</v>
      </c>
      <c r="L96" s="962">
        <v>25525.5</v>
      </c>
      <c r="M96" s="104">
        <f t="shared" si="8"/>
        <v>55416.03</v>
      </c>
      <c r="N96" s="84"/>
      <c r="O96" s="366"/>
      <c r="P96" s="646"/>
      <c r="Q96" s="703"/>
      <c r="R96" s="86"/>
      <c r="V96" s="1"/>
    </row>
    <row r="97" spans="1:26" ht="15.75" thickBot="1">
      <c r="A97" s="339"/>
      <c r="B97" s="199"/>
      <c r="C97" s="1"/>
      <c r="D97" s="273"/>
      <c r="E97" s="366"/>
      <c r="F97" s="366"/>
      <c r="G97" s="366"/>
      <c r="H97" s="608" t="s">
        <v>199</v>
      </c>
      <c r="I97" s="622">
        <f>'ЗП ЯНВАРЬ'!J42</f>
        <v>16124.6</v>
      </c>
      <c r="J97" s="610">
        <f>23+21+24+466+23+81+3+42.5+6+3+3+15+40+101</f>
        <v>851.5</v>
      </c>
      <c r="K97" s="695">
        <f>204.2+349+23</f>
        <v>576.20000000000005</v>
      </c>
      <c r="L97" s="622">
        <f>1977+323+3934+114+1426+2718+684+1794+84+1138+87+1648+775.5+476.5+1842+2748.5+317+102+1088.5+70</f>
        <v>23347</v>
      </c>
      <c r="M97" s="104">
        <f t="shared" si="8"/>
        <v>61210.73</v>
      </c>
      <c r="N97" s="84"/>
      <c r="O97" s="366"/>
      <c r="P97" s="646"/>
      <c r="Q97" s="703"/>
      <c r="R97" s="86"/>
      <c r="V97" s="1"/>
    </row>
    <row r="98" spans="1:26" ht="16.5" thickTop="1" thickBot="1">
      <c r="A98" s="339"/>
      <c r="B98" s="199"/>
      <c r="C98" s="1"/>
      <c r="D98" s="273"/>
      <c r="E98" s="366"/>
      <c r="F98" s="366"/>
      <c r="G98" s="366"/>
      <c r="H98" s="608" t="s">
        <v>209</v>
      </c>
      <c r="I98" s="622">
        <v>6808.7</v>
      </c>
      <c r="J98" s="610">
        <f>140+80+134+40+12+40+42</f>
        <v>488</v>
      </c>
      <c r="K98" s="695">
        <f>59.8+50</f>
        <v>109.8</v>
      </c>
      <c r="L98" s="622">
        <v>3084.5</v>
      </c>
      <c r="M98" s="1077">
        <v>56887.7</v>
      </c>
      <c r="N98" s="84" t="s">
        <v>442</v>
      </c>
      <c r="O98" s="366"/>
      <c r="P98" s="646"/>
      <c r="Q98" s="703"/>
      <c r="R98" s="86"/>
      <c r="V98" s="1"/>
    </row>
    <row r="99" spans="1:26" ht="14.25" customHeight="1" thickTop="1">
      <c r="A99" s="339"/>
      <c r="B99" s="199"/>
      <c r="C99" s="1"/>
      <c r="D99" s="273"/>
      <c r="E99" s="84"/>
      <c r="F99" s="366"/>
      <c r="G99" s="366"/>
      <c r="H99" s="1148" t="s">
        <v>36</v>
      </c>
      <c r="I99" s="1150" t="s">
        <v>178</v>
      </c>
      <c r="J99" s="1151"/>
      <c r="K99" s="1152"/>
      <c r="L99" s="1156" t="s">
        <v>159</v>
      </c>
      <c r="M99" s="1157"/>
      <c r="N99" s="150"/>
      <c r="O99" s="84"/>
      <c r="P99" s="437"/>
      <c r="Q99" s="86"/>
      <c r="R99" s="86"/>
      <c r="V99" s="1"/>
    </row>
    <row r="100" spans="1:26">
      <c r="A100" s="339"/>
      <c r="B100" s="199"/>
      <c r="C100" s="284"/>
      <c r="D100" s="273"/>
      <c r="E100" s="284"/>
      <c r="F100" s="366"/>
      <c r="G100" s="378"/>
      <c r="H100" s="1149"/>
      <c r="I100" s="1153"/>
      <c r="J100" s="1154"/>
      <c r="K100" s="1155"/>
      <c r="L100" s="1158"/>
      <c r="M100" s="1159"/>
      <c r="N100" s="1"/>
      <c r="O100" s="12"/>
      <c r="P100" s="646"/>
      <c r="Q100" s="86"/>
      <c r="R100" s="366"/>
      <c r="S100" s="1"/>
      <c r="V100" s="1"/>
      <c r="W100" s="1"/>
      <c r="X100" s="1"/>
      <c r="Y100" s="1"/>
    </row>
    <row r="101" spans="1:26">
      <c r="A101" s="339"/>
      <c r="B101" s="199"/>
      <c r="C101" s="199"/>
      <c r="D101" s="273"/>
      <c r="E101" s="199"/>
      <c r="F101" s="366"/>
      <c r="G101" s="378"/>
      <c r="H101" s="512" t="s">
        <v>250</v>
      </c>
      <c r="I101" s="1160" t="s">
        <v>47</v>
      </c>
      <c r="J101" s="1160"/>
      <c r="K101" s="1062">
        <v>105</v>
      </c>
      <c r="L101" s="282">
        <v>44211</v>
      </c>
      <c r="M101" s="44" t="s">
        <v>171</v>
      </c>
      <c r="O101" s="84"/>
      <c r="P101" s="646"/>
      <c r="Q101" s="86"/>
      <c r="R101" s="366"/>
      <c r="S101" s="1"/>
      <c r="T101" s="1"/>
      <c r="V101" s="282"/>
      <c r="W101" s="1"/>
      <c r="X101" s="1"/>
      <c r="Y101" s="1"/>
    </row>
    <row r="102" spans="1:26">
      <c r="A102" s="339"/>
      <c r="B102" s="366"/>
      <c r="C102" s="274"/>
      <c r="D102" s="273"/>
      <c r="E102" s="274"/>
      <c r="F102" s="366"/>
      <c r="G102" s="366"/>
      <c r="H102" s="512" t="s">
        <v>436</v>
      </c>
      <c r="I102" s="1161" t="s">
        <v>51</v>
      </c>
      <c r="J102" s="1161"/>
      <c r="K102" s="1061">
        <v>0</v>
      </c>
      <c r="L102" s="282">
        <v>44211</v>
      </c>
      <c r="M102" s="44" t="s">
        <v>171</v>
      </c>
      <c r="N102" s="490"/>
      <c r="O102" s="84"/>
      <c r="P102" s="646"/>
      <c r="Q102" s="541"/>
      <c r="R102" s="86"/>
      <c r="S102" s="1"/>
      <c r="T102" s="1"/>
      <c r="V102" s="282"/>
      <c r="W102" s="1"/>
      <c r="X102" s="1"/>
      <c r="Y102" s="1"/>
    </row>
    <row r="103" spans="1:26">
      <c r="A103" s="340"/>
      <c r="B103" s="366"/>
      <c r="C103" s="366"/>
      <c r="D103" s="273"/>
      <c r="E103" s="199"/>
      <c r="F103" s="366"/>
      <c r="G103" s="366"/>
      <c r="H103" s="512" t="s">
        <v>250</v>
      </c>
      <c r="I103" s="1161" t="s">
        <v>52</v>
      </c>
      <c r="J103" s="1161"/>
      <c r="K103" s="624">
        <v>1.8</v>
      </c>
      <c r="L103" s="282">
        <v>44211</v>
      </c>
      <c r="M103" s="44" t="s">
        <v>171</v>
      </c>
      <c r="O103" s="84"/>
      <c r="P103" s="646"/>
      <c r="Q103" s="86"/>
      <c r="R103" s="1058"/>
      <c r="S103" s="1"/>
      <c r="T103" s="1"/>
      <c r="V103" s="282"/>
      <c r="W103" s="282"/>
      <c r="X103" s="282"/>
      <c r="Y103" s="1"/>
      <c r="Z103" s="1"/>
    </row>
    <row r="104" spans="1:26">
      <c r="A104" s="340"/>
      <c r="B104" s="366"/>
      <c r="C104" s="366"/>
      <c r="D104" s="273"/>
      <c r="E104" s="366"/>
      <c r="F104" s="366"/>
      <c r="G104" s="366"/>
      <c r="H104" s="512" t="s">
        <v>250</v>
      </c>
      <c r="I104" s="1262" t="s">
        <v>441</v>
      </c>
      <c r="J104" s="1262"/>
      <c r="K104" s="1061">
        <v>771.47</v>
      </c>
      <c r="L104" s="282">
        <v>44216</v>
      </c>
      <c r="M104" s="44" t="s">
        <v>426</v>
      </c>
      <c r="O104" s="84"/>
      <c r="P104" s="646"/>
      <c r="Q104" s="366"/>
      <c r="R104" s="86"/>
      <c r="S104" s="1"/>
      <c r="T104" s="282"/>
      <c r="U104" s="1"/>
      <c r="V104" s="282"/>
      <c r="W104" s="282"/>
      <c r="X104" s="282"/>
      <c r="Y104" s="1"/>
      <c r="Z104" s="1"/>
    </row>
    <row r="105" spans="1:26">
      <c r="A105" s="340"/>
      <c r="B105" s="199"/>
      <c r="C105" s="199"/>
      <c r="D105" s="273"/>
      <c r="E105" s="199"/>
      <c r="F105" s="366"/>
      <c r="G105" s="366"/>
      <c r="H105" s="512" t="s">
        <v>250</v>
      </c>
      <c r="I105" s="1264" t="s">
        <v>68</v>
      </c>
      <c r="J105" s="1265"/>
      <c r="K105" s="1061">
        <v>82.63</v>
      </c>
      <c r="L105" s="282">
        <v>44216</v>
      </c>
      <c r="M105" s="44" t="s">
        <v>171</v>
      </c>
      <c r="O105" s="84"/>
      <c r="P105" s="437"/>
      <c r="Q105" s="366"/>
      <c r="R105" s="1058"/>
      <c r="S105" s="1"/>
      <c r="T105" s="282"/>
      <c r="U105" s="1"/>
      <c r="V105" s="282"/>
      <c r="W105" s="282"/>
      <c r="X105" s="282"/>
      <c r="Y105" s="1"/>
      <c r="Z105" s="1"/>
    </row>
    <row r="106" spans="1:26">
      <c r="A106" s="340"/>
      <c r="B106" s="199"/>
      <c r="C106" s="366"/>
      <c r="D106" s="273"/>
      <c r="E106" s="199"/>
      <c r="F106" s="366"/>
      <c r="G106" s="366"/>
      <c r="H106" s="512" t="s">
        <v>250</v>
      </c>
      <c r="I106" s="1264" t="s">
        <v>174</v>
      </c>
      <c r="J106" s="1265"/>
      <c r="K106" s="1061">
        <v>198</v>
      </c>
      <c r="L106" s="282">
        <v>44211</v>
      </c>
      <c r="M106" s="44" t="s">
        <v>171</v>
      </c>
      <c r="N106" s="490"/>
      <c r="O106" s="404"/>
      <c r="P106" s="86"/>
      <c r="Q106" s="366"/>
      <c r="R106" s="1058"/>
      <c r="S106" s="1058"/>
      <c r="T106" s="282"/>
      <c r="U106" s="282"/>
      <c r="V106" s="282"/>
      <c r="W106" s="1"/>
      <c r="X106" s="1"/>
      <c r="Y106" s="1"/>
      <c r="Z106" s="1"/>
    </row>
    <row r="107" spans="1:26">
      <c r="A107" s="340"/>
      <c r="B107" s="199"/>
      <c r="C107" s="366"/>
      <c r="D107" s="273"/>
      <c r="E107" s="199"/>
      <c r="F107" s="366"/>
      <c r="G107" s="366"/>
      <c r="H107" s="993" t="s">
        <v>241</v>
      </c>
      <c r="I107" s="1051" t="s">
        <v>176</v>
      </c>
      <c r="J107" s="1052"/>
      <c r="K107" s="1061" t="s">
        <v>258</v>
      </c>
      <c r="L107" s="282">
        <v>44216</v>
      </c>
      <c r="M107" s="44" t="s">
        <v>171</v>
      </c>
      <c r="N107" s="490"/>
      <c r="O107" s="84"/>
      <c r="P107" s="86"/>
      <c r="Q107" s="366"/>
      <c r="R107" s="483"/>
      <c r="S107" s="150"/>
      <c r="T107" s="1"/>
      <c r="U107" s="282"/>
      <c r="V107" s="282"/>
      <c r="W107" s="282"/>
      <c r="X107" s="282"/>
      <c r="Y107" s="1"/>
      <c r="Z107" s="1"/>
    </row>
    <row r="108" spans="1:26">
      <c r="A108" s="340"/>
      <c r="B108" s="199"/>
      <c r="C108" s="366"/>
      <c r="D108" s="273"/>
      <c r="E108" s="232"/>
      <c r="F108" s="366"/>
      <c r="G108" s="366"/>
      <c r="H108" s="512" t="s">
        <v>250</v>
      </c>
      <c r="I108" s="1264" t="s">
        <v>81</v>
      </c>
      <c r="J108" s="1265"/>
      <c r="K108" s="1061">
        <v>874.44</v>
      </c>
      <c r="L108" s="282">
        <v>44206</v>
      </c>
      <c r="M108" s="44" t="s">
        <v>171</v>
      </c>
      <c r="O108" s="84"/>
      <c r="P108" s="86"/>
      <c r="Q108" s="483"/>
      <c r="R108" s="365"/>
      <c r="S108" s="150"/>
      <c r="T108" s="282"/>
      <c r="U108" s="282"/>
      <c r="V108" s="282"/>
      <c r="W108" s="282"/>
      <c r="X108" s="282"/>
      <c r="Y108" s="366"/>
      <c r="Z108" s="1"/>
    </row>
    <row r="109" spans="1:26">
      <c r="A109" s="340"/>
      <c r="B109" s="199"/>
      <c r="C109" s="366"/>
      <c r="D109" s="273"/>
      <c r="E109" s="232"/>
      <c r="F109" s="366"/>
      <c r="G109" s="366"/>
      <c r="H109" s="512" t="s">
        <v>381</v>
      </c>
      <c r="I109" s="1264" t="s">
        <v>53</v>
      </c>
      <c r="J109" s="1265"/>
      <c r="K109" s="454">
        <v>10</v>
      </c>
      <c r="L109" s="282">
        <v>44211</v>
      </c>
      <c r="M109" s="44" t="s">
        <v>171</v>
      </c>
      <c r="N109" s="490"/>
      <c r="O109" s="84"/>
      <c r="P109" s="86"/>
      <c r="Q109" s="1058"/>
      <c r="R109" s="1058"/>
      <c r="S109" s="1"/>
      <c r="T109" s="282"/>
      <c r="U109" s="282"/>
      <c r="V109" s="282"/>
      <c r="W109" s="282"/>
      <c r="X109" s="282"/>
      <c r="Y109" s="366"/>
      <c r="Z109" s="1"/>
    </row>
    <row r="110" spans="1:26">
      <c r="A110" s="340"/>
      <c r="B110" s="199"/>
      <c r="C110" s="366"/>
      <c r="D110" s="273"/>
      <c r="E110" s="232"/>
      <c r="F110" s="366"/>
      <c r="G110" s="366"/>
      <c r="H110" s="512" t="s">
        <v>250</v>
      </c>
      <c r="I110" s="1263" t="s">
        <v>276</v>
      </c>
      <c r="J110" s="1263"/>
      <c r="K110" s="637">
        <v>100</v>
      </c>
      <c r="L110" s="282">
        <v>44226</v>
      </c>
      <c r="M110" s="44" t="s">
        <v>171</v>
      </c>
      <c r="O110" s="84"/>
      <c r="P110" s="86"/>
      <c r="Q110" s="1058"/>
      <c r="R110" s="1058"/>
      <c r="S110" s="366"/>
      <c r="T110" s="282"/>
      <c r="U110" s="282"/>
      <c r="V110" s="282"/>
      <c r="W110" s="282"/>
      <c r="X110" s="282"/>
      <c r="Y110" s="1"/>
      <c r="Z110" s="1"/>
    </row>
    <row r="111" spans="1:26">
      <c r="A111" s="340"/>
      <c r="B111" s="199"/>
      <c r="C111" s="366"/>
      <c r="D111" s="273"/>
      <c r="E111" s="232"/>
      <c r="F111" s="366"/>
      <c r="G111" s="366"/>
      <c r="H111" s="512" t="s">
        <v>250</v>
      </c>
      <c r="I111" s="1263" t="s">
        <v>296</v>
      </c>
      <c r="J111" s="1263"/>
      <c r="K111" s="637">
        <v>9</v>
      </c>
      <c r="L111" s="282">
        <v>44211</v>
      </c>
      <c r="M111" s="44" t="s">
        <v>171</v>
      </c>
      <c r="O111" s="84"/>
      <c r="P111" s="86"/>
      <c r="Q111" s="1058"/>
      <c r="R111" s="1058"/>
      <c r="S111" s="366"/>
      <c r="T111" s="282"/>
      <c r="U111" s="282"/>
      <c r="V111" s="282"/>
      <c r="W111" s="282"/>
      <c r="X111" s="282"/>
      <c r="Y111" s="1"/>
      <c r="Z111" s="1"/>
    </row>
    <row r="112" spans="1:26">
      <c r="A112" s="340"/>
      <c r="B112" s="199"/>
      <c r="C112" s="366"/>
      <c r="D112" s="273"/>
      <c r="E112" s="232"/>
      <c r="F112" s="366"/>
      <c r="G112" s="366"/>
      <c r="H112" s="512" t="s">
        <v>250</v>
      </c>
      <c r="I112" s="1143" t="s">
        <v>345</v>
      </c>
      <c r="J112" s="1144"/>
      <c r="K112" s="475">
        <v>681</v>
      </c>
      <c r="L112" s="282">
        <v>44226</v>
      </c>
      <c r="M112" s="44" t="s">
        <v>171</v>
      </c>
      <c r="O112" s="84"/>
      <c r="P112" s="86"/>
      <c r="Q112" s="1058"/>
      <c r="R112" s="1058"/>
      <c r="S112" s="366"/>
      <c r="T112" s="282"/>
      <c r="U112" s="282"/>
      <c r="V112" s="282"/>
      <c r="W112" s="282"/>
      <c r="X112" s="282"/>
      <c r="Y112" s="1"/>
      <c r="Z112" s="1"/>
    </row>
    <row r="113" spans="1:26">
      <c r="A113" s="340"/>
      <c r="B113" s="199"/>
      <c r="C113" s="366"/>
      <c r="D113" s="273"/>
      <c r="E113" s="232"/>
      <c r="F113" s="366"/>
      <c r="G113" s="366"/>
      <c r="H113" s="512" t="s">
        <v>250</v>
      </c>
      <c r="I113" s="1145" t="s">
        <v>417</v>
      </c>
      <c r="J113" s="1145"/>
      <c r="K113" s="637">
        <v>50</v>
      </c>
      <c r="L113" s="282"/>
      <c r="M113" s="44"/>
      <c r="O113" s="84"/>
      <c r="P113" s="86"/>
      <c r="Q113" s="1058"/>
      <c r="R113" s="1058"/>
      <c r="S113" s="366"/>
      <c r="T113" s="282"/>
      <c r="U113" s="282"/>
      <c r="V113" s="282"/>
      <c r="W113" s="282"/>
      <c r="X113" s="282"/>
      <c r="Y113" s="1"/>
      <c r="Z113" s="1"/>
    </row>
    <row r="114" spans="1:26" ht="15.75" thickBot="1">
      <c r="A114" s="341"/>
      <c r="B114" s="330"/>
      <c r="C114" s="331"/>
      <c r="D114" s="342"/>
      <c r="E114" s="330"/>
      <c r="F114" s="331"/>
      <c r="G114" s="331"/>
      <c r="H114" s="1280" t="s">
        <v>179</v>
      </c>
      <c r="I114" s="1281"/>
      <c r="J114" s="361">
        <f>SUM(K101:K113)</f>
        <v>2883.34</v>
      </c>
      <c r="K114" s="1146" t="s">
        <v>180</v>
      </c>
      <c r="L114" s="1146"/>
      <c r="M114" s="514">
        <v>0</v>
      </c>
      <c r="O114" s="84"/>
      <c r="P114" s="86"/>
      <c r="Q114" s="1058"/>
      <c r="R114" s="365"/>
      <c r="S114" s="366"/>
      <c r="T114" s="282"/>
      <c r="U114" s="282"/>
      <c r="V114" s="1"/>
      <c r="W114" s="282"/>
      <c r="X114" s="282"/>
      <c r="Y114" s="1"/>
      <c r="Z114" s="1"/>
    </row>
    <row r="115" spans="1:26" ht="15.75" thickTop="1">
      <c r="C115" s="491"/>
      <c r="D115" s="491"/>
      <c r="O115" s="84"/>
      <c r="P115" s="86"/>
      <c r="Q115" s="1058"/>
      <c r="R115" s="365"/>
      <c r="S115" s="366"/>
      <c r="T115" s="282"/>
      <c r="U115" s="282"/>
      <c r="V115" s="1"/>
      <c r="W115" s="282"/>
      <c r="X115" s="282"/>
      <c r="Y115" s="1"/>
      <c r="Z115" s="1"/>
    </row>
    <row r="116" spans="1:26" ht="15" customHeight="1">
      <c r="A116" s="1163" t="s">
        <v>386</v>
      </c>
      <c r="B116" s="1163"/>
      <c r="C116" s="1163"/>
      <c r="D116" s="1163"/>
      <c r="E116" s="1163"/>
      <c r="F116" s="1163"/>
      <c r="G116" s="1163"/>
      <c r="H116" s="1163"/>
      <c r="I116" s="1163"/>
      <c r="J116" s="1163"/>
      <c r="K116" s="1163"/>
      <c r="L116" s="1163"/>
      <c r="M116" s="1163"/>
      <c r="O116" s="84"/>
      <c r="P116" s="86"/>
      <c r="Q116" s="1058"/>
      <c r="R116" s="1058"/>
      <c r="S116" s="1"/>
      <c r="T116" s="282"/>
      <c r="U116" s="282"/>
      <c r="V116" s="1"/>
      <c r="W116" s="1"/>
      <c r="X116" s="1"/>
      <c r="Y116" s="1"/>
      <c r="Z116" s="1"/>
    </row>
    <row r="117" spans="1:26" ht="15.75" customHeight="1" thickBot="1">
      <c r="A117" s="1164"/>
      <c r="B117" s="1164"/>
      <c r="C117" s="1164"/>
      <c r="D117" s="1164"/>
      <c r="E117" s="1164"/>
      <c r="F117" s="1164"/>
      <c r="G117" s="1164"/>
      <c r="H117" s="1164"/>
      <c r="I117" s="1164"/>
      <c r="J117" s="1164"/>
      <c r="K117" s="1164"/>
      <c r="L117" s="1164"/>
      <c r="M117" s="1164"/>
      <c r="O117" s="84"/>
      <c r="P117" s="86"/>
      <c r="Q117" s="1058"/>
      <c r="R117" s="1058"/>
      <c r="S117" s="1"/>
      <c r="T117" s="1"/>
      <c r="U117" s="282"/>
      <c r="V117" s="1"/>
      <c r="W117" s="1"/>
      <c r="X117" s="1"/>
      <c r="Y117" s="1"/>
      <c r="Z117" s="1"/>
    </row>
    <row r="118" spans="1:26" ht="15.75" thickTop="1">
      <c r="A118" s="1301" t="s">
        <v>43</v>
      </c>
      <c r="B118" s="1268"/>
      <c r="C118" s="1268"/>
      <c r="D118" s="1268"/>
      <c r="E118" s="1268"/>
      <c r="F118" s="1302"/>
      <c r="G118" s="323"/>
      <c r="O118" s="84"/>
      <c r="P118" s="86"/>
      <c r="Q118" s="647"/>
      <c r="R118" s="1058"/>
      <c r="S118" s="1"/>
      <c r="T118" s="1"/>
      <c r="U118" s="282"/>
      <c r="V118" s="1"/>
      <c r="W118" s="1"/>
      <c r="X118" s="1"/>
      <c r="Y118" s="1"/>
      <c r="Z118" s="1"/>
    </row>
    <row r="119" spans="1:26">
      <c r="A119" s="1213" t="s">
        <v>342</v>
      </c>
      <c r="B119" s="1214"/>
      <c r="C119" s="1050" t="s">
        <v>35</v>
      </c>
      <c r="D119" s="1050" t="s">
        <v>38</v>
      </c>
      <c r="E119" s="1050" t="s">
        <v>42</v>
      </c>
      <c r="F119" s="1050" t="s">
        <v>44</v>
      </c>
      <c r="G119" s="1"/>
      <c r="O119" s="84"/>
      <c r="P119" s="86"/>
      <c r="Q119" s="1058"/>
      <c r="R119" s="1058"/>
      <c r="S119" s="1"/>
      <c r="T119" s="1"/>
      <c r="U119" s="1"/>
      <c r="W119" s="1"/>
      <c r="X119" s="1"/>
      <c r="Y119" s="1"/>
      <c r="Z119" s="1"/>
    </row>
    <row r="120" spans="1:26">
      <c r="A120" s="1290" t="s">
        <v>40</v>
      </c>
      <c r="B120" s="1271"/>
      <c r="C120" s="967"/>
      <c r="D120" s="967"/>
      <c r="E120" s="481">
        <v>0</v>
      </c>
      <c r="F120" s="3"/>
      <c r="G120" s="1"/>
      <c r="O120" s="84"/>
      <c r="P120" s="86"/>
      <c r="Q120" s="1058"/>
      <c r="R120" s="1058"/>
      <c r="S120" s="1"/>
      <c r="T120" s="1"/>
      <c r="U120" s="1"/>
      <c r="W120" s="1"/>
      <c r="X120" s="1"/>
      <c r="Y120" s="1"/>
      <c r="Z120" s="1"/>
    </row>
    <row r="121" spans="1:26">
      <c r="A121" s="340"/>
      <c r="B121" s="366"/>
      <c r="C121" s="498">
        <f>SUM(C120:C120)</f>
        <v>0</v>
      </c>
      <c r="D121" s="366"/>
      <c r="E121" s="84"/>
      <c r="F121" s="366"/>
      <c r="G121" s="1"/>
      <c r="K121" s="490"/>
      <c r="O121" s="84"/>
      <c r="P121" s="86"/>
      <c r="Q121" s="1058"/>
      <c r="R121" s="1058"/>
      <c r="T121" s="1"/>
      <c r="U121" s="1"/>
      <c r="Z121" s="1"/>
    </row>
    <row r="122" spans="1:26">
      <c r="A122" s="340"/>
      <c r="B122" s="366"/>
      <c r="C122" s="366"/>
      <c r="D122" s="366"/>
      <c r="E122" s="366"/>
      <c r="F122" s="366"/>
      <c r="G122" s="1"/>
      <c r="O122" s="84"/>
      <c r="P122" s="86"/>
      <c r="Q122" s="1058"/>
      <c r="R122" s="1058"/>
      <c r="U122" s="1"/>
      <c r="Z122" s="1"/>
    </row>
    <row r="123" spans="1:26">
      <c r="A123" s="340"/>
      <c r="B123" s="366"/>
      <c r="C123" s="366"/>
      <c r="D123" s="366"/>
      <c r="E123" s="366"/>
      <c r="F123" s="366"/>
      <c r="G123" s="1"/>
      <c r="M123" s="490"/>
      <c r="O123" s="84"/>
      <c r="P123" s="86"/>
      <c r="Q123" s="1058"/>
      <c r="R123" s="1058"/>
      <c r="U123" s="1"/>
      <c r="Z123" s="1"/>
    </row>
    <row r="124" spans="1:26">
      <c r="A124" s="340"/>
      <c r="B124" s="366"/>
      <c r="C124" s="366"/>
      <c r="D124" s="366"/>
      <c r="E124" s="366"/>
      <c r="F124" s="366"/>
      <c r="G124" s="1"/>
      <c r="O124" s="84"/>
      <c r="P124" s="86"/>
      <c r="Q124" s="1058"/>
      <c r="R124" s="1058"/>
      <c r="U124" s="1"/>
    </row>
    <row r="125" spans="1:26">
      <c r="A125" s="43"/>
      <c r="B125" s="1"/>
      <c r="C125" s="366"/>
      <c r="D125" s="1"/>
      <c r="E125" s="1"/>
      <c r="F125" s="1"/>
      <c r="G125" s="1"/>
      <c r="M125" s="1"/>
      <c r="O125" s="84"/>
      <c r="P125" s="86"/>
      <c r="Q125" s="1058"/>
      <c r="R125" s="1058"/>
    </row>
    <row r="126" spans="1:26">
      <c r="A126" s="43"/>
      <c r="B126" s="1"/>
      <c r="C126" s="366"/>
      <c r="D126" s="1"/>
      <c r="E126" s="1"/>
      <c r="F126" s="1"/>
      <c r="G126" s="1"/>
      <c r="M126" s="1"/>
      <c r="O126" s="84"/>
      <c r="P126" s="86"/>
      <c r="Q126" s="1058"/>
      <c r="R126" s="1058"/>
    </row>
    <row r="127" spans="1:26">
      <c r="A127" s="43"/>
      <c r="B127" s="1"/>
      <c r="C127" s="366"/>
      <c r="D127" s="1"/>
      <c r="E127" s="1"/>
      <c r="F127" s="1"/>
      <c r="G127" s="1"/>
      <c r="M127" s="1"/>
      <c r="O127" s="84"/>
      <c r="P127" s="86"/>
      <c r="Q127" s="1058"/>
      <c r="R127" s="1058"/>
    </row>
    <row r="128" spans="1:26">
      <c r="A128" s="43"/>
      <c r="B128" s="1"/>
      <c r="C128" s="366"/>
      <c r="D128" s="1"/>
      <c r="E128" s="1"/>
      <c r="F128" s="1"/>
      <c r="G128" s="1"/>
      <c r="M128" s="366"/>
      <c r="O128" s="84"/>
      <c r="P128" s="86"/>
      <c r="Q128" s="1058"/>
      <c r="R128" s="1058"/>
    </row>
    <row r="129" spans="1:26">
      <c r="A129" s="43"/>
      <c r="B129" s="1"/>
      <c r="C129" s="366"/>
      <c r="D129" s="1"/>
      <c r="E129" s="1"/>
      <c r="F129" s="1"/>
      <c r="G129" s="1"/>
      <c r="M129" s="366"/>
      <c r="O129" s="84"/>
      <c r="P129" s="86"/>
      <c r="Q129" s="1058"/>
      <c r="R129" s="1058"/>
    </row>
    <row r="130" spans="1:26">
      <c r="A130" s="43"/>
      <c r="B130" s="1"/>
      <c r="C130" s="366"/>
      <c r="D130" s="1"/>
      <c r="E130" s="1"/>
      <c r="F130" s="1"/>
      <c r="G130" s="1"/>
      <c r="M130" s="1"/>
      <c r="O130" s="84"/>
      <c r="P130" s="86"/>
      <c r="Q130" s="1058"/>
      <c r="R130" s="1058"/>
    </row>
    <row r="131" spans="1:26">
      <c r="A131" s="43"/>
      <c r="B131" s="1"/>
      <c r="C131" s="366"/>
      <c r="D131" s="1"/>
      <c r="E131" s="1"/>
      <c r="F131" s="1"/>
      <c r="G131" s="1"/>
      <c r="M131" s="1"/>
      <c r="O131" s="84"/>
      <c r="P131" s="86"/>
      <c r="Q131" s="1058"/>
      <c r="R131" s="1058"/>
    </row>
    <row r="132" spans="1:26">
      <c r="A132" s="43"/>
      <c r="B132" s="1"/>
      <c r="C132" s="366"/>
      <c r="D132" s="1"/>
      <c r="E132" s="1"/>
      <c r="F132" s="1"/>
      <c r="G132" s="1"/>
      <c r="M132" s="1"/>
      <c r="O132" s="84"/>
      <c r="P132" s="86"/>
      <c r="Q132" s="86"/>
      <c r="R132" s="1058"/>
    </row>
    <row r="133" spans="1:26">
      <c r="A133" s="43"/>
      <c r="B133" s="1"/>
      <c r="C133" s="366"/>
      <c r="D133" s="1"/>
      <c r="E133" s="1"/>
      <c r="F133" s="1"/>
      <c r="G133" s="1"/>
      <c r="M133" s="1"/>
      <c r="O133" s="84"/>
      <c r="P133" s="86"/>
      <c r="Q133" s="86"/>
      <c r="R133" s="1058"/>
    </row>
    <row r="134" spans="1:26">
      <c r="A134" s="43"/>
      <c r="B134" s="1"/>
      <c r="C134" s="366"/>
      <c r="D134" s="1"/>
      <c r="E134" s="1"/>
      <c r="F134" s="1"/>
      <c r="G134" s="1"/>
      <c r="O134" s="84"/>
      <c r="P134" s="86"/>
      <c r="Q134" s="86"/>
      <c r="R134" s="1058"/>
    </row>
    <row r="135" spans="1:26">
      <c r="A135" s="43"/>
      <c r="B135" s="1"/>
      <c r="C135" s="366"/>
      <c r="D135" s="1"/>
      <c r="E135" s="1"/>
      <c r="F135" s="1"/>
      <c r="G135" s="1"/>
      <c r="O135" s="84"/>
      <c r="P135" s="86"/>
      <c r="Q135" s="86"/>
      <c r="R135" s="1058"/>
    </row>
    <row r="136" spans="1:26">
      <c r="C136" s="446"/>
      <c r="O136" s="84"/>
      <c r="P136" s="86"/>
      <c r="Q136" s="86"/>
      <c r="R136" s="145"/>
    </row>
    <row r="137" spans="1:26">
      <c r="A137" s="12"/>
      <c r="C137" s="446"/>
      <c r="O137" s="84"/>
      <c r="P137" s="86"/>
      <c r="Q137" s="86"/>
      <c r="R137" s="366"/>
    </row>
    <row r="138" spans="1:26">
      <c r="C138" s="446"/>
      <c r="O138" s="84"/>
      <c r="R138" s="366"/>
    </row>
    <row r="139" spans="1:26" s="1" customFormat="1" ht="12.75" customHeight="1">
      <c r="A139" s="448"/>
      <c r="B139" s="199"/>
      <c r="D139" s="273"/>
      <c r="E139" s="366"/>
      <c r="F139" s="366"/>
      <c r="G139" s="366"/>
      <c r="H139" s="538"/>
      <c r="I139" s="902"/>
      <c r="J139" s="437"/>
      <c r="K139" s="605"/>
      <c r="L139" s="605"/>
      <c r="M139" s="436"/>
      <c r="O139" s="84"/>
      <c r="P139" s="84"/>
      <c r="Q139" s="145"/>
      <c r="R139" s="84"/>
      <c r="S139" s="84"/>
      <c r="T139" s="366"/>
      <c r="U139" s="366"/>
      <c r="V139" s="366"/>
      <c r="W139" s="366"/>
      <c r="X139" s="366"/>
      <c r="Y139" s="366"/>
      <c r="Z139" s="366"/>
    </row>
    <row r="140" spans="1:26">
      <c r="C140" s="446"/>
      <c r="O140" s="84"/>
      <c r="R140" s="366"/>
    </row>
    <row r="141" spans="1:26">
      <c r="C141" s="446"/>
      <c r="O141" s="150"/>
      <c r="R141" s="366"/>
    </row>
    <row r="142" spans="1:26">
      <c r="C142" s="446"/>
      <c r="R142" s="366"/>
    </row>
    <row r="143" spans="1:26">
      <c r="C143" s="446"/>
      <c r="R143" s="366"/>
    </row>
    <row r="144" spans="1:26">
      <c r="C144" s="446"/>
      <c r="R144" s="910"/>
    </row>
    <row r="145" spans="3:3">
      <c r="C145" s="446"/>
    </row>
  </sheetData>
  <mergeCells count="131">
    <mergeCell ref="A116:M117"/>
    <mergeCell ref="A118:F118"/>
    <mergeCell ref="A119:B119"/>
    <mergeCell ref="A120:B120"/>
    <mergeCell ref="I110:J110"/>
    <mergeCell ref="I111:J111"/>
    <mergeCell ref="I112:J112"/>
    <mergeCell ref="I113:J113"/>
    <mergeCell ref="H114:I114"/>
    <mergeCell ref="K114:L114"/>
    <mergeCell ref="I104:J104"/>
    <mergeCell ref="I105:J105"/>
    <mergeCell ref="I106:J106"/>
    <mergeCell ref="I108:J108"/>
    <mergeCell ref="I109:J109"/>
    <mergeCell ref="H99:H100"/>
    <mergeCell ref="I99:K100"/>
    <mergeCell ref="L99:M100"/>
    <mergeCell ref="I101:J101"/>
    <mergeCell ref="I102:J102"/>
    <mergeCell ref="I103:J103"/>
    <mergeCell ref="I79:J79"/>
    <mergeCell ref="L79:M79"/>
    <mergeCell ref="A80:B80"/>
    <mergeCell ref="H80:J80"/>
    <mergeCell ref="L80:M80"/>
    <mergeCell ref="H81:H82"/>
    <mergeCell ref="I81:I82"/>
    <mergeCell ref="J81:K81"/>
    <mergeCell ref="L81:L82"/>
    <mergeCell ref="M81:M82"/>
    <mergeCell ref="I76:J76"/>
    <mergeCell ref="L76:M76"/>
    <mergeCell ref="I77:J77"/>
    <mergeCell ref="L77:M77"/>
    <mergeCell ref="I78:J78"/>
    <mergeCell ref="L78:M78"/>
    <mergeCell ref="I73:J73"/>
    <mergeCell ref="L73:M73"/>
    <mergeCell ref="I74:J74"/>
    <mergeCell ref="L74:M74"/>
    <mergeCell ref="I75:J75"/>
    <mergeCell ref="L75:M75"/>
    <mergeCell ref="I70:J70"/>
    <mergeCell ref="L70:M70"/>
    <mergeCell ref="I71:J71"/>
    <mergeCell ref="L71:M71"/>
    <mergeCell ref="I72:J72"/>
    <mergeCell ref="L72:M72"/>
    <mergeCell ref="I67:J67"/>
    <mergeCell ref="L67:M67"/>
    <mergeCell ref="I68:J68"/>
    <mergeCell ref="L68:M68"/>
    <mergeCell ref="I69:J69"/>
    <mergeCell ref="L69:M69"/>
    <mergeCell ref="I64:J64"/>
    <mergeCell ref="L64:M64"/>
    <mergeCell ref="I65:J65"/>
    <mergeCell ref="L65:M65"/>
    <mergeCell ref="I66:J66"/>
    <mergeCell ref="L66:M66"/>
    <mergeCell ref="K58:L58"/>
    <mergeCell ref="H59:K59"/>
    <mergeCell ref="A60:M61"/>
    <mergeCell ref="A62:G62"/>
    <mergeCell ref="H62:M62"/>
    <mergeCell ref="I63:J63"/>
    <mergeCell ref="L63:M63"/>
    <mergeCell ref="I53:J53"/>
    <mergeCell ref="I54:J54"/>
    <mergeCell ref="I55:J55"/>
    <mergeCell ref="I56:J56"/>
    <mergeCell ref="I57:J57"/>
    <mergeCell ref="H58:I58"/>
    <mergeCell ref="I45:J45"/>
    <mergeCell ref="I46:J46"/>
    <mergeCell ref="I47:J47"/>
    <mergeCell ref="I50:J50"/>
    <mergeCell ref="I51:J51"/>
    <mergeCell ref="I52:J52"/>
    <mergeCell ref="H40:H41"/>
    <mergeCell ref="I40:K41"/>
    <mergeCell ref="L40:M41"/>
    <mergeCell ref="I42:J42"/>
    <mergeCell ref="I43:J43"/>
    <mergeCell ref="I44:J44"/>
    <mergeCell ref="A20:B20"/>
    <mergeCell ref="H20:J20"/>
    <mergeCell ref="L20:M20"/>
    <mergeCell ref="H21:H22"/>
    <mergeCell ref="I21:I22"/>
    <mergeCell ref="J21:K21"/>
    <mergeCell ref="L21:L22"/>
    <mergeCell ref="M21:M22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</mergeCells>
  <printOptions horizontalCentered="1" verticalCentered="1"/>
  <pageMargins left="0" right="0" top="0" bottom="0" header="0" footer="0"/>
  <pageSetup paperSize="9" scale="73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9"/>
  <sheetViews>
    <sheetView zoomScaleNormal="100" zoomScaleSheetLayoutView="115" zoomScalePageLayoutView="7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J24" sqref="J24"/>
    </sheetView>
  </sheetViews>
  <sheetFormatPr defaultColWidth="9.140625" defaultRowHeight="15"/>
  <cols>
    <col min="1" max="1" width="12.7109375" style="35" customWidth="1"/>
    <col min="2" max="2" width="6" style="35" customWidth="1"/>
    <col min="3" max="5" width="14.7109375" style="35" customWidth="1"/>
    <col min="6" max="6" width="17.42578125" style="35" customWidth="1"/>
    <col min="7" max="8" width="14.7109375" style="35" customWidth="1"/>
    <col min="9" max="13" width="18.7109375" style="35" customWidth="1"/>
    <col min="14" max="16384" width="9.140625" style="35"/>
  </cols>
  <sheetData>
    <row r="1" spans="2:16" ht="14.1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307" t="s">
        <v>435</v>
      </c>
      <c r="I1" s="463"/>
      <c r="J1" s="463"/>
      <c r="K1" s="463"/>
      <c r="L1" s="463"/>
    </row>
    <row r="2" spans="2:16" ht="14.1" customHeight="1">
      <c r="B2" s="16">
        <f>IF(C2="","",WEEKDAY(C2,2))</f>
        <v>3</v>
      </c>
      <c r="C2" s="17">
        <v>44223</v>
      </c>
      <c r="D2" s="757"/>
      <c r="E2" s="757"/>
      <c r="F2" s="872">
        <v>831.5</v>
      </c>
      <c r="G2" s="872"/>
      <c r="H2" s="255"/>
      <c r="I2" s="669"/>
      <c r="J2" s="463"/>
      <c r="K2" s="463"/>
      <c r="L2" s="463"/>
    </row>
    <row r="3" spans="2:16" ht="14.1" customHeight="1">
      <c r="B3" s="16">
        <f t="shared" ref="B3" si="0">IF(C3="","",WEEKDAY(C3,2))</f>
        <v>4</v>
      </c>
      <c r="C3" s="17">
        <v>44224</v>
      </c>
      <c r="D3" s="757"/>
      <c r="E3" s="757"/>
      <c r="F3" s="872">
        <v>675.5</v>
      </c>
      <c r="G3" s="872"/>
      <c r="H3" s="255"/>
      <c r="I3" s="670"/>
      <c r="J3" s="463"/>
      <c r="K3" s="463"/>
      <c r="L3" s="1037"/>
      <c r="M3" s="1038"/>
    </row>
    <row r="4" spans="2:16" ht="14.1" customHeight="1">
      <c r="B4" s="16">
        <f>IF(C4="","",WEEKDAY(C4,2))</f>
        <v>5</v>
      </c>
      <c r="C4" s="17">
        <v>44225</v>
      </c>
      <c r="D4" s="757"/>
      <c r="E4" s="757"/>
      <c r="F4" s="872">
        <v>795</v>
      </c>
      <c r="G4" s="872"/>
      <c r="H4" s="255"/>
      <c r="I4" s="669"/>
      <c r="J4" s="463"/>
      <c r="L4" s="463"/>
    </row>
    <row r="5" spans="2:16" ht="14.1" customHeight="1">
      <c r="B5" s="16">
        <f t="shared" ref="B5:B34" si="1">IF(C5="","",WEEKDAY(C5,2))</f>
        <v>6</v>
      </c>
      <c r="C5" s="17">
        <v>44226</v>
      </c>
      <c r="D5" s="757"/>
      <c r="E5" s="757"/>
      <c r="F5" s="872"/>
      <c r="G5" s="872"/>
      <c r="H5" s="1076">
        <v>764.5</v>
      </c>
      <c r="I5" s="670"/>
      <c r="J5" s="463"/>
      <c r="K5" s="463"/>
      <c r="L5" s="463"/>
    </row>
    <row r="6" spans="2:16" ht="14.1" customHeight="1">
      <c r="B6" s="16">
        <f t="shared" si="1"/>
        <v>7</v>
      </c>
      <c r="C6" s="17">
        <v>44227</v>
      </c>
      <c r="D6" s="757"/>
      <c r="E6" s="757"/>
      <c r="F6" s="872"/>
      <c r="G6" s="872"/>
      <c r="H6" s="1074">
        <v>597.79999999999995</v>
      </c>
      <c r="I6" s="670"/>
      <c r="J6" s="463"/>
      <c r="K6" s="463"/>
      <c r="L6" s="463"/>
    </row>
    <row r="7" spans="2:16" ht="14.1" customHeight="1">
      <c r="B7" s="16">
        <f t="shared" si="1"/>
        <v>1</v>
      </c>
      <c r="C7" s="17">
        <v>44228</v>
      </c>
      <c r="D7" s="757"/>
      <c r="E7" s="757">
        <v>801.5</v>
      </c>
      <c r="F7" s="872">
        <v>288</v>
      </c>
      <c r="G7" s="872"/>
      <c r="H7" s="255"/>
      <c r="I7" s="669"/>
      <c r="J7" s="463"/>
      <c r="K7" s="463"/>
      <c r="L7" s="463"/>
    </row>
    <row r="8" spans="2:16" ht="14.1" customHeight="1">
      <c r="B8" s="16">
        <f t="shared" si="1"/>
        <v>2</v>
      </c>
      <c r="C8" s="17">
        <v>44229</v>
      </c>
      <c r="D8" s="757">
        <v>416.5</v>
      </c>
      <c r="E8" s="757"/>
      <c r="F8" s="872">
        <v>575.5</v>
      </c>
      <c r="G8" s="872"/>
      <c r="H8" s="255"/>
      <c r="I8" s="669"/>
      <c r="J8" s="463"/>
      <c r="K8" s="463"/>
      <c r="L8" s="463"/>
    </row>
    <row r="9" spans="2:16" ht="14.1" customHeight="1">
      <c r="B9" s="16">
        <f t="shared" si="1"/>
        <v>3</v>
      </c>
      <c r="C9" s="17">
        <v>44230</v>
      </c>
      <c r="D9" s="757">
        <v>705</v>
      </c>
      <c r="E9" s="757"/>
      <c r="F9" s="872"/>
      <c r="G9" s="872"/>
      <c r="H9" s="1068">
        <v>480.5</v>
      </c>
      <c r="I9" s="669"/>
      <c r="J9" s="463"/>
      <c r="K9" s="463"/>
      <c r="L9" s="463"/>
    </row>
    <row r="10" spans="2:16" ht="14.1" customHeight="1">
      <c r="B10" s="16">
        <f t="shared" si="1"/>
        <v>4</v>
      </c>
      <c r="C10" s="17">
        <v>44231</v>
      </c>
      <c r="D10" s="757"/>
      <c r="E10" s="757">
        <v>487</v>
      </c>
      <c r="F10" s="872"/>
      <c r="G10" s="872"/>
      <c r="H10" s="1069">
        <v>408</v>
      </c>
      <c r="I10" s="1045"/>
      <c r="J10" s="463"/>
      <c r="K10" s="463"/>
      <c r="L10" s="463"/>
    </row>
    <row r="11" spans="2:16" ht="14.1" customHeight="1">
      <c r="B11" s="16">
        <f t="shared" si="1"/>
        <v>5</v>
      </c>
      <c r="C11" s="17">
        <v>44232</v>
      </c>
      <c r="D11" s="1081">
        <v>21</v>
      </c>
      <c r="E11" s="757">
        <v>770</v>
      </c>
      <c r="F11" s="872">
        <v>313</v>
      </c>
      <c r="G11" s="872"/>
      <c r="H11" s="1070"/>
      <c r="I11" s="1045"/>
      <c r="J11" s="463"/>
      <c r="K11" s="463"/>
      <c r="L11" s="463"/>
    </row>
    <row r="12" spans="2:16" ht="14.1" customHeight="1">
      <c r="B12" s="16">
        <f t="shared" si="1"/>
        <v>6</v>
      </c>
      <c r="C12" s="17">
        <v>44233</v>
      </c>
      <c r="D12" s="757">
        <v>387.5</v>
      </c>
      <c r="E12" s="757"/>
      <c r="F12" s="872">
        <v>422.4</v>
      </c>
      <c r="G12" s="872"/>
      <c r="H12" s="1075"/>
      <c r="I12" s="1045"/>
      <c r="J12" s="463"/>
      <c r="K12" s="463"/>
      <c r="L12" s="463"/>
    </row>
    <row r="13" spans="2:16" ht="14.1" customHeight="1">
      <c r="B13" s="16">
        <f t="shared" si="1"/>
        <v>7</v>
      </c>
      <c r="C13" s="17">
        <v>44234</v>
      </c>
      <c r="D13" s="872">
        <v>435</v>
      </c>
      <c r="E13" s="757"/>
      <c r="F13" s="872"/>
      <c r="G13" s="1074"/>
      <c r="H13" s="1073">
        <v>657</v>
      </c>
      <c r="I13" s="1055"/>
      <c r="J13" s="463"/>
      <c r="K13" s="465"/>
      <c r="L13" s="463"/>
      <c r="N13" s="86"/>
      <c r="O13" s="86"/>
      <c r="P13" s="86"/>
    </row>
    <row r="14" spans="2:16" ht="14.1" customHeight="1">
      <c r="B14" s="16">
        <f t="shared" si="1"/>
        <v>1</v>
      </c>
      <c r="C14" s="17">
        <v>44235</v>
      </c>
      <c r="D14" s="757">
        <v>213.5</v>
      </c>
      <c r="E14" s="757"/>
      <c r="F14" s="872"/>
      <c r="G14" s="872">
        <v>340.5</v>
      </c>
      <c r="H14" s="872"/>
      <c r="I14" s="1045"/>
      <c r="J14" s="463"/>
      <c r="K14" s="465"/>
      <c r="L14" s="463"/>
      <c r="N14" s="86"/>
      <c r="O14" s="86"/>
      <c r="P14" s="86"/>
    </row>
    <row r="15" spans="2:16" ht="14.1" customHeight="1">
      <c r="B15" s="16">
        <f t="shared" si="1"/>
        <v>2</v>
      </c>
      <c r="C15" s="17">
        <v>44236</v>
      </c>
      <c r="D15" s="757">
        <v>212.5</v>
      </c>
      <c r="E15" s="757"/>
      <c r="F15" s="872"/>
      <c r="G15" s="872">
        <v>311.5</v>
      </c>
      <c r="H15" s="872"/>
      <c r="I15" s="1045"/>
      <c r="J15" s="463"/>
      <c r="K15" s="465"/>
      <c r="L15" s="463"/>
      <c r="N15" s="86"/>
      <c r="O15" s="86"/>
      <c r="P15" s="86"/>
    </row>
    <row r="16" spans="2:16" ht="14.1" customHeight="1">
      <c r="B16" s="16">
        <f t="shared" si="1"/>
        <v>3</v>
      </c>
      <c r="C16" s="17">
        <v>44237</v>
      </c>
      <c r="E16" s="757"/>
      <c r="F16" s="872">
        <v>835.8</v>
      </c>
      <c r="G16" s="872"/>
      <c r="H16" s="872"/>
      <c r="I16" s="1045"/>
      <c r="J16" s="463"/>
      <c r="K16" s="465"/>
      <c r="L16" s="463"/>
      <c r="N16" s="86"/>
      <c r="O16" s="86"/>
      <c r="P16" s="86"/>
    </row>
    <row r="17" spans="1:16" ht="14.1" customHeight="1">
      <c r="A17" s="86"/>
      <c r="B17" s="16">
        <f t="shared" si="1"/>
        <v>4</v>
      </c>
      <c r="C17" s="17">
        <v>44238</v>
      </c>
      <c r="D17" s="757">
        <v>169.9</v>
      </c>
      <c r="E17" s="757"/>
      <c r="F17" s="872">
        <v>614.5</v>
      </c>
      <c r="G17" s="872"/>
      <c r="H17" s="255"/>
      <c r="I17" s="1045"/>
      <c r="J17" s="463"/>
      <c r="K17" s="465"/>
      <c r="L17" s="463"/>
      <c r="N17" s="86"/>
      <c r="O17" s="86"/>
      <c r="P17" s="86"/>
    </row>
    <row r="18" spans="1:16" ht="14.1" customHeight="1">
      <c r="A18" s="86"/>
      <c r="B18" s="16">
        <f t="shared" si="1"/>
        <v>5</v>
      </c>
      <c r="C18" s="17">
        <v>44239</v>
      </c>
      <c r="D18" s="757">
        <v>173.5</v>
      </c>
      <c r="E18" s="757"/>
      <c r="F18" s="872"/>
      <c r="G18" s="872">
        <v>772.8</v>
      </c>
      <c r="H18" s="1069"/>
      <c r="I18" s="1045"/>
      <c r="J18" s="463"/>
      <c r="K18" s="465"/>
      <c r="L18" s="465"/>
      <c r="M18" s="86"/>
      <c r="N18" s="86"/>
      <c r="O18" s="86"/>
      <c r="P18" s="86"/>
    </row>
    <row r="19" spans="1:16" ht="14.1" customHeight="1">
      <c r="A19" s="86"/>
      <c r="B19" s="16">
        <f t="shared" si="1"/>
        <v>6</v>
      </c>
      <c r="C19" s="17">
        <v>44240</v>
      </c>
      <c r="D19" s="757"/>
      <c r="E19" s="757"/>
      <c r="F19" s="872"/>
      <c r="G19" s="872">
        <v>705.7</v>
      </c>
      <c r="H19" s="1072"/>
      <c r="I19" s="1045"/>
      <c r="J19" s="463"/>
      <c r="K19" s="465"/>
      <c r="L19" s="467"/>
      <c r="M19" s="86"/>
      <c r="N19" s="86"/>
      <c r="O19" s="86"/>
      <c r="P19" s="86"/>
    </row>
    <row r="20" spans="1:16" ht="14.1" customHeight="1">
      <c r="A20" s="86"/>
      <c r="B20" s="16">
        <f t="shared" si="1"/>
        <v>7</v>
      </c>
      <c r="C20" s="17">
        <v>44241</v>
      </c>
      <c r="D20" s="757">
        <v>41</v>
      </c>
      <c r="E20" s="757"/>
      <c r="F20" s="872"/>
      <c r="G20" s="872">
        <v>1253.08</v>
      </c>
      <c r="H20" s="1073"/>
      <c r="I20" s="1045"/>
      <c r="J20" s="463"/>
      <c r="K20" s="465"/>
      <c r="L20" s="465"/>
      <c r="M20" s="86"/>
      <c r="N20" s="86"/>
      <c r="O20" s="86"/>
      <c r="P20" s="86"/>
    </row>
    <row r="21" spans="1:16" ht="14.1" customHeight="1">
      <c r="A21" s="86"/>
      <c r="B21" s="16">
        <f t="shared" si="1"/>
        <v>1</v>
      </c>
      <c r="C21" s="17">
        <v>44242</v>
      </c>
      <c r="D21" s="757">
        <v>218.5</v>
      </c>
      <c r="E21" s="757"/>
      <c r="F21" s="872"/>
      <c r="G21" s="872">
        <v>905.1</v>
      </c>
      <c r="H21" s="1069"/>
      <c r="I21" s="1045"/>
      <c r="J21" s="463"/>
      <c r="K21" s="465"/>
      <c r="L21" s="465"/>
      <c r="M21" s="86"/>
      <c r="N21" s="86"/>
      <c r="O21" s="86"/>
      <c r="P21" s="86"/>
    </row>
    <row r="22" spans="1:16" s="86" customFormat="1" ht="14.1" customHeight="1">
      <c r="A22" s="474"/>
      <c r="B22" s="16">
        <f t="shared" si="1"/>
        <v>2</v>
      </c>
      <c r="C22" s="17">
        <v>44243</v>
      </c>
      <c r="D22" s="757"/>
      <c r="E22" s="757">
        <v>1538.95</v>
      </c>
      <c r="F22" s="872"/>
      <c r="G22" s="872">
        <v>827.5</v>
      </c>
      <c r="H22" s="757"/>
      <c r="I22" s="1046"/>
      <c r="J22" s="465"/>
      <c r="K22" s="465"/>
      <c r="L22" s="465"/>
    </row>
    <row r="23" spans="1:16" s="86" customFormat="1" ht="14.1" customHeight="1">
      <c r="B23" s="16">
        <f t="shared" si="1"/>
        <v>3</v>
      </c>
      <c r="C23" s="17">
        <v>44244</v>
      </c>
      <c r="D23" s="757"/>
      <c r="E23" s="757">
        <v>607.9</v>
      </c>
      <c r="F23" s="872"/>
      <c r="G23" s="872">
        <v>635.20000000000005</v>
      </c>
      <c r="H23" s="872"/>
      <c r="I23" s="1046"/>
      <c r="J23" s="1110">
        <f>SUM(F2:H34)</f>
        <v>20401.579999999998</v>
      </c>
      <c r="K23" s="465"/>
      <c r="L23" s="465"/>
    </row>
    <row r="24" spans="1:16" s="86" customFormat="1" ht="14.1" customHeight="1">
      <c r="B24" s="16">
        <f t="shared" si="1"/>
        <v>4</v>
      </c>
      <c r="C24" s="17">
        <v>44245</v>
      </c>
      <c r="D24" s="757">
        <v>904.81</v>
      </c>
      <c r="E24" s="1081">
        <v>17.5</v>
      </c>
      <c r="F24" s="872"/>
      <c r="G24" s="872">
        <v>671.5</v>
      </c>
      <c r="H24" s="872"/>
      <c r="I24" s="1046"/>
      <c r="J24" s="465"/>
      <c r="K24" s="465"/>
      <c r="L24" s="465"/>
    </row>
    <row r="25" spans="1:16" s="86" customFormat="1" ht="14.1" customHeight="1">
      <c r="A25" s="888"/>
      <c r="B25" s="16">
        <f t="shared" si="1"/>
        <v>5</v>
      </c>
      <c r="C25" s="17">
        <v>44246</v>
      </c>
      <c r="D25" s="757">
        <v>839.6</v>
      </c>
      <c r="E25" s="1081">
        <v>13</v>
      </c>
      <c r="F25" s="872">
        <v>411.5</v>
      </c>
      <c r="G25" s="872"/>
      <c r="H25" s="1071"/>
      <c r="I25" s="1046"/>
      <c r="J25" s="465"/>
      <c r="K25" s="465"/>
      <c r="L25" s="465"/>
    </row>
    <row r="26" spans="1:16" s="86" customFormat="1" ht="14.1" customHeight="1">
      <c r="A26" s="888"/>
      <c r="B26" s="16">
        <f t="shared" si="1"/>
        <v>6</v>
      </c>
      <c r="C26" s="17">
        <v>44247</v>
      </c>
      <c r="D26" s="757"/>
      <c r="E26" s="757">
        <f>1187+101.5</f>
        <v>1288.5</v>
      </c>
      <c r="F26" s="872">
        <v>774.6</v>
      </c>
      <c r="G26" s="872"/>
      <c r="H26" s="1072"/>
      <c r="I26" s="1046"/>
      <c r="J26" s="465"/>
      <c r="K26" s="704"/>
      <c r="L26" s="465"/>
    </row>
    <row r="27" spans="1:16" s="86" customFormat="1" ht="14.1" customHeight="1">
      <c r="B27" s="16">
        <f t="shared" si="1"/>
        <v>7</v>
      </c>
      <c r="C27" s="17">
        <v>44248</v>
      </c>
      <c r="D27" s="757"/>
      <c r="E27" s="757">
        <v>1126.9000000000001</v>
      </c>
      <c r="F27" s="872"/>
      <c r="G27" s="872">
        <v>641.9</v>
      </c>
      <c r="H27" s="1073"/>
      <c r="I27" s="1046"/>
      <c r="J27" s="465"/>
      <c r="K27" s="465"/>
      <c r="L27" s="476"/>
    </row>
    <row r="28" spans="1:16" s="86" customFormat="1" ht="14.1" customHeight="1">
      <c r="B28" s="16">
        <f t="shared" si="1"/>
        <v>1</v>
      </c>
      <c r="C28" s="17">
        <v>44249</v>
      </c>
      <c r="D28" s="757">
        <v>956.7</v>
      </c>
      <c r="E28" s="1081">
        <v>30</v>
      </c>
      <c r="F28" s="872"/>
      <c r="G28" s="872">
        <v>650.70000000000005</v>
      </c>
      <c r="H28" s="872"/>
      <c r="I28" s="1046"/>
      <c r="J28" s="465"/>
      <c r="K28" s="465"/>
      <c r="L28" s="476"/>
    </row>
    <row r="29" spans="1:16" s="86" customFormat="1" ht="14.1" customHeight="1">
      <c r="B29" s="16">
        <f t="shared" si="1"/>
        <v>2</v>
      </c>
      <c r="C29" s="17">
        <v>44250</v>
      </c>
      <c r="D29" s="757">
        <v>502.2</v>
      </c>
      <c r="E29" s="757"/>
      <c r="F29" s="872">
        <v>247.6</v>
      </c>
      <c r="G29" s="872"/>
      <c r="H29" s="872"/>
      <c r="I29" s="1046"/>
      <c r="J29" s="468"/>
      <c r="K29" s="468"/>
      <c r="L29" s="468"/>
      <c r="M29" s="366"/>
      <c r="N29" s="366"/>
      <c r="O29" s="366"/>
      <c r="P29" s="366"/>
    </row>
    <row r="30" spans="1:16" s="86" customFormat="1" ht="14.1" customHeight="1">
      <c r="A30" s="474"/>
      <c r="B30" s="16">
        <f t="shared" si="1"/>
        <v>3</v>
      </c>
      <c r="C30" s="17">
        <v>44251</v>
      </c>
      <c r="D30" s="757"/>
      <c r="E30" s="757">
        <v>533.79999999999995</v>
      </c>
      <c r="F30" s="872">
        <v>368</v>
      </c>
      <c r="G30" s="872"/>
      <c r="H30" s="872"/>
      <c r="I30" s="1046"/>
      <c r="J30" s="468"/>
      <c r="K30" s="468"/>
      <c r="L30" s="468"/>
      <c r="M30" s="366"/>
      <c r="N30" s="366"/>
      <c r="O30" s="366"/>
      <c r="P30" s="366"/>
    </row>
    <row r="31" spans="1:16" s="86" customFormat="1" ht="14.1" customHeight="1">
      <c r="B31" s="16">
        <f t="shared" si="1"/>
        <v>4</v>
      </c>
      <c r="C31" s="17">
        <v>44252</v>
      </c>
      <c r="D31" s="757"/>
      <c r="E31" s="757">
        <v>955.1</v>
      </c>
      <c r="F31" s="872">
        <v>663.6</v>
      </c>
      <c r="G31" s="872"/>
      <c r="H31" s="872"/>
      <c r="I31" s="1046"/>
      <c r="J31" s="468"/>
      <c r="K31" s="466"/>
      <c r="L31" s="466"/>
      <c r="M31" s="366"/>
      <c r="N31" s="366"/>
      <c r="O31" s="366"/>
      <c r="P31" s="366"/>
    </row>
    <row r="32" spans="1:16" s="86" customFormat="1" ht="13.5" customHeight="1">
      <c r="B32" s="16">
        <f t="shared" si="1"/>
        <v>5</v>
      </c>
      <c r="C32" s="17">
        <v>44253</v>
      </c>
      <c r="D32" s="757">
        <v>1405.26</v>
      </c>
      <c r="E32" s="757"/>
      <c r="F32" s="872"/>
      <c r="G32" s="872">
        <v>698.5</v>
      </c>
      <c r="H32" s="872"/>
      <c r="I32" s="1046"/>
      <c r="J32" s="466"/>
      <c r="K32" s="466"/>
      <c r="L32" s="466"/>
      <c r="M32" s="366"/>
      <c r="N32" s="366"/>
      <c r="O32" s="366"/>
      <c r="P32" s="366"/>
    </row>
    <row r="33" spans="2:22" s="86" customFormat="1" ht="13.5" customHeight="1">
      <c r="B33" s="16">
        <f t="shared" si="1"/>
        <v>6</v>
      </c>
      <c r="C33" s="17">
        <v>44254</v>
      </c>
      <c r="D33" s="757">
        <v>1456.3</v>
      </c>
      <c r="E33" s="757"/>
      <c r="F33" s="872"/>
      <c r="G33" s="1072">
        <v>593.20000000000005</v>
      </c>
      <c r="H33" s="1072"/>
      <c r="I33" s="466"/>
      <c r="J33" s="466"/>
      <c r="K33" s="468"/>
      <c r="L33" s="466"/>
      <c r="M33" s="366"/>
      <c r="N33" s="366"/>
      <c r="O33" s="366"/>
      <c r="P33" s="366"/>
    </row>
    <row r="34" spans="2:22" s="86" customFormat="1" ht="13.5" customHeight="1">
      <c r="B34" s="16">
        <f t="shared" si="1"/>
        <v>7</v>
      </c>
      <c r="C34" s="17">
        <v>44255</v>
      </c>
      <c r="D34" s="757"/>
      <c r="E34" s="757">
        <v>1844</v>
      </c>
      <c r="F34" s="702"/>
      <c r="G34" s="573">
        <v>670.1</v>
      </c>
      <c r="H34" s="573"/>
      <c r="I34" s="466"/>
      <c r="J34" s="466"/>
      <c r="K34" s="468"/>
      <c r="L34" s="466"/>
      <c r="M34" s="366"/>
      <c r="N34" s="366"/>
      <c r="O34" s="366"/>
      <c r="P34" s="366"/>
    </row>
    <row r="35" spans="2:22" ht="14.1" customHeight="1" thickBot="1">
      <c r="B35" s="21"/>
      <c r="C35" s="546" t="s">
        <v>225</v>
      </c>
      <c r="D35" s="248">
        <v>16</v>
      </c>
      <c r="E35" s="248">
        <v>10</v>
      </c>
      <c r="F35" s="248">
        <f>COUNT(F2:F32)</f>
        <v>14</v>
      </c>
      <c r="G35" s="248">
        <f>COUNT(G2:G32)</f>
        <v>12</v>
      </c>
      <c r="H35" s="307">
        <f>COUNT(H2:H34)</f>
        <v>5</v>
      </c>
      <c r="I35" s="469"/>
      <c r="J35" s="469"/>
      <c r="K35" s="469"/>
      <c r="L35" s="469"/>
      <c r="M35" s="366"/>
      <c r="N35" s="366"/>
      <c r="O35" s="366"/>
      <c r="P35" s="366"/>
    </row>
    <row r="36" spans="2:22" ht="14.1" customHeight="1" thickBot="1">
      <c r="B36" s="21"/>
      <c r="C36" s="85" t="s">
        <v>73</v>
      </c>
      <c r="D36" s="238">
        <f>SUM(D2:D34)</f>
        <v>9058.77</v>
      </c>
      <c r="E36" s="238">
        <f>SUM(E2:E34)</f>
        <v>10014.150000000001</v>
      </c>
      <c r="F36" s="238">
        <f>SUM(F2:F32)</f>
        <v>7816.5000000000009</v>
      </c>
      <c r="G36" s="238">
        <f>SUM(G2:G32)</f>
        <v>8413.98</v>
      </c>
      <c r="H36" s="1050">
        <f>SUM(H2:H34)</f>
        <v>2907.8</v>
      </c>
      <c r="I36" s="109" t="s">
        <v>189</v>
      </c>
      <c r="J36" s="292" t="s">
        <v>190</v>
      </c>
      <c r="K36" s="452" t="s">
        <v>219</v>
      </c>
      <c r="L36" s="363"/>
      <c r="M36" s="366"/>
      <c r="N36" s="366"/>
      <c r="O36" s="366"/>
      <c r="P36" s="366"/>
    </row>
    <row r="37" spans="2:22" ht="14.1" customHeight="1" thickBot="1">
      <c r="B37" s="21"/>
      <c r="C37" s="85" t="s">
        <v>22</v>
      </c>
      <c r="D37" s="238">
        <v>9174.06</v>
      </c>
      <c r="E37" s="238">
        <v>9317.7000000000007</v>
      </c>
      <c r="F37" s="238">
        <v>7783.3</v>
      </c>
      <c r="G37" s="238">
        <v>8068.18</v>
      </c>
      <c r="H37" s="5">
        <v>2787</v>
      </c>
      <c r="I37" s="1048">
        <f>SUM(D2:E34)</f>
        <v>19072.920000000002</v>
      </c>
      <c r="J37" s="292">
        <f>SUM(F7:H34)</f>
        <v>16737.280000000002</v>
      </c>
      <c r="K37" s="453">
        <f>SUM(I4:I32)</f>
        <v>0</v>
      </c>
      <c r="L37" s="363"/>
      <c r="M37" s="366"/>
      <c r="N37" s="366"/>
      <c r="O37" s="366"/>
      <c r="P37" s="366"/>
    </row>
    <row r="38" spans="2:22" ht="14.1" customHeight="1">
      <c r="B38" s="21"/>
      <c r="C38" s="85" t="s">
        <v>5</v>
      </c>
      <c r="D38" s="88">
        <f t="shared" ref="D38:G38" si="2">ABS(D36-D37)</f>
        <v>115.28999999999905</v>
      </c>
      <c r="E38" s="88">
        <f t="shared" si="2"/>
        <v>696.45000000000073</v>
      </c>
      <c r="F38" s="88">
        <f t="shared" si="2"/>
        <v>33.200000000000728</v>
      </c>
      <c r="G38" s="88">
        <f t="shared" si="2"/>
        <v>345.79999999999927</v>
      </c>
      <c r="H38" s="88">
        <f>ABS(H36-H37)</f>
        <v>120.80000000000018</v>
      </c>
      <c r="I38" s="363"/>
      <c r="J38" s="363"/>
      <c r="K38" s="363"/>
      <c r="L38" s="363"/>
      <c r="M38" s="366"/>
      <c r="N38" s="366"/>
      <c r="O38" s="366"/>
      <c r="P38" s="366"/>
    </row>
    <row r="39" spans="2:22" ht="14.1" customHeight="1">
      <c r="B39" s="21"/>
      <c r="C39" s="700" t="s">
        <v>233</v>
      </c>
      <c r="D39" s="89">
        <f>ROUND(D38*1%,2)</f>
        <v>1.1499999999999999</v>
      </c>
      <c r="E39" s="89">
        <f t="shared" ref="E39" si="3">ROUND(E38*1%,2)</f>
        <v>6.96</v>
      </c>
      <c r="F39" s="89">
        <f>ROUND(F38*1%,2)</f>
        <v>0.33</v>
      </c>
      <c r="G39" s="89">
        <f>ROUND(G38*1%,2)</f>
        <v>3.46</v>
      </c>
      <c r="H39" s="89">
        <f>ROUND(H38*1%,2)</f>
        <v>1.21</v>
      </c>
      <c r="I39" s="363"/>
      <c r="J39" s="363"/>
      <c r="K39" s="363"/>
      <c r="L39" s="363"/>
      <c r="M39" s="366"/>
      <c r="N39" s="366"/>
      <c r="O39" s="366"/>
      <c r="P39" s="366"/>
    </row>
    <row r="40" spans="2:22" ht="14.1" customHeight="1">
      <c r="B40" s="21"/>
      <c r="C40" s="699" t="s">
        <v>234</v>
      </c>
      <c r="D40" s="89">
        <f>ROUND(3%*D37,2)</f>
        <v>275.22000000000003</v>
      </c>
      <c r="E40" s="89">
        <f>ROUND(3%*E37,2)</f>
        <v>279.52999999999997</v>
      </c>
      <c r="F40" s="89">
        <f>ROUND(3%*F37,2)</f>
        <v>233.5</v>
      </c>
      <c r="G40" s="89">
        <f>ROUND(3%*G37,2)</f>
        <v>242.05</v>
      </c>
      <c r="H40" s="89">
        <f>ROUND(3%*H37,2)</f>
        <v>83.61</v>
      </c>
      <c r="I40" s="145"/>
      <c r="J40" s="145"/>
      <c r="K40" s="366"/>
      <c r="L40" s="363"/>
      <c r="M40" s="366"/>
      <c r="N40" s="366"/>
      <c r="O40" s="366"/>
      <c r="P40" s="366"/>
    </row>
    <row r="41" spans="2:22" ht="14.1" customHeight="1">
      <c r="B41" s="21"/>
      <c r="C41" s="85" t="s">
        <v>7</v>
      </c>
      <c r="D41" s="87">
        <v>50</v>
      </c>
      <c r="E41" s="87">
        <v>50</v>
      </c>
      <c r="F41" s="87"/>
      <c r="G41" s="87">
        <v>40</v>
      </c>
      <c r="H41" s="87"/>
      <c r="I41" s="145"/>
      <c r="J41" s="145"/>
      <c r="K41" s="366"/>
      <c r="L41" s="363"/>
      <c r="M41" s="366"/>
      <c r="N41" s="366"/>
      <c r="O41" s="366"/>
      <c r="P41" s="366"/>
    </row>
    <row r="42" spans="2:22" ht="14.1" customHeight="1">
      <c r="B42" s="21"/>
      <c r="C42" s="85" t="s">
        <v>14</v>
      </c>
      <c r="D42" s="87">
        <f>20*13</f>
        <v>260</v>
      </c>
      <c r="E42" s="87">
        <f>20*9</f>
        <v>180</v>
      </c>
      <c r="F42" s="87">
        <f>ROUND(25*F35,2)</f>
        <v>350</v>
      </c>
      <c r="G42" s="88">
        <f>25*G35</f>
        <v>300</v>
      </c>
      <c r="H42" s="87">
        <f>25*H35</f>
        <v>125</v>
      </c>
      <c r="I42" s="283"/>
      <c r="J42" s="145"/>
      <c r="K42" s="145"/>
      <c r="L42" s="363"/>
      <c r="M42" s="366"/>
      <c r="N42" s="366"/>
      <c r="O42" s="366"/>
      <c r="P42" s="366"/>
    </row>
    <row r="43" spans="2:22" s="1038" customFormat="1" ht="14.1" hidden="1" customHeight="1">
      <c r="B43" s="1082"/>
      <c r="C43" s="1083" t="s">
        <v>94</v>
      </c>
      <c r="D43" s="16"/>
      <c r="E43" s="1084"/>
      <c r="F43" s="1085">
        <v>198</v>
      </c>
      <c r="G43" s="1085"/>
      <c r="H43" s="1084"/>
      <c r="I43" s="1080"/>
      <c r="J43" s="1080"/>
      <c r="K43" s="1079"/>
      <c r="L43" s="1080"/>
      <c r="M43" s="1079"/>
      <c r="N43" s="1079"/>
      <c r="O43" s="1079"/>
      <c r="P43" s="1079"/>
    </row>
    <row r="44" spans="2:22" s="1038" customFormat="1" ht="14.1" hidden="1" customHeight="1">
      <c r="B44" s="1082"/>
      <c r="C44" s="1083" t="s">
        <v>26</v>
      </c>
      <c r="D44" s="1078"/>
      <c r="E44" s="1084"/>
      <c r="F44" s="1085">
        <v>250</v>
      </c>
      <c r="G44" s="1085"/>
      <c r="H44" s="1084"/>
      <c r="I44" s="1080"/>
      <c r="J44" s="1080"/>
      <c r="K44" s="1079"/>
      <c r="L44" s="1080"/>
      <c r="M44" s="1079"/>
      <c r="N44" s="1079"/>
      <c r="O44" s="1079"/>
      <c r="P44" s="1079"/>
    </row>
    <row r="45" spans="2:22" s="1038" customFormat="1" ht="14.1" hidden="1" customHeight="1">
      <c r="B45" s="1086"/>
      <c r="C45" s="1083" t="s">
        <v>401</v>
      </c>
      <c r="D45" s="1087"/>
      <c r="E45" s="1084"/>
      <c r="F45" s="1085">
        <v>100</v>
      </c>
      <c r="G45" s="1085"/>
      <c r="H45" s="1084"/>
      <c r="I45" s="1088"/>
      <c r="J45" s="1080"/>
      <c r="K45" s="1079"/>
      <c r="L45" s="1079"/>
      <c r="M45" s="1079"/>
      <c r="N45" s="1079"/>
      <c r="O45" s="1079"/>
      <c r="P45" s="1079"/>
    </row>
    <row r="46" spans="2:22" ht="14.1" customHeight="1">
      <c r="B46" s="31"/>
      <c r="C46" s="245" t="s">
        <v>77</v>
      </c>
      <c r="D46" s="455">
        <f>D47-D43</f>
        <v>586.37</v>
      </c>
      <c r="E46" s="455">
        <f>E47-E43-E44</f>
        <v>516.49</v>
      </c>
      <c r="F46" s="455">
        <f>F47-F43-F44-F45</f>
        <v>35.829999999999927</v>
      </c>
      <c r="G46" s="455">
        <f>G47-G43-G44-G45</f>
        <v>585.51</v>
      </c>
      <c r="H46" s="455">
        <f>H47-H42</f>
        <v>84.82</v>
      </c>
      <c r="I46" s="145"/>
      <c r="J46" s="145"/>
      <c r="K46" s="366"/>
      <c r="L46" s="366"/>
      <c r="M46" s="366"/>
      <c r="N46" s="366"/>
      <c r="O46" s="366"/>
      <c r="P46" s="366"/>
    </row>
    <row r="47" spans="2:22" ht="14.1" customHeight="1">
      <c r="B47" s="21"/>
      <c r="C47" s="286" t="s">
        <v>45</v>
      </c>
      <c r="D47" s="287">
        <f>D39+D40+D41+D42</f>
        <v>586.37</v>
      </c>
      <c r="E47" s="287">
        <f>E39+E40+E41+E42</f>
        <v>516.49</v>
      </c>
      <c r="F47" s="287">
        <f>F42+F39+F40</f>
        <v>583.82999999999993</v>
      </c>
      <c r="G47" s="287">
        <f>G39+G40+G41+G42</f>
        <v>585.51</v>
      </c>
      <c r="H47" s="287">
        <f>H39+H40+H42</f>
        <v>209.82</v>
      </c>
      <c r="I47" s="461"/>
      <c r="J47" s="366"/>
      <c r="K47" s="366"/>
      <c r="L47" s="366"/>
      <c r="M47" s="366"/>
      <c r="N47" s="366"/>
      <c r="O47" s="366"/>
      <c r="P47" s="366"/>
      <c r="Q47" s="1"/>
      <c r="R47" s="1"/>
      <c r="S47" s="1"/>
      <c r="T47" s="1"/>
      <c r="U47" s="1"/>
      <c r="V47" s="1"/>
    </row>
    <row r="48" spans="2:22" ht="14.1" customHeight="1">
      <c r="B48" s="21"/>
      <c r="C48" s="169"/>
      <c r="D48" s="364"/>
      <c r="E48" s="461"/>
      <c r="F48" s="8"/>
      <c r="G48" s="8"/>
      <c r="H48" s="8"/>
      <c r="I48" s="283"/>
      <c r="J48" s="145"/>
      <c r="K48" s="366"/>
      <c r="L48" s="366"/>
      <c r="M48" s="366"/>
      <c r="N48" s="366"/>
      <c r="O48" s="366"/>
      <c r="P48" s="366"/>
      <c r="Q48" s="1"/>
      <c r="R48" s="1"/>
      <c r="S48" s="1"/>
      <c r="T48" s="1"/>
      <c r="U48" s="1"/>
      <c r="V48" s="1"/>
    </row>
    <row r="49" spans="1:22" s="86" customFormat="1" ht="14.1" customHeight="1">
      <c r="A49" s="168"/>
      <c r="B49" s="474"/>
      <c r="C49" s="363"/>
      <c r="D49" s="363"/>
      <c r="E49" s="363"/>
      <c r="F49" s="363"/>
      <c r="G49" s="363"/>
      <c r="H49" s="8"/>
      <c r="I49" s="68"/>
      <c r="J49" s="145"/>
      <c r="K49" s="366"/>
      <c r="L49" s="366"/>
      <c r="M49" s="145"/>
      <c r="N49" s="366"/>
      <c r="O49" s="366"/>
      <c r="P49" s="366"/>
      <c r="Q49" s="366"/>
      <c r="R49" s="366"/>
      <c r="S49" s="366"/>
      <c r="T49" s="366"/>
      <c r="U49" s="366"/>
      <c r="V49" s="366"/>
    </row>
    <row r="50" spans="1:22" s="86" customFormat="1" ht="14.1" customHeight="1">
      <c r="A50" s="168"/>
      <c r="B50" s="474"/>
      <c r="C50" s="1329"/>
      <c r="D50" s="1329"/>
      <c r="E50" s="145">
        <f>D46+E46</f>
        <v>1102.8600000000001</v>
      </c>
      <c r="F50" s="168"/>
      <c r="G50" s="168"/>
      <c r="H50" s="168"/>
      <c r="I50" s="72"/>
      <c r="J50" s="366"/>
      <c r="K50" s="366"/>
      <c r="L50" s="366"/>
      <c r="M50" s="145"/>
      <c r="N50" s="366"/>
      <c r="O50" s="366"/>
      <c r="P50" s="366"/>
      <c r="Q50" s="366"/>
      <c r="R50" s="366"/>
      <c r="S50" s="366"/>
      <c r="T50" s="366"/>
      <c r="U50" s="366"/>
      <c r="V50" s="366"/>
    </row>
    <row r="51" spans="1:22" ht="14.1" customHeight="1">
      <c r="B51" s="32"/>
      <c r="C51" s="1329"/>
      <c r="D51" s="1329"/>
      <c r="E51" s="12"/>
      <c r="G51" s="8"/>
      <c r="H51" s="207">
        <f>G46+H46+F46</f>
        <v>706.15999999999985</v>
      </c>
      <c r="I51" s="68"/>
      <c r="J51" s="366"/>
      <c r="K51" s="366"/>
      <c r="L51" s="366"/>
      <c r="M51" s="366"/>
      <c r="N51" s="366"/>
      <c r="O51" s="366"/>
      <c r="P51" s="366"/>
      <c r="Q51" s="1"/>
      <c r="R51" s="1"/>
      <c r="S51" s="1"/>
      <c r="T51" s="1"/>
      <c r="U51" s="1"/>
      <c r="V51" s="1"/>
    </row>
    <row r="52" spans="1:22" s="86" customFormat="1" ht="12.95" customHeight="1">
      <c r="B52" s="501"/>
      <c r="C52" s="1329"/>
      <c r="D52" s="1329"/>
      <c r="E52" s="502"/>
      <c r="F52" s="524"/>
      <c r="G52" s="502"/>
      <c r="H52" s="503"/>
      <c r="I52" s="1053"/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</row>
    <row r="53" spans="1:22" s="86" customFormat="1" ht="12.95" customHeight="1">
      <c r="C53" s="502"/>
      <c r="D53" s="502"/>
      <c r="E53" s="524"/>
      <c r="F53" s="524"/>
      <c r="G53" s="502"/>
      <c r="H53" s="168"/>
      <c r="I53" s="525"/>
      <c r="J53" s="502"/>
      <c r="K53" s="502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</row>
    <row r="54" spans="1:22" s="86" customFormat="1" ht="12" customHeight="1">
      <c r="A54" s="366"/>
      <c r="B54" s="366"/>
      <c r="C54" s="502"/>
      <c r="D54" s="502"/>
      <c r="E54" s="524"/>
      <c r="F54" s="524"/>
      <c r="G54" s="502"/>
      <c r="H54" s="503"/>
      <c r="I54" s="502"/>
      <c r="J54" s="502"/>
      <c r="K54" s="502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8.75">
      <c r="A55" s="366"/>
      <c r="B55" s="366"/>
      <c r="C55" s="366"/>
      <c r="D55" s="366"/>
      <c r="E55" s="144"/>
      <c r="F55" s="168"/>
      <c r="H55" s="503"/>
      <c r="I55" s="502"/>
      <c r="J55" s="502"/>
      <c r="K55" s="502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s="86" customFormat="1">
      <c r="A56" s="366"/>
      <c r="B56" s="366"/>
      <c r="C56" s="366"/>
      <c r="D56" s="366"/>
      <c r="E56" s="144"/>
      <c r="I56" s="143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</row>
    <row r="57" spans="1:22" s="86" customFormat="1" ht="15" customHeight="1">
      <c r="A57" s="366"/>
      <c r="B57" s="366"/>
      <c r="C57" s="366"/>
      <c r="D57" s="366"/>
      <c r="E57" s="144"/>
      <c r="H57" s="524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 ht="15" customHeight="1">
      <c r="A58" s="366"/>
      <c r="B58" s="366"/>
      <c r="C58" s="366"/>
      <c r="D58" s="366"/>
      <c r="E58" s="144"/>
      <c r="H58" s="524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 ht="15" customHeight="1">
      <c r="A59" s="366"/>
      <c r="B59" s="366"/>
      <c r="C59" s="366"/>
      <c r="D59" s="366"/>
      <c r="E59" s="144"/>
      <c r="H59" s="524"/>
      <c r="I59" s="366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>
      <c r="A60" s="366"/>
      <c r="B60" s="366"/>
      <c r="C60" s="366"/>
      <c r="D60" s="366"/>
      <c r="E60" s="144"/>
      <c r="H60" s="168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>
      <c r="A61" s="366"/>
      <c r="B61" s="366"/>
      <c r="C61" s="366"/>
      <c r="D61" s="366"/>
      <c r="E61" s="144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 s="86" customFormat="1">
      <c r="A62" s="366"/>
      <c r="B62" s="366"/>
      <c r="C62" s="366"/>
      <c r="D62" s="366"/>
      <c r="E62" s="144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</row>
    <row r="63" spans="1:22" s="86" customFormat="1">
      <c r="A63" s="366"/>
      <c r="B63" s="366"/>
      <c r="C63" s="366"/>
      <c r="D63" s="366"/>
      <c r="E63" s="144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</row>
    <row r="64" spans="1:22" s="86" customFormat="1">
      <c r="A64" s="366"/>
      <c r="B64" s="366"/>
      <c r="C64" s="366"/>
      <c r="D64" s="366"/>
      <c r="E64" s="144"/>
      <c r="J64" s="366"/>
      <c r="K64" s="366"/>
      <c r="L64" s="366"/>
      <c r="M64" s="366"/>
      <c r="N64" s="366"/>
      <c r="O64" s="366"/>
      <c r="P64" s="366"/>
      <c r="Q64" s="366"/>
      <c r="R64" s="366"/>
      <c r="S64" s="366"/>
      <c r="T64" s="366"/>
      <c r="U64" s="366"/>
      <c r="V64" s="366"/>
    </row>
    <row r="65" spans="1:22">
      <c r="A65" s="1"/>
      <c r="B65" s="1"/>
      <c r="C65" s="1"/>
      <c r="D65" s="1"/>
      <c r="E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1"/>
      <c r="D69" s="1"/>
      <c r="E69" s="11"/>
    </row>
    <row r="70" spans="1:22">
      <c r="A70" s="1"/>
      <c r="B70" s="1"/>
      <c r="C70" s="1"/>
      <c r="D70" s="1"/>
      <c r="E70" s="11"/>
    </row>
    <row r="71" spans="1:22">
      <c r="A71" s="1"/>
      <c r="B71" s="1"/>
      <c r="C71" s="1"/>
      <c r="D71" s="1"/>
      <c r="E71" s="11"/>
    </row>
    <row r="72" spans="1:22">
      <c r="A72" s="1"/>
      <c r="B72" s="1"/>
      <c r="C72" s="1"/>
      <c r="D72" s="1"/>
      <c r="E72" s="11"/>
    </row>
    <row r="73" spans="1:22">
      <c r="A73" s="1"/>
      <c r="B73" s="1"/>
      <c r="C73" s="1"/>
      <c r="D73" s="1"/>
      <c r="E73" s="11"/>
    </row>
    <row r="74" spans="1:22">
      <c r="A74" s="1"/>
      <c r="B74" s="1"/>
      <c r="C74" s="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11"/>
    </row>
    <row r="90" spans="1:5">
      <c r="A90" s="1"/>
      <c r="B90" s="1"/>
      <c r="C90" s="1"/>
      <c r="D90" s="1"/>
      <c r="E90" s="11"/>
    </row>
    <row r="91" spans="1:5">
      <c r="A91" s="1"/>
      <c r="B91" s="1"/>
      <c r="C91" s="1"/>
      <c r="D91" s="1"/>
      <c r="E91" s="2"/>
    </row>
    <row r="92" spans="1:5">
      <c r="A92" s="1"/>
      <c r="B92" s="1"/>
      <c r="C92" s="1"/>
      <c r="D92" s="1"/>
      <c r="E92" s="2"/>
    </row>
    <row r="93" spans="1:5">
      <c r="A93" s="1"/>
      <c r="B93" s="1"/>
      <c r="E93" s="2"/>
    </row>
    <row r="94" spans="1:5">
      <c r="A94" s="1"/>
      <c r="B94" s="1"/>
      <c r="E94" s="2"/>
    </row>
    <row r="95" spans="1:5">
      <c r="A95" s="1"/>
      <c r="B95" s="1"/>
      <c r="E95" s="2"/>
    </row>
    <row r="96" spans="1:5">
      <c r="B96" s="1"/>
      <c r="E96" s="2"/>
    </row>
    <row r="97" spans="2:5">
      <c r="B97" s="1"/>
      <c r="E97" s="2"/>
    </row>
    <row r="98" spans="2:5">
      <c r="E98" s="2"/>
    </row>
    <row r="99" spans="2:5">
      <c r="E99" s="2"/>
    </row>
    <row r="100" spans="2:5">
      <c r="E100" s="2"/>
    </row>
    <row r="101" spans="2:5">
      <c r="E101" s="2"/>
    </row>
    <row r="102" spans="2:5">
      <c r="E102" s="2"/>
    </row>
    <row r="103" spans="2:5">
      <c r="E103" s="2"/>
    </row>
    <row r="104" spans="2:5">
      <c r="E104" s="2"/>
    </row>
    <row r="105" spans="2:5">
      <c r="E105" s="2"/>
    </row>
    <row r="106" spans="2:5">
      <c r="E106" s="2"/>
    </row>
    <row r="107" spans="2:5">
      <c r="E107" s="2"/>
    </row>
    <row r="108" spans="2:5">
      <c r="E108" s="2"/>
    </row>
    <row r="109" spans="2:5">
      <c r="E109" s="2"/>
    </row>
    <row r="110" spans="2:5">
      <c r="E110" s="2"/>
    </row>
    <row r="111" spans="2:5">
      <c r="E111" s="2"/>
    </row>
    <row r="112" spans="2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</sheetData>
  <mergeCells count="1">
    <mergeCell ref="C50:D52"/>
  </mergeCells>
  <conditionalFormatting sqref="F14:G15 D14:D15 D13:F13 D32:F34 B4:B34 C2:C34 D4:G12 D18:G31 E16:G17">
    <cfRule type="expression" dxfId="15" priority="5">
      <formula>$B2=7</formula>
    </cfRule>
    <cfRule type="expression" dxfId="14" priority="6">
      <formula>$B2=6</formula>
    </cfRule>
  </conditionalFormatting>
  <conditionalFormatting sqref="E14">
    <cfRule type="expression" dxfId="13" priority="7">
      <formula>$B15=7</formula>
    </cfRule>
    <cfRule type="expression" dxfId="12" priority="8">
      <formula>$B15=6</formula>
    </cfRule>
  </conditionalFormatting>
  <conditionalFormatting sqref="E15">
    <cfRule type="expression" dxfId="11" priority="3">
      <formula>$B15=7</formula>
    </cfRule>
    <cfRule type="expression" dxfId="10" priority="4">
      <formula>$B15=6</formula>
    </cfRule>
  </conditionalFormatting>
  <conditionalFormatting sqref="B2:B3 D2:G3">
    <cfRule type="expression" dxfId="9" priority="1">
      <formula>$B2=7</formula>
    </cfRule>
    <cfRule type="expression" dxfId="8" priority="2">
      <formula>$B2=6</formula>
    </cfRule>
  </conditionalFormatting>
  <conditionalFormatting sqref="G32:G34">
    <cfRule type="expression" dxfId="7" priority="9">
      <formula>#REF!=7</formula>
    </cfRule>
    <cfRule type="expression" dxfId="6" priority="10">
      <formula>#REF!=6</formula>
    </cfRule>
  </conditionalFormatting>
  <conditionalFormatting sqref="D17">
    <cfRule type="expression" dxfId="5" priority="59">
      <formula>$B16=7</formula>
    </cfRule>
    <cfRule type="expression" dxfId="4" priority="60">
      <formula>$B16=6</formula>
    </cfRule>
  </conditionalFormatting>
  <pageMargins left="0.7" right="0.7" top="0.75" bottom="0.75" header="0.3" footer="0.3"/>
  <pageSetup paperSize="11" scale="81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46"/>
  <sheetViews>
    <sheetView tabSelected="1" zoomScale="90" zoomScaleNormal="90" zoomScaleSheetLayoutView="70" zoomScalePageLayoutView="70" workbookViewId="0">
      <selection activeCell="A14" sqref="A14"/>
    </sheetView>
  </sheetViews>
  <sheetFormatPr defaultColWidth="9.140625" defaultRowHeight="15"/>
  <cols>
    <col min="1" max="1" width="11.5703125" style="35" customWidth="1"/>
    <col min="2" max="2" width="23.7109375" style="35" customWidth="1"/>
    <col min="3" max="3" width="11.28515625" style="35" customWidth="1"/>
    <col min="4" max="4" width="9.140625" style="35"/>
    <col min="5" max="5" width="11.28515625" style="35" customWidth="1"/>
    <col min="6" max="6" width="18.7109375" style="35" customWidth="1"/>
    <col min="7" max="7" width="17.5703125" style="35" customWidth="1"/>
    <col min="8" max="8" width="11.7109375" style="35" customWidth="1"/>
    <col min="9" max="9" width="10.28515625" style="35" customWidth="1"/>
    <col min="10" max="10" width="11" style="35" customWidth="1"/>
    <col min="11" max="11" width="11.42578125" style="35" customWidth="1"/>
    <col min="12" max="12" width="12.140625" style="35" customWidth="1"/>
    <col min="13" max="13" width="13.85546875" style="35" customWidth="1"/>
    <col min="14" max="14" width="11.140625" style="35" customWidth="1"/>
    <col min="15" max="15" width="11.140625" style="1" customWidth="1"/>
    <col min="16" max="16" width="18.85546875" style="35" customWidth="1"/>
    <col min="17" max="17" width="11.85546875" style="35" customWidth="1"/>
    <col min="18" max="18" width="11.42578125" style="35" customWidth="1"/>
    <col min="19" max="19" width="10" style="35" customWidth="1"/>
    <col min="20" max="20" width="19" style="35" customWidth="1"/>
    <col min="21" max="21" width="10.140625" style="35" customWidth="1"/>
    <col min="22" max="22" width="10.28515625" style="35" customWidth="1"/>
    <col min="23" max="24" width="10.140625" style="35" customWidth="1"/>
    <col min="25" max="25" width="12.42578125" style="35" customWidth="1"/>
    <col min="26" max="26" width="11.140625" style="35" customWidth="1"/>
    <col min="27" max="27" width="9.140625" style="35"/>
    <col min="28" max="28" width="11.5703125" style="35" customWidth="1"/>
    <col min="29" max="32" width="9.140625" style="35"/>
    <col min="33" max="33" width="11.5703125" style="35" customWidth="1"/>
    <col min="34" max="16384" width="9.140625" style="35"/>
  </cols>
  <sheetData>
    <row r="1" spans="1:35">
      <c r="A1" s="1163" t="s">
        <v>262</v>
      </c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5" ht="15.75" thickBot="1">
      <c r="A2" s="1164"/>
      <c r="B2" s="1164"/>
      <c r="C2" s="1164"/>
      <c r="D2" s="1164"/>
      <c r="E2" s="1164"/>
      <c r="F2" s="1164"/>
      <c r="G2" s="1164"/>
      <c r="H2" s="1164"/>
      <c r="I2" s="1164"/>
      <c r="J2" s="1164"/>
      <c r="K2" s="1164"/>
      <c r="L2" s="1164"/>
      <c r="M2" s="1164"/>
      <c r="N2" s="1101"/>
      <c r="O2" s="1095"/>
      <c r="P2" s="1095"/>
      <c r="Q2" s="1095"/>
      <c r="R2" s="366"/>
      <c r="S2" s="1095"/>
      <c r="T2" s="1095"/>
      <c r="U2" s="1095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</row>
    <row r="3" spans="1:35" ht="15.75" thickTop="1">
      <c r="A3" s="1266" t="s">
        <v>317</v>
      </c>
      <c r="B3" s="1166"/>
      <c r="C3" s="1166"/>
      <c r="D3" s="1166"/>
      <c r="E3" s="1166"/>
      <c r="F3" s="1166"/>
      <c r="G3" s="1167"/>
      <c r="H3" s="1282" t="s">
        <v>316</v>
      </c>
      <c r="I3" s="1283"/>
      <c r="J3" s="1283"/>
      <c r="K3" s="1283"/>
      <c r="L3" s="1283"/>
      <c r="M3" s="1284"/>
      <c r="N3" s="1101"/>
      <c r="O3" s="366"/>
      <c r="P3" s="366"/>
      <c r="Q3" s="366"/>
      <c r="R3" s="366"/>
      <c r="S3" s="366"/>
      <c r="T3" s="366"/>
      <c r="U3" s="366"/>
      <c r="V3" s="1095"/>
      <c r="W3" s="1095"/>
      <c r="X3" s="366"/>
      <c r="Y3" s="1095"/>
      <c r="Z3" s="629"/>
      <c r="AA3" s="366"/>
      <c r="AB3" s="366"/>
      <c r="AC3" s="366"/>
      <c r="AD3" s="1095"/>
      <c r="AE3" s="604"/>
      <c r="AF3" s="366"/>
      <c r="AG3" s="366"/>
      <c r="AH3" s="366"/>
      <c r="AI3" s="366"/>
    </row>
    <row r="4" spans="1:35" ht="21.75" customHeight="1">
      <c r="A4" s="324" t="s">
        <v>2</v>
      </c>
      <c r="B4" s="1094" t="s">
        <v>34</v>
      </c>
      <c r="C4" s="36" t="s">
        <v>35</v>
      </c>
      <c r="D4" s="36" t="s">
        <v>38</v>
      </c>
      <c r="E4" s="36" t="s">
        <v>42</v>
      </c>
      <c r="F4" s="1094" t="s">
        <v>36</v>
      </c>
      <c r="G4" s="100" t="s">
        <v>173</v>
      </c>
      <c r="H4" s="676" t="s">
        <v>2</v>
      </c>
      <c r="I4" s="1285" t="s">
        <v>34</v>
      </c>
      <c r="J4" s="1285"/>
      <c r="K4" s="1097" t="s">
        <v>35</v>
      </c>
      <c r="L4" s="1286" t="s">
        <v>173</v>
      </c>
      <c r="M4" s="1287"/>
      <c r="N4" s="506"/>
      <c r="O4" s="294"/>
      <c r="P4" s="366"/>
      <c r="Q4" s="448"/>
      <c r="R4" s="448"/>
      <c r="S4" s="294"/>
      <c r="T4" s="366"/>
      <c r="U4" s="448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</row>
    <row r="5" spans="1:35" s="86" customFormat="1" ht="16.5" customHeight="1">
      <c r="A5" s="1014"/>
      <c r="B5" s="167" t="s">
        <v>334</v>
      </c>
      <c r="C5" s="1013">
        <v>75</v>
      </c>
      <c r="D5" s="1013">
        <v>75</v>
      </c>
      <c r="E5" s="966" t="str">
        <f t="shared" ref="E5:E19" si="0">IF(C5-D5=0,"",C5-D5)</f>
        <v/>
      </c>
      <c r="F5" s="167" t="str">
        <f t="shared" ref="F5:F19" si="1">IF(C5=0,"",IF(C5-D5=0,"оплачено","ОЖИДАЕТСЯ оплата"))</f>
        <v>оплачено</v>
      </c>
      <c r="G5" s="167" t="s">
        <v>452</v>
      </c>
      <c r="H5" s="678"/>
      <c r="I5" s="1288"/>
      <c r="J5" s="1289"/>
      <c r="K5" s="480"/>
      <c r="L5" s="1293"/>
      <c r="M5" s="1294"/>
      <c r="N5" s="448"/>
      <c r="O5" s="448"/>
      <c r="P5" s="366"/>
      <c r="Q5" s="448"/>
      <c r="R5" s="366"/>
      <c r="S5" s="294"/>
      <c r="T5" s="366"/>
      <c r="U5" s="448"/>
      <c r="V5" s="366"/>
      <c r="W5" s="366"/>
      <c r="X5" s="366"/>
      <c r="Y5" s="294"/>
      <c r="Z5" s="366"/>
      <c r="AA5" s="366"/>
      <c r="AB5" s="366"/>
      <c r="AC5" s="366"/>
      <c r="AD5" s="294"/>
      <c r="AE5" s="366"/>
      <c r="AF5" s="366"/>
      <c r="AG5" s="366"/>
      <c r="AH5" s="366"/>
      <c r="AI5" s="366"/>
    </row>
    <row r="6" spans="1:35" s="86" customFormat="1">
      <c r="A6" s="325"/>
      <c r="B6" s="161" t="s">
        <v>437</v>
      </c>
      <c r="C6" s="275">
        <v>485.33</v>
      </c>
      <c r="D6" s="275">
        <v>485.33</v>
      </c>
      <c r="E6" s="634" t="str">
        <f t="shared" si="0"/>
        <v/>
      </c>
      <c r="F6" s="161" t="str">
        <f t="shared" si="1"/>
        <v>оплачено</v>
      </c>
      <c r="G6" s="161"/>
      <c r="H6" s="678"/>
      <c r="I6" s="1288"/>
      <c r="J6" s="1289"/>
      <c r="K6" s="480"/>
      <c r="L6" s="1293"/>
      <c r="M6" s="1294"/>
      <c r="N6" s="366"/>
      <c r="O6" s="448"/>
      <c r="P6" s="366"/>
      <c r="Q6" s="448"/>
      <c r="R6" s="366"/>
      <c r="S6" s="294"/>
      <c r="T6" s="366"/>
      <c r="U6" s="448"/>
      <c r="V6" s="366"/>
      <c r="W6" s="366"/>
      <c r="X6" s="366"/>
      <c r="Y6" s="294"/>
      <c r="Z6" s="366"/>
      <c r="AA6" s="366"/>
      <c r="AB6" s="366"/>
      <c r="AC6" s="366"/>
      <c r="AD6" s="294"/>
      <c r="AE6" s="366"/>
      <c r="AF6" s="1204"/>
      <c r="AG6" s="1204"/>
      <c r="AH6" s="366"/>
      <c r="AI6" s="366"/>
    </row>
    <row r="7" spans="1:35" s="86" customFormat="1">
      <c r="A7" s="325"/>
      <c r="B7" s="161" t="s">
        <v>439</v>
      </c>
      <c r="C7" s="275">
        <v>563.28</v>
      </c>
      <c r="D7" s="275">
        <v>563.28</v>
      </c>
      <c r="E7" s="542" t="str">
        <f t="shared" si="0"/>
        <v/>
      </c>
      <c r="F7" s="162" t="str">
        <f t="shared" si="1"/>
        <v>оплачено</v>
      </c>
      <c r="G7" s="161"/>
      <c r="H7" s="678"/>
      <c r="I7" s="1288"/>
      <c r="J7" s="1289"/>
      <c r="K7" s="480"/>
      <c r="L7" s="1290"/>
      <c r="M7" s="1291"/>
      <c r="N7" s="366"/>
      <c r="O7" s="448"/>
      <c r="P7" s="366"/>
      <c r="Q7" s="448"/>
      <c r="R7" s="366"/>
      <c r="S7" s="294"/>
      <c r="T7" s="366"/>
      <c r="U7" s="448"/>
      <c r="V7" s="366"/>
      <c r="W7" s="366"/>
      <c r="X7" s="366"/>
      <c r="Y7" s="294"/>
      <c r="Z7" s="366"/>
      <c r="AA7" s="366"/>
      <c r="AB7" s="366"/>
      <c r="AC7" s="366"/>
      <c r="AD7" s="294"/>
      <c r="AE7" s="366"/>
      <c r="AF7" s="1204"/>
      <c r="AG7" s="1204"/>
      <c r="AH7" s="366"/>
      <c r="AI7" s="366"/>
    </row>
    <row r="8" spans="1:35" s="86" customFormat="1">
      <c r="A8" s="325"/>
      <c r="B8" s="161" t="s">
        <v>415</v>
      </c>
      <c r="C8" s="275">
        <v>385.15</v>
      </c>
      <c r="D8" s="275">
        <v>385.15</v>
      </c>
      <c r="E8" s="542" t="str">
        <f t="shared" si="0"/>
        <v/>
      </c>
      <c r="F8" s="162" t="str">
        <f t="shared" si="1"/>
        <v>оплачено</v>
      </c>
      <c r="G8" s="161"/>
      <c r="H8" s="678"/>
      <c r="I8" s="1288"/>
      <c r="J8" s="1289"/>
      <c r="K8" s="480"/>
      <c r="L8" s="1290"/>
      <c r="M8" s="1291"/>
      <c r="N8" s="366"/>
      <c r="O8" s="448"/>
      <c r="P8" s="366"/>
      <c r="Q8" s="627"/>
      <c r="R8" s="366"/>
      <c r="S8" s="294"/>
      <c r="T8" s="366"/>
      <c r="U8" s="448"/>
      <c r="V8" s="366"/>
      <c r="W8" s="366"/>
      <c r="X8" s="366"/>
      <c r="Y8" s="294"/>
      <c r="Z8" s="366"/>
      <c r="AA8" s="366"/>
      <c r="AB8" s="366"/>
      <c r="AC8" s="366"/>
      <c r="AD8" s="294"/>
      <c r="AE8" s="366"/>
      <c r="AF8" s="366"/>
      <c r="AG8" s="366"/>
      <c r="AH8" s="366"/>
      <c r="AI8" s="366"/>
    </row>
    <row r="9" spans="1:35" s="86" customFormat="1" ht="15" customHeight="1">
      <c r="A9" s="325" t="s">
        <v>219</v>
      </c>
      <c r="B9" s="161" t="s">
        <v>415</v>
      </c>
      <c r="C9" s="275">
        <v>470.66</v>
      </c>
      <c r="D9" s="275">
        <v>470.66</v>
      </c>
      <c r="E9" s="634" t="str">
        <f t="shared" si="0"/>
        <v/>
      </c>
      <c r="F9" s="161" t="str">
        <f t="shared" si="1"/>
        <v>оплачено</v>
      </c>
      <c r="G9" s="161" t="s">
        <v>451</v>
      </c>
      <c r="H9" s="678"/>
      <c r="I9" s="1288"/>
      <c r="J9" s="1289"/>
      <c r="K9" s="480"/>
      <c r="L9" s="1290"/>
      <c r="M9" s="1291"/>
      <c r="N9" s="1012"/>
      <c r="O9" s="448"/>
      <c r="P9" s="366"/>
      <c r="Q9" s="448"/>
      <c r="R9" s="366"/>
      <c r="S9" s="294"/>
      <c r="T9" s="366"/>
      <c r="U9" s="448"/>
      <c r="V9" s="366"/>
      <c r="W9" s="366"/>
      <c r="X9" s="366"/>
      <c r="Y9" s="294"/>
      <c r="Z9" s="366"/>
      <c r="AA9" s="366"/>
      <c r="AB9" s="366"/>
      <c r="AC9" s="366"/>
      <c r="AD9" s="294"/>
      <c r="AE9" s="366"/>
      <c r="AF9" s="366"/>
      <c r="AG9" s="366"/>
      <c r="AH9" s="366"/>
      <c r="AI9" s="366"/>
    </row>
    <row r="10" spans="1:35" s="86" customFormat="1" ht="15.75" customHeight="1">
      <c r="A10" s="325">
        <v>44273</v>
      </c>
      <c r="B10" s="161" t="s">
        <v>439</v>
      </c>
      <c r="C10" s="275">
        <v>357.6</v>
      </c>
      <c r="D10" s="275">
        <v>357.6</v>
      </c>
      <c r="E10" s="634" t="str">
        <f t="shared" si="0"/>
        <v/>
      </c>
      <c r="F10" s="161" t="str">
        <f t="shared" si="1"/>
        <v>оплачено</v>
      </c>
      <c r="G10" s="161"/>
      <c r="H10" s="678"/>
      <c r="I10" s="1288"/>
      <c r="J10" s="1289"/>
      <c r="K10" s="480"/>
      <c r="L10" s="1290"/>
      <c r="M10" s="1291"/>
      <c r="N10" s="766"/>
      <c r="O10" s="447"/>
      <c r="P10" s="366"/>
      <c r="Q10" s="448"/>
      <c r="R10" s="366"/>
      <c r="S10" s="294"/>
      <c r="T10" s="366"/>
      <c r="U10" s="448"/>
      <c r="V10" s="366"/>
      <c r="W10" s="366"/>
      <c r="X10" s="366"/>
      <c r="Y10" s="294"/>
      <c r="Z10" s="366"/>
      <c r="AA10" s="366"/>
      <c r="AB10" s="366"/>
      <c r="AC10" s="366"/>
      <c r="AD10" s="294"/>
      <c r="AE10" s="366"/>
      <c r="AF10" s="366"/>
      <c r="AG10" s="366"/>
      <c r="AH10" s="366"/>
      <c r="AI10" s="366"/>
    </row>
    <row r="11" spans="1:35" s="86" customFormat="1" ht="15.75" customHeight="1">
      <c r="A11" s="325">
        <v>44273</v>
      </c>
      <c r="B11" s="161" t="s">
        <v>415</v>
      </c>
      <c r="C11" s="275">
        <v>72.2</v>
      </c>
      <c r="D11" s="275">
        <v>72.2</v>
      </c>
      <c r="E11" s="634" t="str">
        <f t="shared" si="0"/>
        <v/>
      </c>
      <c r="F11" s="161" t="str">
        <f t="shared" si="1"/>
        <v>оплачено</v>
      </c>
      <c r="G11" s="161"/>
      <c r="H11" s="678"/>
      <c r="I11" s="1288"/>
      <c r="J11" s="1289"/>
      <c r="K11" s="480"/>
      <c r="L11" s="1290"/>
      <c r="M11" s="1291"/>
      <c r="N11" s="766"/>
      <c r="O11" s="447"/>
      <c r="P11" s="366"/>
      <c r="Q11" s="448"/>
      <c r="R11" s="366"/>
      <c r="S11" s="745"/>
      <c r="T11" s="366"/>
      <c r="U11" s="448"/>
      <c r="V11" s="366"/>
      <c r="W11" s="366"/>
      <c r="X11" s="366"/>
      <c r="Y11" s="294"/>
      <c r="Z11" s="366"/>
      <c r="AA11" s="366"/>
      <c r="AB11" s="366"/>
      <c r="AC11" s="366"/>
      <c r="AD11" s="294"/>
      <c r="AE11" s="366"/>
      <c r="AF11" s="366"/>
      <c r="AG11" s="366"/>
      <c r="AH11" s="366"/>
      <c r="AI11" s="366"/>
    </row>
    <row r="12" spans="1:35" s="86" customFormat="1" ht="14.25" customHeight="1">
      <c r="A12" s="325">
        <v>44265</v>
      </c>
      <c r="B12" s="161" t="s">
        <v>415</v>
      </c>
      <c r="C12" s="275">
        <v>273</v>
      </c>
      <c r="D12" s="275">
        <v>273</v>
      </c>
      <c r="E12" s="634" t="str">
        <f t="shared" si="0"/>
        <v/>
      </c>
      <c r="F12" s="161" t="str">
        <f t="shared" si="1"/>
        <v>оплачено</v>
      </c>
      <c r="G12" s="161"/>
      <c r="H12" s="678"/>
      <c r="I12" s="1288"/>
      <c r="J12" s="1289"/>
      <c r="K12" s="480"/>
      <c r="L12" s="1290"/>
      <c r="M12" s="1291"/>
      <c r="N12" s="766"/>
      <c r="O12" s="1042"/>
      <c r="P12" s="366"/>
      <c r="Q12" s="448"/>
      <c r="R12" s="366"/>
      <c r="S12" s="366"/>
      <c r="T12" s="366"/>
      <c r="U12" s="448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</row>
    <row r="13" spans="1:35">
      <c r="A13" s="325">
        <v>44256</v>
      </c>
      <c r="B13" s="161" t="s">
        <v>440</v>
      </c>
      <c r="C13" s="275">
        <v>717.26</v>
      </c>
      <c r="D13" s="275">
        <v>717.26</v>
      </c>
      <c r="E13" s="542" t="str">
        <f t="shared" si="0"/>
        <v/>
      </c>
      <c r="F13" s="162" t="str">
        <f t="shared" si="1"/>
        <v>оплачено</v>
      </c>
      <c r="G13" s="161" t="s">
        <v>219</v>
      </c>
      <c r="H13" s="678"/>
      <c r="I13" s="1288"/>
      <c r="J13" s="1289"/>
      <c r="K13" s="480"/>
      <c r="L13" s="1191"/>
      <c r="M13" s="1292"/>
      <c r="N13" s="766"/>
      <c r="O13" s="936"/>
      <c r="P13" s="366"/>
      <c r="Q13" s="448"/>
      <c r="R13" s="366"/>
      <c r="S13" s="366"/>
      <c r="T13" s="366"/>
      <c r="U13" s="145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</row>
    <row r="14" spans="1:35" ht="14.25" customHeight="1">
      <c r="A14" s="325"/>
      <c r="B14" s="161"/>
      <c r="C14" s="275"/>
      <c r="D14" s="275"/>
      <c r="E14" s="542" t="str">
        <f>IF(C14-D14=0,"",C14-D14)</f>
        <v/>
      </c>
      <c r="F14" s="162" t="str">
        <f t="shared" si="1"/>
        <v/>
      </c>
      <c r="G14" s="162"/>
      <c r="H14" s="678"/>
      <c r="I14" s="1288"/>
      <c r="J14" s="1289"/>
      <c r="K14" s="480"/>
      <c r="L14" s="1191"/>
      <c r="M14" s="1292"/>
      <c r="N14" s="766"/>
      <c r="O14" s="935"/>
      <c r="P14" s="366"/>
      <c r="Q14" s="448"/>
      <c r="R14" s="366"/>
      <c r="S14" s="366"/>
      <c r="T14" s="366"/>
      <c r="U14" s="448"/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</row>
    <row r="15" spans="1:35">
      <c r="A15" s="325"/>
      <c r="B15" s="161"/>
      <c r="C15" s="275"/>
      <c r="D15" s="275"/>
      <c r="E15" s="542" t="str">
        <f t="shared" si="0"/>
        <v/>
      </c>
      <c r="F15" s="162" t="str">
        <f t="shared" si="1"/>
        <v/>
      </c>
      <c r="G15" s="162"/>
      <c r="H15" s="678"/>
      <c r="I15" s="1288"/>
      <c r="J15" s="1289"/>
      <c r="K15" s="480"/>
      <c r="L15" s="1191"/>
      <c r="M15" s="1292"/>
      <c r="N15" s="295"/>
      <c r="O15" s="1106"/>
      <c r="P15" s="366"/>
      <c r="Q15" s="366"/>
      <c r="R15" s="366"/>
      <c r="S15" s="366"/>
      <c r="T15" s="366"/>
      <c r="U15" s="448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</row>
    <row r="16" spans="1:35">
      <c r="A16" s="325"/>
      <c r="B16" s="161"/>
      <c r="C16" s="275"/>
      <c r="D16" s="275"/>
      <c r="E16" s="542" t="str">
        <f t="shared" si="0"/>
        <v/>
      </c>
      <c r="F16" s="162" t="str">
        <f t="shared" si="1"/>
        <v/>
      </c>
      <c r="G16" s="162"/>
      <c r="H16" s="678"/>
      <c r="I16" s="1288"/>
      <c r="J16" s="1289"/>
      <c r="K16" s="480"/>
      <c r="L16" s="1191"/>
      <c r="M16" s="1292"/>
      <c r="N16" s="295"/>
      <c r="O16" s="447"/>
      <c r="P16" s="366"/>
      <c r="Q16" s="366"/>
      <c r="R16" s="366"/>
      <c r="S16" s="366"/>
      <c r="T16" s="366"/>
      <c r="U16" s="448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</row>
    <row r="17" spans="1:35" ht="15.75" customHeight="1">
      <c r="A17" s="325"/>
      <c r="B17" s="161"/>
      <c r="C17" s="275"/>
      <c r="D17" s="275"/>
      <c r="E17" s="542" t="str">
        <f t="shared" si="0"/>
        <v/>
      </c>
      <c r="F17" s="162" t="str">
        <f t="shared" si="1"/>
        <v/>
      </c>
      <c r="G17" s="162"/>
      <c r="H17" s="678"/>
      <c r="I17" s="1288"/>
      <c r="J17" s="1289"/>
      <c r="K17" s="480"/>
      <c r="L17" s="1191"/>
      <c r="M17" s="1292"/>
      <c r="N17" s="295"/>
      <c r="O17" s="447"/>
      <c r="P17" s="366"/>
      <c r="Q17" s="366"/>
      <c r="R17" s="366"/>
      <c r="S17" s="366"/>
      <c r="T17" s="366"/>
      <c r="U17" s="448"/>
      <c r="V17" s="366"/>
      <c r="W17" s="366"/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</row>
    <row r="18" spans="1:35">
      <c r="A18" s="325"/>
      <c r="B18" s="161"/>
      <c r="C18" s="275"/>
      <c r="D18" s="275"/>
      <c r="E18" s="542" t="str">
        <f t="shared" si="0"/>
        <v/>
      </c>
      <c r="F18" s="162" t="str">
        <f t="shared" si="1"/>
        <v/>
      </c>
      <c r="G18" s="162"/>
      <c r="H18" s="678"/>
      <c r="I18" s="1288"/>
      <c r="J18" s="1289"/>
      <c r="K18" s="480"/>
      <c r="L18" s="1191"/>
      <c r="M18" s="1292"/>
      <c r="N18" s="295"/>
      <c r="O18" s="447"/>
      <c r="P18" s="366"/>
      <c r="Q18" s="199"/>
      <c r="R18" s="366"/>
      <c r="S18" s="366"/>
      <c r="T18" s="366"/>
      <c r="U18" s="448"/>
      <c r="V18" s="366"/>
      <c r="W18" s="366"/>
      <c r="X18" s="366"/>
      <c r="Y18" s="366"/>
      <c r="Z18" s="366"/>
      <c r="AA18" s="366"/>
      <c r="AB18" s="366"/>
      <c r="AC18" s="366"/>
      <c r="AD18" s="366"/>
      <c r="AE18" s="366"/>
      <c r="AF18" s="366"/>
      <c r="AG18" s="366"/>
      <c r="AH18" s="366"/>
      <c r="AI18" s="366"/>
    </row>
    <row r="19" spans="1:35">
      <c r="A19" s="325"/>
      <c r="B19" s="161"/>
      <c r="C19" s="275"/>
      <c r="D19" s="275"/>
      <c r="E19" s="542" t="str">
        <f t="shared" si="0"/>
        <v/>
      </c>
      <c r="F19" s="162" t="str">
        <f t="shared" si="1"/>
        <v/>
      </c>
      <c r="G19" s="162"/>
      <c r="H19" s="678"/>
      <c r="I19" s="1288"/>
      <c r="J19" s="1289"/>
      <c r="K19" s="480"/>
      <c r="L19" s="1191"/>
      <c r="M19" s="1292"/>
      <c r="N19" s="150"/>
      <c r="O19" s="447"/>
      <c r="P19" s="448"/>
      <c r="Q19" s="366"/>
      <c r="R19" s="366"/>
      <c r="S19" s="366"/>
      <c r="T19" s="366"/>
      <c r="U19" s="448"/>
      <c r="V19" s="366"/>
      <c r="W19" s="366"/>
      <c r="X19" s="366"/>
      <c r="Y19" s="366"/>
      <c r="Z19" s="366"/>
      <c r="AA19" s="366"/>
      <c r="AB19" s="366"/>
      <c r="AC19" s="366"/>
      <c r="AD19" s="366"/>
      <c r="AE19" s="366"/>
      <c r="AF19" s="366"/>
      <c r="AG19" s="366"/>
      <c r="AH19" s="366"/>
      <c r="AI19" s="366"/>
    </row>
    <row r="20" spans="1:35" ht="15.75" thickBot="1">
      <c r="A20" s="1272" t="s">
        <v>259</v>
      </c>
      <c r="B20" s="1273"/>
      <c r="C20" s="358">
        <f>SUM(C5:C19)</f>
        <v>3399.4799999999996</v>
      </c>
      <c r="D20" s="358"/>
      <c r="E20" s="160">
        <f>SUM(E5:E19)</f>
        <v>0</v>
      </c>
      <c r="F20" s="162"/>
      <c r="G20" s="450"/>
      <c r="H20" s="1295" t="s">
        <v>259</v>
      </c>
      <c r="I20" s="1296"/>
      <c r="J20" s="1297"/>
      <c r="K20" s="677">
        <f>SUM(K5:K19)</f>
        <v>0</v>
      </c>
      <c r="L20" s="1298"/>
      <c r="M20" s="1299"/>
      <c r="N20" s="150"/>
      <c r="O20" s="447"/>
      <c r="P20" s="448"/>
      <c r="Q20" s="366"/>
      <c r="R20" s="366"/>
      <c r="S20" s="366"/>
      <c r="T20" s="366"/>
      <c r="U20" s="448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  <c r="AG20" s="366"/>
      <c r="AH20" s="366"/>
      <c r="AI20" s="366"/>
    </row>
    <row r="21" spans="1:35" ht="15.75" thickTop="1">
      <c r="A21" s="351"/>
      <c r="B21" s="352"/>
      <c r="C21" s="353"/>
      <c r="D21" s="353"/>
      <c r="E21" s="354"/>
      <c r="F21" s="352"/>
      <c r="G21" s="376"/>
      <c r="H21" s="1171" t="s">
        <v>16</v>
      </c>
      <c r="I21" s="1173" t="s">
        <v>17</v>
      </c>
      <c r="J21" s="1173" t="s">
        <v>21</v>
      </c>
      <c r="K21" s="1173"/>
      <c r="L21" s="1175" t="s">
        <v>93</v>
      </c>
      <c r="M21" s="1177" t="s">
        <v>95</v>
      </c>
      <c r="N21" s="1"/>
      <c r="O21" s="447"/>
      <c r="P21" s="366"/>
      <c r="Q21" s="366"/>
      <c r="R21" s="366"/>
      <c r="S21" s="366"/>
      <c r="T21" s="366"/>
      <c r="U21" s="448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  <c r="AG21" s="366"/>
      <c r="AH21" s="366"/>
      <c r="AI21" s="366"/>
    </row>
    <row r="22" spans="1:35" ht="24">
      <c r="A22" s="355"/>
      <c r="B22" s="201"/>
      <c r="C22" s="201"/>
      <c r="D22" s="201"/>
      <c r="E22" s="216"/>
      <c r="F22" s="201"/>
      <c r="G22" s="201"/>
      <c r="H22" s="1172"/>
      <c r="I22" s="1174"/>
      <c r="J22" s="1098" t="s">
        <v>21</v>
      </c>
      <c r="K22" s="1098" t="s">
        <v>25</v>
      </c>
      <c r="L22" s="1176"/>
      <c r="M22" s="1178"/>
      <c r="N22" s="1"/>
      <c r="O22" s="447"/>
      <c r="P22" s="84"/>
      <c r="Q22" s="366"/>
      <c r="R22" s="366"/>
      <c r="S22" s="366"/>
      <c r="T22" s="366"/>
      <c r="U22" s="366"/>
      <c r="V22" s="86"/>
      <c r="W22" s="86"/>
      <c r="X22" s="86"/>
    </row>
    <row r="23" spans="1:35">
      <c r="A23" s="339"/>
      <c r="B23" s="1"/>
      <c r="C23" s="284"/>
      <c r="D23" s="273"/>
      <c r="E23" s="366"/>
      <c r="F23" s="366"/>
      <c r="G23" s="84"/>
      <c r="H23" s="347" t="s">
        <v>148</v>
      </c>
      <c r="I23" s="299">
        <v>30955.479999999996</v>
      </c>
      <c r="J23" s="300">
        <v>3184.46</v>
      </c>
      <c r="K23" s="300">
        <v>1035.6600000000001</v>
      </c>
      <c r="L23" s="299">
        <v>59195.5</v>
      </c>
      <c r="M23" s="104">
        <f>83639.33-I23-J23-K23+L23</f>
        <v>107659.23000000001</v>
      </c>
      <c r="N23" s="1"/>
      <c r="O23" s="447"/>
      <c r="P23" s="84"/>
      <c r="Q23" s="366"/>
      <c r="R23" s="84"/>
      <c r="S23" s="541"/>
      <c r="T23" s="86"/>
      <c r="U23" s="366"/>
      <c r="V23" s="86"/>
      <c r="W23" s="86"/>
      <c r="X23" s="86"/>
      <c r="Z23" s="1"/>
    </row>
    <row r="24" spans="1:35">
      <c r="A24" s="339"/>
      <c r="B24" s="199"/>
      <c r="C24" s="1"/>
      <c r="D24" s="273"/>
      <c r="E24" s="366"/>
      <c r="F24" s="366"/>
      <c r="G24" s="366"/>
      <c r="H24" s="348" t="s">
        <v>162</v>
      </c>
      <c r="I24" s="300">
        <v>31239.439999999995</v>
      </c>
      <c r="J24" s="299">
        <v>2443.4</v>
      </c>
      <c r="K24" s="300">
        <v>1496.52</v>
      </c>
      <c r="L24" s="299">
        <v>40132</v>
      </c>
      <c r="M24" s="104">
        <f t="shared" ref="M24:M29" si="2">M23-I24-J24-K24+L24</f>
        <v>112611.87000000001</v>
      </c>
      <c r="N24" s="1"/>
      <c r="O24" s="447"/>
      <c r="P24" s="366"/>
      <c r="Q24" s="145"/>
      <c r="R24" s="84"/>
      <c r="S24" s="541"/>
      <c r="T24" s="86"/>
      <c r="U24" s="366"/>
      <c r="V24" s="86"/>
      <c r="W24" s="86"/>
      <c r="X24" s="86"/>
      <c r="Z24" s="1"/>
    </row>
    <row r="25" spans="1:35">
      <c r="A25" s="339"/>
      <c r="B25" s="199"/>
      <c r="C25" s="1"/>
      <c r="D25" s="273"/>
      <c r="E25" s="366"/>
      <c r="F25" s="366"/>
      <c r="G25" s="366"/>
      <c r="H25" s="379" t="s">
        <v>163</v>
      </c>
      <c r="I25" s="380">
        <v>28986.99</v>
      </c>
      <c r="J25" s="432">
        <v>6271.4999999999991</v>
      </c>
      <c r="K25" s="433">
        <v>1046.56</v>
      </c>
      <c r="L25" s="433">
        <v>22678.1</v>
      </c>
      <c r="M25" s="104">
        <f t="shared" si="2"/>
        <v>98984.920000000013</v>
      </c>
      <c r="N25" s="1"/>
      <c r="O25" s="447"/>
      <c r="P25" s="84"/>
      <c r="Q25" s="145"/>
      <c r="R25" s="84"/>
      <c r="S25" s="541"/>
      <c r="T25" s="86"/>
      <c r="U25" s="86"/>
      <c r="V25" s="86"/>
      <c r="W25" s="86"/>
      <c r="X25" s="86"/>
      <c r="Z25" s="1"/>
    </row>
    <row r="26" spans="1:35">
      <c r="A26" s="339"/>
      <c r="B26" s="199"/>
      <c r="C26" s="1"/>
      <c r="D26" s="273"/>
      <c r="E26" s="366"/>
      <c r="F26" s="366"/>
      <c r="G26" s="366"/>
      <c r="H26" s="379" t="s">
        <v>192</v>
      </c>
      <c r="I26" s="380">
        <v>31654.69</v>
      </c>
      <c r="J26" s="432">
        <v>7124.02</v>
      </c>
      <c r="K26" s="433">
        <v>1268.5600000000002</v>
      </c>
      <c r="L26" s="433">
        <v>32888</v>
      </c>
      <c r="M26" s="104">
        <f t="shared" si="2"/>
        <v>91825.650000000009</v>
      </c>
      <c r="N26" s="1"/>
      <c r="O26" s="447"/>
      <c r="P26" s="84"/>
      <c r="Q26" s="145"/>
      <c r="R26" s="84"/>
      <c r="S26" s="541"/>
      <c r="T26" s="86"/>
      <c r="U26" s="86"/>
      <c r="V26" s="86"/>
      <c r="W26" s="86"/>
      <c r="X26" s="86"/>
      <c r="Z26" s="366"/>
    </row>
    <row r="27" spans="1:35">
      <c r="A27" s="339"/>
      <c r="B27" s="199"/>
      <c r="C27" s="1"/>
      <c r="D27" s="273"/>
      <c r="E27" s="366"/>
      <c r="F27" s="366"/>
      <c r="G27" s="366"/>
      <c r="H27" s="379" t="s">
        <v>199</v>
      </c>
      <c r="I27" s="380">
        <v>28891.4</v>
      </c>
      <c r="J27" s="432">
        <v>8339.34</v>
      </c>
      <c r="K27" s="433">
        <v>1310.53</v>
      </c>
      <c r="L27" s="433">
        <v>36419</v>
      </c>
      <c r="M27" s="104">
        <f t="shared" si="2"/>
        <v>89703.38</v>
      </c>
      <c r="N27" s="1"/>
      <c r="O27" s="447"/>
      <c r="P27" s="84"/>
      <c r="Q27" s="145"/>
      <c r="R27" s="84"/>
      <c r="S27" s="541"/>
      <c r="T27" s="86"/>
      <c r="U27" s="86"/>
      <c r="V27" s="86"/>
      <c r="W27" s="86"/>
      <c r="X27" s="86"/>
      <c r="Z27" s="366"/>
    </row>
    <row r="28" spans="1:35" ht="12.75" customHeight="1">
      <c r="A28" s="339"/>
      <c r="B28" s="199"/>
      <c r="C28" s="1"/>
      <c r="D28" s="273"/>
      <c r="E28" s="366"/>
      <c r="F28" s="366"/>
      <c r="G28" s="366"/>
      <c r="H28" s="347" t="s">
        <v>209</v>
      </c>
      <c r="I28" s="297">
        <v>28339.37</v>
      </c>
      <c r="J28" s="438">
        <v>1758.9</v>
      </c>
      <c r="K28" s="606">
        <v>1141.96</v>
      </c>
      <c r="L28" s="606">
        <v>35862.5</v>
      </c>
      <c r="M28" s="104">
        <f t="shared" si="2"/>
        <v>94325.650000000009</v>
      </c>
      <c r="N28" s="1"/>
      <c r="O28" s="447"/>
      <c r="P28" s="84"/>
      <c r="Q28" s="145"/>
      <c r="R28" s="84"/>
      <c r="S28" s="541"/>
      <c r="T28" s="86"/>
      <c r="U28" s="86"/>
      <c r="V28" s="86"/>
      <c r="W28" s="86"/>
      <c r="X28" s="86"/>
      <c r="Y28" s="366"/>
      <c r="Z28" s="366"/>
    </row>
    <row r="29" spans="1:35" ht="12.75" customHeight="1">
      <c r="A29" s="339"/>
      <c r="B29" s="199"/>
      <c r="C29" s="1"/>
      <c r="D29" s="273"/>
      <c r="E29" s="366"/>
      <c r="F29" s="366"/>
      <c r="G29" s="366"/>
      <c r="H29" s="347" t="s">
        <v>210</v>
      </c>
      <c r="I29" s="380">
        <v>28933.9</v>
      </c>
      <c r="J29" s="432">
        <v>954.3</v>
      </c>
      <c r="K29" s="734">
        <v>1267.8599999999999</v>
      </c>
      <c r="L29" s="734">
        <v>22833.599999999999</v>
      </c>
      <c r="M29" s="104">
        <f t="shared" si="2"/>
        <v>86003.19</v>
      </c>
      <c r="N29" s="1"/>
      <c r="O29" s="447"/>
      <c r="P29" s="84"/>
      <c r="Q29" s="145"/>
      <c r="R29" s="84"/>
      <c r="S29" s="541"/>
      <c r="T29" s="86"/>
      <c r="U29" s="86"/>
      <c r="V29" s="86"/>
      <c r="W29" s="86"/>
      <c r="X29" s="86"/>
      <c r="Y29" s="366"/>
      <c r="Z29" s="366"/>
    </row>
    <row r="30" spans="1:35" ht="12.75" customHeight="1">
      <c r="A30" s="339"/>
      <c r="B30" s="199"/>
      <c r="C30" s="1"/>
      <c r="D30" s="273"/>
      <c r="E30" s="366"/>
      <c r="F30" s="366"/>
      <c r="G30" s="366"/>
      <c r="H30" s="732" t="s">
        <v>211</v>
      </c>
      <c r="I30" s="689">
        <v>23375.089999999997</v>
      </c>
      <c r="J30" s="438">
        <f>2414.8+6115</f>
        <v>8529.7999999999993</v>
      </c>
      <c r="K30" s="607">
        <v>977.16000000000008</v>
      </c>
      <c r="L30" s="607">
        <v>16277.199999999999</v>
      </c>
      <c r="M30" s="733">
        <v>70105.570000000007</v>
      </c>
      <c r="N30" s="1"/>
      <c r="O30" s="447"/>
      <c r="P30" s="84"/>
      <c r="Q30" s="145"/>
      <c r="R30" s="84"/>
      <c r="S30" s="541"/>
      <c r="T30" s="86"/>
      <c r="U30" s="86"/>
      <c r="V30" s="86"/>
      <c r="W30" s="86"/>
      <c r="X30" s="86"/>
      <c r="Y30" s="366"/>
      <c r="Z30" s="366"/>
    </row>
    <row r="31" spans="1:35" ht="12.75" customHeight="1">
      <c r="A31" s="339"/>
      <c r="B31" s="199"/>
      <c r="C31" s="1"/>
      <c r="D31" s="273"/>
      <c r="E31" s="366"/>
      <c r="F31" s="366"/>
      <c r="G31" s="366"/>
      <c r="H31" s="347" t="s">
        <v>9</v>
      </c>
      <c r="I31" s="689">
        <v>22761.37</v>
      </c>
      <c r="J31" s="438">
        <f>116.9+42+40.8+6+67.5+160+87+4.9+69+6+31.5+264.5+501.5+19+1.4+367.5</f>
        <v>1785.5</v>
      </c>
      <c r="K31" s="607">
        <f>515+347.7+121.5+12.5</f>
        <v>996.7</v>
      </c>
      <c r="L31" s="607">
        <v>30847</v>
      </c>
      <c r="M31" s="733">
        <f t="shared" ref="M31:M35" si="3">M30-I31-J31-K31+L31</f>
        <v>75409.000000000015</v>
      </c>
      <c r="N31" s="1"/>
      <c r="O31" s="447"/>
      <c r="P31" s="84"/>
      <c r="Q31" s="145"/>
      <c r="R31" s="84"/>
      <c r="S31" s="541"/>
      <c r="T31" s="86"/>
      <c r="U31" s="86"/>
      <c r="V31" s="86"/>
      <c r="W31" s="86"/>
      <c r="X31" s="86"/>
      <c r="Y31" s="366"/>
      <c r="Z31" s="366"/>
    </row>
    <row r="32" spans="1:35" ht="12.75" customHeight="1">
      <c r="A32" s="339"/>
      <c r="B32" s="199"/>
      <c r="C32" s="1"/>
      <c r="D32" s="273"/>
      <c r="E32" s="366"/>
      <c r="F32" s="366"/>
      <c r="G32" s="366"/>
      <c r="H32" s="347" t="s">
        <v>18</v>
      </c>
      <c r="I32" s="689">
        <v>23251.61</v>
      </c>
      <c r="J32" s="438">
        <v>3103.5</v>
      </c>
      <c r="K32" s="607">
        <v>1099.29</v>
      </c>
      <c r="L32" s="607">
        <v>20113.5</v>
      </c>
      <c r="M32" s="104">
        <f t="shared" si="3"/>
        <v>68068.100000000006</v>
      </c>
      <c r="N32" s="1"/>
      <c r="O32" s="447"/>
      <c r="P32" s="84"/>
      <c r="Q32" s="145"/>
      <c r="R32" s="84"/>
      <c r="S32" s="541"/>
      <c r="T32" s="86"/>
      <c r="U32" s="86"/>
      <c r="V32" s="86"/>
      <c r="W32" s="86"/>
      <c r="X32" s="86"/>
      <c r="Y32" s="366"/>
      <c r="Z32" s="366"/>
    </row>
    <row r="33" spans="1:26" ht="12.75" customHeight="1">
      <c r="A33" s="339"/>
      <c r="B33" s="199"/>
      <c r="C33" s="1"/>
      <c r="D33" s="273"/>
      <c r="E33" s="366"/>
      <c r="F33" s="366"/>
      <c r="G33" s="366"/>
      <c r="H33" s="347" t="s">
        <v>19</v>
      </c>
      <c r="I33" s="689">
        <v>30633.54</v>
      </c>
      <c r="J33" s="438">
        <f>683.5+334+464+170+683+481.8+6+10.7+13.8+41+118+117+465+44+368+1461+19</f>
        <v>5479.8</v>
      </c>
      <c r="K33" s="607">
        <f>689.7-8.2+443.53+123.5</f>
        <v>1248.53</v>
      </c>
      <c r="L33" s="607">
        <f>3415+3104+1150+110+686+349+240+4147+832+143+14+35+229.3+405+795+50+78+216+90+880+333+402+165+132+723.5+865+389+1295+4036+112+5+243+1450+2280+195+374.5+2153+1258+713+1432.5+210+160+1560+35+657+272</f>
        <v>38418.800000000003</v>
      </c>
      <c r="M33" s="733">
        <f t="shared" si="3"/>
        <v>69125.030000000013</v>
      </c>
      <c r="N33" s="1"/>
      <c r="O33" s="12"/>
      <c r="P33" s="84"/>
      <c r="Q33" s="145"/>
      <c r="R33" s="84"/>
      <c r="S33" s="541"/>
      <c r="T33" s="86"/>
      <c r="U33" s="86"/>
      <c r="V33" s="86"/>
      <c r="W33" s="86"/>
      <c r="X33" s="86"/>
      <c r="Y33" s="366"/>
      <c r="Z33" s="366"/>
    </row>
    <row r="34" spans="1:26" ht="12.75" customHeight="1">
      <c r="A34" s="339"/>
      <c r="B34" s="199"/>
      <c r="C34" s="1"/>
      <c r="D34" s="273"/>
      <c r="E34" s="366"/>
      <c r="F34" s="366"/>
      <c r="G34" s="366"/>
      <c r="H34" s="347" t="s">
        <v>20</v>
      </c>
      <c r="I34" s="689">
        <v>28716.309999999994</v>
      </c>
      <c r="J34" s="438">
        <v>4480.1000000000004</v>
      </c>
      <c r="K34" s="607">
        <f>741.01+462.85</f>
        <v>1203.8600000000001</v>
      </c>
      <c r="L34" s="607">
        <v>40057.5</v>
      </c>
      <c r="M34" s="104">
        <f t="shared" si="3"/>
        <v>74782.260000000009</v>
      </c>
      <c r="N34" s="1"/>
      <c r="O34" s="447"/>
      <c r="P34" s="84"/>
      <c r="Q34" s="145"/>
      <c r="R34" s="84"/>
      <c r="S34" s="541"/>
      <c r="T34" s="86"/>
      <c r="U34" s="86"/>
      <c r="V34" s="86"/>
      <c r="W34" s="86"/>
      <c r="X34" s="86"/>
      <c r="Y34" s="366"/>
      <c r="Z34" s="366"/>
    </row>
    <row r="35" spans="1:26" ht="12.75" customHeight="1">
      <c r="A35" s="339"/>
      <c r="B35" s="199"/>
      <c r="C35" s="1"/>
      <c r="D35" s="273"/>
      <c r="E35" s="366"/>
      <c r="F35" s="366"/>
      <c r="G35" s="366"/>
      <c r="H35" s="347" t="s">
        <v>148</v>
      </c>
      <c r="I35" s="689">
        <v>26800.16</v>
      </c>
      <c r="J35" s="438">
        <f>4+53+32.5+311.5+375+214+61.3+1914+130.5+597.5+16.8+2.5+2148.5+28+491+24</f>
        <v>6404.1</v>
      </c>
      <c r="K35" s="607">
        <f>835.3+489.85</f>
        <v>1325.15</v>
      </c>
      <c r="L35" s="960">
        <f>3255+623+28+192+21+427+2680+9605+4070+1513+315+1563.5+1878+808.5+417+35+1146+2886+540+1020+66+1156+773.5+396+2643.5+1976+588+375+1850.5</f>
        <v>42847.5</v>
      </c>
      <c r="M35" s="104">
        <f t="shared" si="3"/>
        <v>83100.350000000006</v>
      </c>
      <c r="N35" s="1"/>
      <c r="O35" s="447"/>
      <c r="P35" s="84"/>
      <c r="Q35" s="145"/>
      <c r="R35" s="84"/>
      <c r="S35" s="541"/>
      <c r="T35" s="86"/>
      <c r="U35" s="86"/>
      <c r="V35" s="86"/>
      <c r="W35" s="86"/>
      <c r="X35" s="86"/>
      <c r="Y35" s="366"/>
      <c r="Z35" s="366"/>
    </row>
    <row r="36" spans="1:26" ht="12.75" customHeight="1">
      <c r="A36" s="339"/>
      <c r="B36" s="199"/>
      <c r="C36" s="1"/>
      <c r="D36" s="273"/>
      <c r="E36" s="366"/>
      <c r="F36" s="366"/>
      <c r="G36" s="366"/>
      <c r="H36" s="347" t="s">
        <v>162</v>
      </c>
      <c r="I36" s="689">
        <v>25796.49</v>
      </c>
      <c r="J36" s="438">
        <f>2.2+22+11+100+1+324+64.2+163+106+6+211.5+238+369+166+327.5+1+30+198</f>
        <v>2340.4</v>
      </c>
      <c r="K36" s="607">
        <v>1417.21</v>
      </c>
      <c r="L36" s="960">
        <f>1442+786+491+108+201+501+256+1197+2570+42+883.5+330+192+1658+539+1550.5+1020.5+410+1497+230+17+879+290.5+569+1403.5+696+517+2100+1076.5+482+811</f>
        <v>24746</v>
      </c>
      <c r="M36" s="104">
        <f>M35-I36-J36-K36+L36</f>
        <v>78292.25</v>
      </c>
      <c r="N36" s="1"/>
      <c r="O36" s="447"/>
      <c r="P36" s="84"/>
      <c r="Q36" s="145"/>
      <c r="R36" s="84"/>
      <c r="S36" s="541"/>
      <c r="T36" s="86"/>
      <c r="U36" s="86"/>
      <c r="V36" s="86"/>
      <c r="W36" s="86"/>
      <c r="X36" s="86"/>
      <c r="Y36" s="366"/>
      <c r="Z36" s="366"/>
    </row>
    <row r="37" spans="1:26" ht="12.75" customHeight="1">
      <c r="A37" s="339"/>
      <c r="B37" s="199"/>
      <c r="C37" s="1"/>
      <c r="D37" s="273"/>
      <c r="E37" s="366"/>
      <c r="F37" s="366"/>
      <c r="G37" s="366"/>
      <c r="H37" s="379" t="s">
        <v>163</v>
      </c>
      <c r="I37" s="621">
        <v>26221.170000000002</v>
      </c>
      <c r="J37" s="432">
        <f>16.8+18.5+21+481+291+23+197.5+70.2+18+706.5+91+23+42+175+2+617+9+611</f>
        <v>3413.5</v>
      </c>
      <c r="K37" s="734">
        <f>538.23+638.25</f>
        <v>1176.48</v>
      </c>
      <c r="L37" s="1040">
        <f>600+18+110+3039+866+639+533.5+48+72+1216+449.5+602+112+5408+228+20+1228+80+1766.5+1774+202+236+466+411.5+30.5+195+5659.5+327.5</f>
        <v>26337.5</v>
      </c>
      <c r="M37" s="104">
        <f>M35-I37-J37-K37+L37</f>
        <v>78626.700000000012</v>
      </c>
      <c r="N37" s="1"/>
      <c r="O37" s="447"/>
      <c r="P37" s="84"/>
      <c r="Q37" s="145"/>
      <c r="R37" s="84"/>
      <c r="S37" s="541"/>
      <c r="T37" s="86"/>
      <c r="U37" s="86"/>
      <c r="V37" s="86"/>
      <c r="W37" s="86"/>
      <c r="X37" s="86"/>
      <c r="Y37" s="366"/>
      <c r="Z37" s="366"/>
    </row>
    <row r="38" spans="1:26" ht="12.75" customHeight="1">
      <c r="A38" s="339"/>
      <c r="B38" s="199"/>
      <c r="C38" s="1"/>
      <c r="D38" s="273"/>
      <c r="E38" s="366"/>
      <c r="F38" s="366"/>
      <c r="G38" s="366"/>
      <c r="H38" s="347" t="s">
        <v>192</v>
      </c>
      <c r="I38" s="689">
        <v>25688.519999999993</v>
      </c>
      <c r="J38" s="438">
        <f>41+87+50.5+210+23.5+38+126+28.2+92.2+278.5+147.5</f>
        <v>1122.4000000000001</v>
      </c>
      <c r="K38" s="607">
        <v>929.44</v>
      </c>
      <c r="L38" s="960">
        <f>46+773+1131+329+628.5+1201+628.5+1037+56+222+428+150+1972+3098+1100.5+1593.5+138.5+165+921+1224+272.5+527+292.5</f>
        <v>17934.5</v>
      </c>
      <c r="M38" s="733">
        <f>M36-I38-J38-K38+L38</f>
        <v>68486.390000000014</v>
      </c>
      <c r="N38" s="1"/>
      <c r="O38" s="447"/>
      <c r="P38" s="84"/>
      <c r="Q38" s="145"/>
      <c r="R38" s="84"/>
      <c r="S38" s="541"/>
      <c r="T38" s="86"/>
      <c r="U38" s="86"/>
      <c r="V38" s="86"/>
      <c r="W38" s="86"/>
      <c r="X38" s="86"/>
      <c r="Y38" s="366"/>
      <c r="Z38" s="366"/>
    </row>
    <row r="39" spans="1:26" ht="12.75" customHeight="1" thickBot="1">
      <c r="A39" s="339"/>
      <c r="B39" s="199"/>
      <c r="C39" s="1"/>
      <c r="D39" s="273"/>
      <c r="E39" s="366"/>
      <c r="F39" s="366"/>
      <c r="G39" s="366"/>
      <c r="H39" s="608" t="s">
        <v>199</v>
      </c>
      <c r="I39" s="622"/>
      <c r="J39" s="610"/>
      <c r="K39" s="611"/>
      <c r="L39" s="941"/>
      <c r="M39" s="612"/>
      <c r="N39" s="1"/>
      <c r="O39" s="447"/>
      <c r="P39" s="84"/>
      <c r="Q39" s="145"/>
      <c r="R39" s="84"/>
      <c r="S39" s="541"/>
      <c r="T39" s="86"/>
      <c r="U39" s="86"/>
      <c r="V39" s="86"/>
      <c r="W39" s="86"/>
      <c r="X39" s="86"/>
      <c r="Y39" s="366"/>
      <c r="Z39" s="366"/>
    </row>
    <row r="40" spans="1:26" ht="12.75" customHeight="1" thickTop="1">
      <c r="A40" s="339"/>
      <c r="B40" s="199"/>
      <c r="C40" s="1"/>
      <c r="D40" s="273"/>
      <c r="E40" s="84"/>
      <c r="F40" s="366"/>
      <c r="G40" s="366"/>
      <c r="H40" s="1148" t="s">
        <v>36</v>
      </c>
      <c r="I40" s="1150" t="s">
        <v>178</v>
      </c>
      <c r="J40" s="1151"/>
      <c r="K40" s="1152"/>
      <c r="L40" s="1156" t="s">
        <v>159</v>
      </c>
      <c r="M40" s="1156"/>
      <c r="N40" s="747" t="s">
        <v>341</v>
      </c>
      <c r="O40" s="447"/>
      <c r="P40" s="84"/>
      <c r="Q40" s="145"/>
      <c r="R40" s="145"/>
      <c r="S40" s="86"/>
      <c r="T40" s="86"/>
      <c r="U40" s="86"/>
      <c r="V40" s="86"/>
      <c r="W40" s="86"/>
      <c r="X40" s="86"/>
      <c r="Y40" s="366"/>
      <c r="Z40" s="366"/>
    </row>
    <row r="41" spans="1:26" ht="13.5" customHeight="1">
      <c r="A41" s="339"/>
      <c r="B41" s="199"/>
      <c r="C41" s="284"/>
      <c r="D41" s="273"/>
      <c r="E41" s="284"/>
      <c r="F41" s="366"/>
      <c r="G41" s="378"/>
      <c r="H41" s="1149"/>
      <c r="I41" s="1153"/>
      <c r="J41" s="1154"/>
      <c r="K41" s="1155"/>
      <c r="L41" s="1158"/>
      <c r="M41" s="1158"/>
      <c r="N41" s="748" t="s">
        <v>189</v>
      </c>
      <c r="O41" s="447"/>
      <c r="P41" s="84">
        <f>K42+K43+K48+K44</f>
        <v>985.61999999999989</v>
      </c>
      <c r="Q41" s="145"/>
      <c r="R41" s="84"/>
      <c r="S41" s="86"/>
      <c r="T41" s="86"/>
      <c r="U41" s="86"/>
      <c r="V41" s="294"/>
      <c r="W41" s="86"/>
      <c r="X41" s="86"/>
      <c r="Y41" s="366"/>
      <c r="Z41" s="366"/>
    </row>
    <row r="42" spans="1:26" ht="15.75" customHeight="1">
      <c r="A42" s="339"/>
      <c r="B42" s="199"/>
      <c r="C42" s="199"/>
      <c r="D42" s="273"/>
      <c r="E42" s="199"/>
      <c r="F42" s="366"/>
      <c r="G42" s="378"/>
      <c r="H42" s="512" t="s">
        <v>91</v>
      </c>
      <c r="I42" s="1278" t="s">
        <v>47</v>
      </c>
      <c r="J42" s="1278"/>
      <c r="K42" s="1097">
        <v>350</v>
      </c>
      <c r="L42" s="282">
        <v>44211</v>
      </c>
      <c r="M42" s="1" t="s">
        <v>171</v>
      </c>
      <c r="N42" s="749">
        <v>132</v>
      </c>
      <c r="O42" s="447"/>
      <c r="P42" s="84"/>
      <c r="Q42" s="145"/>
      <c r="R42" s="84"/>
      <c r="S42" s="86"/>
      <c r="T42" s="86"/>
      <c r="U42" s="86"/>
      <c r="V42" s="294"/>
      <c r="W42" s="86"/>
      <c r="X42" s="86"/>
      <c r="Y42" s="366"/>
      <c r="Z42" s="366"/>
    </row>
    <row r="43" spans="1:26">
      <c r="A43" s="339"/>
      <c r="B43" s="366"/>
      <c r="C43" s="274"/>
      <c r="D43" s="273"/>
      <c r="E43" s="274"/>
      <c r="F43" s="366"/>
      <c r="G43" s="366"/>
      <c r="H43" s="512" t="s">
        <v>91</v>
      </c>
      <c r="I43" s="1262" t="s">
        <v>51</v>
      </c>
      <c r="J43" s="1262"/>
      <c r="K43" s="1099">
        <v>76.05</v>
      </c>
      <c r="L43" s="282">
        <v>44211</v>
      </c>
      <c r="M43" s="1" t="s">
        <v>171</v>
      </c>
      <c r="N43" s="750">
        <v>40</v>
      </c>
      <c r="O43" s="447"/>
      <c r="P43" s="84"/>
      <c r="Q43" s="145"/>
      <c r="R43" s="273"/>
      <c r="S43" s="366"/>
      <c r="T43" s="86"/>
      <c r="U43" s="86"/>
      <c r="V43" s="294"/>
      <c r="W43" s="294"/>
      <c r="X43" s="294"/>
      <c r="Y43" s="366"/>
    </row>
    <row r="44" spans="1:26">
      <c r="A44" s="340"/>
      <c r="B44" s="366"/>
      <c r="C44" s="366"/>
      <c r="D44" s="273"/>
      <c r="E44" s="199"/>
      <c r="F44" s="366"/>
      <c r="G44" s="366"/>
      <c r="H44" s="512" t="s">
        <v>91</v>
      </c>
      <c r="I44" s="1262" t="s">
        <v>52</v>
      </c>
      <c r="J44" s="1262"/>
      <c r="K44" s="1099">
        <v>6</v>
      </c>
      <c r="L44" s="282">
        <v>44211</v>
      </c>
      <c r="M44" s="1" t="s">
        <v>171</v>
      </c>
      <c r="N44" s="750">
        <v>3</v>
      </c>
      <c r="O44" s="447"/>
      <c r="P44" s="84"/>
      <c r="Q44" s="145"/>
      <c r="R44" s="273"/>
      <c r="S44" s="366"/>
      <c r="T44" s="294"/>
      <c r="U44" s="86"/>
      <c r="V44" s="366"/>
      <c r="W44" s="294"/>
      <c r="X44" s="294"/>
      <c r="Y44" s="366"/>
    </row>
    <row r="45" spans="1:26">
      <c r="A45" s="340"/>
      <c r="B45" s="366"/>
      <c r="C45" s="366"/>
      <c r="D45" s="273"/>
      <c r="E45" s="366"/>
      <c r="F45" s="366"/>
      <c r="G45" s="366"/>
      <c r="H45" s="512" t="s">
        <v>91</v>
      </c>
      <c r="I45" s="1262" t="s">
        <v>49</v>
      </c>
      <c r="J45" s="1290"/>
      <c r="K45" s="1099">
        <v>242.5</v>
      </c>
      <c r="L45" s="294">
        <v>44216</v>
      </c>
      <c r="M45" s="1" t="s">
        <v>413</v>
      </c>
      <c r="N45" s="749">
        <v>200</v>
      </c>
      <c r="O45" s="1042"/>
      <c r="P45" s="907"/>
      <c r="Q45" s="145"/>
      <c r="R45" s="1095"/>
      <c r="S45" s="366"/>
      <c r="T45" s="294"/>
      <c r="U45" s="86"/>
      <c r="V45" s="294"/>
      <c r="W45" s="294"/>
      <c r="X45" s="294"/>
      <c r="Y45" s="366"/>
    </row>
    <row r="46" spans="1:26">
      <c r="A46" s="340"/>
      <c r="B46" s="366"/>
      <c r="C46" s="366"/>
      <c r="D46" s="273"/>
      <c r="E46" s="366"/>
      <c r="F46" s="366"/>
      <c r="G46" s="366"/>
      <c r="H46" s="512" t="s">
        <v>337</v>
      </c>
      <c r="I46" s="1263" t="s">
        <v>59</v>
      </c>
      <c r="J46" s="1264"/>
      <c r="K46" s="454">
        <v>0</v>
      </c>
      <c r="L46" s="302" t="s">
        <v>177</v>
      </c>
      <c r="M46" s="1" t="s">
        <v>426</v>
      </c>
      <c r="N46" s="751">
        <v>102.73</v>
      </c>
      <c r="O46" s="965"/>
      <c r="P46" s="902"/>
      <c r="Q46" s="145"/>
      <c r="R46" s="540"/>
      <c r="S46" s="366"/>
      <c r="T46" s="294"/>
      <c r="U46" s="86"/>
      <c r="V46" s="294"/>
      <c r="W46" s="366"/>
      <c r="X46" s="366"/>
      <c r="Y46" s="366"/>
    </row>
    <row r="47" spans="1:26">
      <c r="A47" s="340"/>
      <c r="B47" s="199"/>
      <c r="C47" s="199"/>
      <c r="D47" s="273"/>
      <c r="E47" s="199"/>
      <c r="F47" s="366"/>
      <c r="G47" s="366"/>
      <c r="H47" s="512" t="s">
        <v>91</v>
      </c>
      <c r="I47" s="1264" t="s">
        <v>68</v>
      </c>
      <c r="J47" s="1315"/>
      <c r="K47" s="1099">
        <v>145.34</v>
      </c>
      <c r="L47" s="294">
        <v>44216</v>
      </c>
      <c r="M47" s="1" t="s">
        <v>171</v>
      </c>
      <c r="N47" s="751">
        <f>K47/2</f>
        <v>72.67</v>
      </c>
      <c r="O47" s="965"/>
      <c r="P47" s="443"/>
      <c r="Q47" s="363"/>
      <c r="R47" s="1095"/>
      <c r="S47" s="366"/>
      <c r="T47" s="366"/>
      <c r="U47" s="294"/>
      <c r="V47" s="294"/>
      <c r="W47" s="294"/>
      <c r="X47" s="294"/>
      <c r="Y47" s="366"/>
    </row>
    <row r="48" spans="1:26">
      <c r="A48" s="340"/>
      <c r="B48" s="199"/>
      <c r="C48" s="366"/>
      <c r="D48" s="273"/>
      <c r="E48" s="199"/>
      <c r="F48" s="366"/>
      <c r="G48" s="366"/>
      <c r="H48" s="512" t="s">
        <v>91</v>
      </c>
      <c r="I48" s="1090" t="s">
        <v>174</v>
      </c>
      <c r="J48" s="1104"/>
      <c r="K48" s="475">
        <f>360.38+193.19</f>
        <v>553.56999999999994</v>
      </c>
      <c r="L48" s="282">
        <v>44211</v>
      </c>
      <c r="M48" s="1" t="s">
        <v>171</v>
      </c>
      <c r="N48" s="752">
        <f>K48</f>
        <v>553.56999999999994</v>
      </c>
      <c r="O48" s="12"/>
      <c r="P48" s="985" t="s">
        <v>453</v>
      </c>
      <c r="Q48" s="363" t="s">
        <v>454</v>
      </c>
      <c r="R48" s="365"/>
      <c r="S48" s="366"/>
      <c r="T48" s="294"/>
      <c r="U48" s="294"/>
      <c r="V48" s="294"/>
      <c r="W48" s="294"/>
      <c r="X48" s="294"/>
      <c r="Y48" s="366"/>
    </row>
    <row r="49" spans="1:25">
      <c r="A49" s="340"/>
      <c r="B49" s="199"/>
      <c r="C49" s="366"/>
      <c r="D49" s="273"/>
      <c r="E49" s="199"/>
      <c r="F49" s="366"/>
      <c r="G49" s="366"/>
      <c r="H49" s="512" t="s">
        <v>91</v>
      </c>
      <c r="I49" s="1090" t="s">
        <v>176</v>
      </c>
      <c r="J49" s="1104"/>
      <c r="K49" s="454">
        <v>546.26</v>
      </c>
      <c r="L49" s="294">
        <v>44216</v>
      </c>
      <c r="M49" s="1" t="s">
        <v>171</v>
      </c>
      <c r="N49" s="750">
        <f>K49</f>
        <v>546.26</v>
      </c>
      <c r="O49" s="447"/>
      <c r="P49" s="404">
        <v>17.8</v>
      </c>
      <c r="Q49" s="363">
        <v>109.04</v>
      </c>
      <c r="R49" s="365"/>
      <c r="S49" s="366"/>
      <c r="T49" s="294"/>
      <c r="U49" s="294"/>
      <c r="V49" s="294"/>
      <c r="W49" s="294"/>
      <c r="X49" s="294"/>
      <c r="Y49" s="366"/>
    </row>
    <row r="50" spans="1:25">
      <c r="A50" s="340"/>
      <c r="B50" s="199"/>
      <c r="C50" s="366"/>
      <c r="D50" s="273"/>
      <c r="E50" s="232"/>
      <c r="F50" s="366"/>
      <c r="G50" s="366"/>
      <c r="H50" s="512" t="s">
        <v>91</v>
      </c>
      <c r="I50" s="1264" t="s">
        <v>81</v>
      </c>
      <c r="J50" s="1265"/>
      <c r="K50" s="1099">
        <v>315.8</v>
      </c>
      <c r="L50" s="282">
        <v>44211</v>
      </c>
      <c r="M50" s="1" t="s">
        <v>171</v>
      </c>
      <c r="N50" s="750">
        <f>K50/2</f>
        <v>157.9</v>
      </c>
      <c r="O50" s="145"/>
      <c r="P50" s="404">
        <v>530.26</v>
      </c>
      <c r="Q50" s="84">
        <v>187.96</v>
      </c>
      <c r="R50" s="84"/>
      <c r="S50" s="84"/>
      <c r="T50" s="294"/>
      <c r="U50" s="366"/>
      <c r="V50" s="294"/>
      <c r="W50" s="294"/>
      <c r="X50" s="294"/>
      <c r="Y50" s="366"/>
    </row>
    <row r="51" spans="1:25">
      <c r="A51" s="340"/>
      <c r="B51" s="199"/>
      <c r="C51" s="366"/>
      <c r="D51" s="273"/>
      <c r="E51" s="232"/>
      <c r="F51" s="366"/>
      <c r="G51" s="366"/>
      <c r="H51" s="512" t="s">
        <v>338</v>
      </c>
      <c r="I51" s="1264" t="s">
        <v>181</v>
      </c>
      <c r="J51" s="1265"/>
      <c r="K51" s="1099">
        <v>10</v>
      </c>
      <c r="L51" s="282">
        <v>44211</v>
      </c>
      <c r="M51" s="1" t="s">
        <v>171</v>
      </c>
      <c r="N51" s="752">
        <f>K51</f>
        <v>10</v>
      </c>
      <c r="O51" s="12"/>
      <c r="P51" s="145">
        <v>919.39</v>
      </c>
      <c r="Q51" s="363"/>
      <c r="R51" s="366"/>
      <c r="S51" s="366"/>
      <c r="T51" s="294"/>
      <c r="U51" s="294"/>
      <c r="V51" s="366"/>
      <c r="W51" s="294"/>
      <c r="X51" s="294"/>
      <c r="Y51" s="366"/>
    </row>
    <row r="52" spans="1:25">
      <c r="A52" s="340" t="s">
        <v>314</v>
      </c>
      <c r="B52" s="199"/>
      <c r="C52" s="366"/>
      <c r="D52" s="273"/>
      <c r="E52" s="232"/>
      <c r="F52" s="366"/>
      <c r="G52" s="366"/>
      <c r="H52" s="512" t="s">
        <v>91</v>
      </c>
      <c r="I52" s="1145" t="s">
        <v>61</v>
      </c>
      <c r="J52" s="1145"/>
      <c r="K52" s="967">
        <v>794.82</v>
      </c>
      <c r="L52" s="294">
        <v>44216</v>
      </c>
      <c r="M52" s="1" t="s">
        <v>171</v>
      </c>
      <c r="N52" s="750"/>
      <c r="O52" s="12"/>
      <c r="P52" s="84">
        <f>P49+P50+P51</f>
        <v>1467.4499999999998</v>
      </c>
      <c r="Q52" s="365"/>
      <c r="R52" s="365"/>
      <c r="S52" s="366"/>
      <c r="T52" s="294"/>
      <c r="U52" s="294"/>
      <c r="V52" s="366"/>
      <c r="W52" s="294"/>
      <c r="X52" s="294"/>
      <c r="Y52" s="366"/>
    </row>
    <row r="53" spans="1:25">
      <c r="A53" s="340"/>
      <c r="B53" s="199"/>
      <c r="C53" s="366"/>
      <c r="D53" s="273"/>
      <c r="E53" s="232"/>
      <c r="F53" s="366"/>
      <c r="G53" s="366"/>
      <c r="H53" s="512" t="s">
        <v>91</v>
      </c>
      <c r="I53" s="1145" t="s">
        <v>274</v>
      </c>
      <c r="J53" s="1145"/>
      <c r="K53" s="1039">
        <f>86.13-7.53</f>
        <v>78.599999999999994</v>
      </c>
      <c r="L53" s="294">
        <v>44216</v>
      </c>
      <c r="M53" s="1" t="s">
        <v>171</v>
      </c>
      <c r="N53" s="749">
        <v>40</v>
      </c>
      <c r="P53" s="145"/>
      <c r="Q53" s="1118">
        <f>P50+800</f>
        <v>1330.26</v>
      </c>
      <c r="R53" s="365"/>
      <c r="S53" s="366"/>
      <c r="T53" s="294"/>
      <c r="U53" s="294"/>
      <c r="V53" s="366"/>
      <c r="W53" s="294"/>
      <c r="X53" s="294"/>
      <c r="Y53" s="366"/>
    </row>
    <row r="54" spans="1:25">
      <c r="A54" s="340"/>
      <c r="B54" s="199"/>
      <c r="C54" s="366"/>
      <c r="D54" s="273"/>
      <c r="E54" s="232"/>
      <c r="F54" s="366"/>
      <c r="G54" s="366"/>
      <c r="H54" s="512" t="s">
        <v>91</v>
      </c>
      <c r="I54" s="1145" t="s">
        <v>275</v>
      </c>
      <c r="J54" s="1145"/>
      <c r="K54" s="93">
        <v>50</v>
      </c>
      <c r="L54" s="282">
        <v>44211</v>
      </c>
      <c r="M54" s="1" t="s">
        <v>171</v>
      </c>
      <c r="N54" s="750">
        <v>50</v>
      </c>
      <c r="P54" s="145"/>
      <c r="Q54" s="273"/>
      <c r="R54" s="365"/>
      <c r="S54" s="366"/>
      <c r="T54" s="294"/>
      <c r="U54" s="294"/>
      <c r="V54" s="366"/>
      <c r="W54" s="294"/>
      <c r="X54" s="294"/>
      <c r="Y54" s="366"/>
    </row>
    <row r="55" spans="1:25">
      <c r="A55" s="340"/>
      <c r="B55" s="199"/>
      <c r="C55" s="366"/>
      <c r="D55" s="273"/>
      <c r="E55" s="232"/>
      <c r="F55" s="366"/>
      <c r="G55" s="366"/>
      <c r="H55" s="512"/>
      <c r="I55" s="1145" t="s">
        <v>276</v>
      </c>
      <c r="J55" s="1145"/>
      <c r="K55" s="93">
        <v>150</v>
      </c>
      <c r="L55" s="282">
        <v>44226</v>
      </c>
      <c r="M55" s="1" t="s">
        <v>171</v>
      </c>
      <c r="N55" s="750">
        <v>150</v>
      </c>
      <c r="O55" s="12"/>
      <c r="P55" s="145"/>
      <c r="Q55" s="365"/>
      <c r="R55" s="365"/>
      <c r="S55" s="366"/>
      <c r="T55" s="294"/>
      <c r="U55" s="294"/>
      <c r="V55" s="366"/>
      <c r="W55" s="294"/>
      <c r="X55" s="294"/>
      <c r="Y55" s="366"/>
    </row>
    <row r="56" spans="1:25">
      <c r="A56" s="340"/>
      <c r="B56" s="199"/>
      <c r="C56" s="366"/>
      <c r="D56" s="273"/>
      <c r="E56" s="232"/>
      <c r="F56" s="366"/>
      <c r="G56" s="366"/>
      <c r="H56" s="512" t="s">
        <v>91</v>
      </c>
      <c r="I56" s="1145" t="s">
        <v>296</v>
      </c>
      <c r="J56" s="1145"/>
      <c r="K56" s="93">
        <v>19.2</v>
      </c>
      <c r="L56" s="282">
        <v>44211</v>
      </c>
      <c r="M56" s="1" t="s">
        <v>171</v>
      </c>
      <c r="N56" s="751">
        <v>9</v>
      </c>
      <c r="O56" s="150"/>
      <c r="P56" s="145"/>
      <c r="Q56" s="365"/>
      <c r="R56" s="365"/>
      <c r="S56" s="366"/>
      <c r="T56" s="294"/>
      <c r="U56" s="294"/>
      <c r="V56" s="366"/>
      <c r="W56" s="294"/>
      <c r="X56" s="294"/>
      <c r="Y56" s="366"/>
    </row>
    <row r="57" spans="1:25">
      <c r="A57" s="340"/>
      <c r="B57" s="199"/>
      <c r="C57" s="366"/>
      <c r="D57" s="273"/>
      <c r="E57" s="232"/>
      <c r="F57" s="366"/>
      <c r="G57" s="366"/>
      <c r="H57" s="512"/>
      <c r="I57" s="1143" t="s">
        <v>345</v>
      </c>
      <c r="J57" s="1144"/>
      <c r="K57" s="145">
        <v>1102.8600000000001</v>
      </c>
      <c r="L57" s="282">
        <v>44226</v>
      </c>
      <c r="M57" s="1" t="s">
        <v>171</v>
      </c>
      <c r="N57" s="771">
        <f>K57</f>
        <v>1102.8600000000001</v>
      </c>
      <c r="O57" s="150"/>
      <c r="P57" s="145"/>
      <c r="Q57" s="365"/>
      <c r="R57" s="365"/>
      <c r="S57" s="366"/>
      <c r="T57" s="294"/>
      <c r="U57" s="294"/>
      <c r="V57" s="366"/>
      <c r="W57" s="294"/>
      <c r="X57" s="294"/>
      <c r="Y57" s="366"/>
    </row>
    <row r="58" spans="1:25" ht="15.75" thickBot="1">
      <c r="A58" s="341"/>
      <c r="B58" s="330"/>
      <c r="C58" s="331"/>
      <c r="D58" s="342"/>
      <c r="E58" s="330"/>
      <c r="F58" s="331"/>
      <c r="G58" s="331"/>
      <c r="H58" s="1300" t="s">
        <v>179</v>
      </c>
      <c r="I58" s="1281"/>
      <c r="J58" s="361">
        <f>SUM(K42:K57)</f>
        <v>4441</v>
      </c>
      <c r="K58" s="1146" t="s">
        <v>180</v>
      </c>
      <c r="L58" s="1146"/>
      <c r="M58" s="746">
        <v>0</v>
      </c>
      <c r="N58" s="753">
        <f>SUM(N42:N57)</f>
        <v>3169.9900000000002</v>
      </c>
      <c r="P58" s="145"/>
      <c r="Q58" s="365"/>
      <c r="R58" s="366"/>
      <c r="S58" s="366"/>
      <c r="T58" s="294"/>
      <c r="U58" s="366"/>
      <c r="V58" s="366"/>
      <c r="W58" s="366"/>
      <c r="X58" s="366"/>
      <c r="Y58" s="366"/>
    </row>
    <row r="59" spans="1:25" ht="15.75" thickTop="1">
      <c r="A59" s="366"/>
      <c r="B59" s="366"/>
      <c r="C59" s="366"/>
      <c r="D59" s="366"/>
      <c r="E59" s="366"/>
      <c r="F59" s="366"/>
      <c r="G59" s="366"/>
      <c r="H59" s="1162"/>
      <c r="I59" s="1162"/>
      <c r="J59" s="1162"/>
      <c r="K59" s="1162"/>
      <c r="L59" s="366"/>
      <c r="M59" s="441"/>
      <c r="N59" s="1"/>
      <c r="P59" s="145"/>
      <c r="Q59" s="365"/>
      <c r="R59" s="366"/>
      <c r="S59" s="366"/>
      <c r="T59" s="366"/>
      <c r="U59" s="366"/>
      <c r="V59" s="366"/>
      <c r="W59" s="366"/>
      <c r="X59" s="366"/>
      <c r="Y59" s="366"/>
    </row>
    <row r="60" spans="1:25" ht="15" customHeight="1">
      <c r="A60" s="1163" t="s">
        <v>261</v>
      </c>
      <c r="B60" s="1163"/>
      <c r="C60" s="1163"/>
      <c r="D60" s="1163"/>
      <c r="E60" s="1163"/>
      <c r="F60" s="1163"/>
      <c r="G60" s="1163"/>
      <c r="H60" s="1163"/>
      <c r="I60" s="1163"/>
      <c r="J60" s="1163"/>
      <c r="K60" s="1163"/>
      <c r="L60" s="1163"/>
      <c r="M60" s="1163"/>
      <c r="N60" s="1"/>
      <c r="O60" s="150"/>
      <c r="P60" s="145"/>
      <c r="Q60" s="365"/>
      <c r="R60" s="366"/>
      <c r="S60" s="366"/>
      <c r="T60" s="366"/>
      <c r="U60" s="366"/>
      <c r="V60" s="366"/>
      <c r="W60" s="366"/>
      <c r="X60" s="366"/>
    </row>
    <row r="61" spans="1:25" ht="15.75" customHeight="1" thickBot="1">
      <c r="A61" s="1164"/>
      <c r="B61" s="1164"/>
      <c r="C61" s="1164"/>
      <c r="D61" s="1164"/>
      <c r="E61" s="1164"/>
      <c r="F61" s="1164"/>
      <c r="G61" s="1164"/>
      <c r="H61" s="1164"/>
      <c r="I61" s="1164"/>
      <c r="J61" s="1164"/>
      <c r="K61" s="1164"/>
      <c r="L61" s="1164"/>
      <c r="M61" s="1164"/>
      <c r="N61" s="1"/>
      <c r="P61" s="145"/>
      <c r="Q61" s="365"/>
      <c r="R61" s="365"/>
      <c r="S61" s="1095"/>
      <c r="T61" s="366"/>
      <c r="U61" s="366"/>
      <c r="V61" s="366"/>
      <c r="W61" s="366"/>
      <c r="X61" s="366"/>
    </row>
    <row r="62" spans="1:25" ht="15.75" thickTop="1">
      <c r="A62" s="1266" t="s">
        <v>317</v>
      </c>
      <c r="B62" s="1166"/>
      <c r="C62" s="1166"/>
      <c r="D62" s="1166"/>
      <c r="E62" s="1166"/>
      <c r="F62" s="1166"/>
      <c r="G62" s="1167"/>
      <c r="H62" s="1282" t="s">
        <v>316</v>
      </c>
      <c r="I62" s="1283"/>
      <c r="J62" s="1283"/>
      <c r="K62" s="1283"/>
      <c r="L62" s="1283"/>
      <c r="M62" s="1284"/>
      <c r="N62" s="1"/>
      <c r="P62" s="84"/>
      <c r="Q62" s="366"/>
      <c r="S62" s="274"/>
      <c r="T62" s="366"/>
      <c r="U62" s="366"/>
      <c r="V62" s="366"/>
      <c r="W62" s="366"/>
      <c r="X62" s="366"/>
    </row>
    <row r="63" spans="1:25">
      <c r="A63" s="324" t="s">
        <v>2</v>
      </c>
      <c r="B63" s="1094" t="s">
        <v>34</v>
      </c>
      <c r="C63" s="36" t="s">
        <v>35</v>
      </c>
      <c r="D63" s="36" t="s">
        <v>38</v>
      </c>
      <c r="E63" s="36" t="s">
        <v>42</v>
      </c>
      <c r="F63" s="1094" t="s">
        <v>36</v>
      </c>
      <c r="G63" s="100" t="s">
        <v>173</v>
      </c>
      <c r="H63" s="676" t="s">
        <v>2</v>
      </c>
      <c r="I63" s="1285" t="s">
        <v>34</v>
      </c>
      <c r="J63" s="1285"/>
      <c r="K63" s="1097" t="s">
        <v>35</v>
      </c>
      <c r="L63" s="1286" t="s">
        <v>173</v>
      </c>
      <c r="M63" s="1287"/>
      <c r="N63" s="1"/>
      <c r="P63" s="448"/>
      <c r="Q63" s="366"/>
      <c r="S63" s="274"/>
      <c r="T63" s="366"/>
      <c r="U63" s="366"/>
      <c r="V63" s="366"/>
      <c r="W63" s="366"/>
      <c r="X63" s="366"/>
    </row>
    <row r="64" spans="1:25">
      <c r="A64" s="325"/>
      <c r="B64" s="161" t="s">
        <v>438</v>
      </c>
      <c r="C64" s="275">
        <v>358.31</v>
      </c>
      <c r="D64" s="275">
        <v>358.31</v>
      </c>
      <c r="E64" s="542" t="str">
        <f>IF(C64-D64=0,"",C64-D64)</f>
        <v/>
      </c>
      <c r="F64" s="162" t="str">
        <f t="shared" ref="F64:F79" si="4">IF(C64=0,"",IF(C64-D64=0,"оплачено","ОЖИДАЕТСЯ оплата"))</f>
        <v>оплачено</v>
      </c>
      <c r="G64" s="162"/>
      <c r="H64" s="325"/>
      <c r="I64" s="1288"/>
      <c r="J64" s="1289"/>
      <c r="K64" s="480"/>
      <c r="L64" s="1293"/>
      <c r="M64" s="1294"/>
      <c r="N64" s="1"/>
      <c r="P64" s="448"/>
      <c r="Q64" s="366"/>
      <c r="S64" s="366"/>
      <c r="T64" s="84"/>
      <c r="U64" s="366"/>
      <c r="W64" s="366"/>
      <c r="X64" s="366"/>
    </row>
    <row r="65" spans="1:24">
      <c r="A65" s="325"/>
      <c r="B65" s="161" t="s">
        <v>439</v>
      </c>
      <c r="C65" s="275">
        <v>1132.3800000000001</v>
      </c>
      <c r="D65" s="275">
        <v>1132.3800000000001</v>
      </c>
      <c r="E65" s="542" t="str">
        <f t="shared" ref="E65:E79" si="5">IF(C65-D65=0,"",C65-D65)</f>
        <v/>
      </c>
      <c r="F65" s="162" t="str">
        <f t="shared" si="4"/>
        <v>оплачено</v>
      </c>
      <c r="G65" s="162"/>
      <c r="H65" s="678"/>
      <c r="I65" s="1288"/>
      <c r="J65" s="1289"/>
      <c r="K65" s="480"/>
      <c r="L65" s="1293"/>
      <c r="M65" s="1294"/>
      <c r="N65" s="1"/>
      <c r="P65" s="448"/>
      <c r="Q65" s="366"/>
      <c r="S65" s="366"/>
      <c r="T65" s="366"/>
      <c r="U65" s="366"/>
      <c r="W65" s="366"/>
      <c r="X65" s="366"/>
    </row>
    <row r="66" spans="1:24">
      <c r="A66" s="325"/>
      <c r="B66" s="161" t="s">
        <v>415</v>
      </c>
      <c r="C66" s="275">
        <v>348.1</v>
      </c>
      <c r="D66" s="275">
        <v>348.1</v>
      </c>
      <c r="E66" s="634" t="str">
        <f t="shared" si="5"/>
        <v/>
      </c>
      <c r="F66" s="162" t="str">
        <f t="shared" si="4"/>
        <v>оплачено</v>
      </c>
      <c r="G66" s="162"/>
      <c r="H66" s="678"/>
      <c r="I66" s="1288"/>
      <c r="J66" s="1289"/>
      <c r="K66" s="480"/>
      <c r="L66" s="1290"/>
      <c r="M66" s="1291"/>
      <c r="N66" s="1"/>
      <c r="P66" s="448"/>
      <c r="T66" s="366"/>
      <c r="U66" s="366"/>
    </row>
    <row r="67" spans="1:24">
      <c r="A67" s="325"/>
      <c r="B67" s="161" t="s">
        <v>440</v>
      </c>
      <c r="C67" s="275">
        <v>542.54999999999995</v>
      </c>
      <c r="D67" s="275">
        <v>542.54999999999995</v>
      </c>
      <c r="E67" s="634" t="str">
        <f t="shared" si="5"/>
        <v/>
      </c>
      <c r="F67" s="161" t="str">
        <f t="shared" si="4"/>
        <v>оплачено</v>
      </c>
      <c r="G67" s="162"/>
      <c r="H67" s="678"/>
      <c r="I67" s="1288"/>
      <c r="J67" s="1289"/>
      <c r="K67" s="480"/>
      <c r="L67" s="1290"/>
      <c r="M67" s="1291"/>
      <c r="N67" s="1"/>
      <c r="P67" s="448"/>
      <c r="U67" s="366"/>
    </row>
    <row r="68" spans="1:24">
      <c r="A68" s="325"/>
      <c r="B68" s="161" t="s">
        <v>31</v>
      </c>
      <c r="C68" s="513">
        <v>1077.1500000000001</v>
      </c>
      <c r="D68" s="513">
        <v>1077.1500000000001</v>
      </c>
      <c r="E68" s="634" t="str">
        <f t="shared" si="5"/>
        <v/>
      </c>
      <c r="F68" s="162" t="str">
        <f t="shared" si="4"/>
        <v>оплачено</v>
      </c>
      <c r="G68" s="162"/>
      <c r="H68" s="678"/>
      <c r="I68" s="1324"/>
      <c r="J68" s="1289"/>
      <c r="K68" s="480"/>
      <c r="L68" s="1290"/>
      <c r="M68" s="1291"/>
      <c r="N68" s="1"/>
      <c r="O68" s="607"/>
      <c r="P68" s="541"/>
      <c r="U68" s="366"/>
    </row>
    <row r="69" spans="1:24">
      <c r="A69" s="325"/>
      <c r="B69" s="161" t="s">
        <v>399</v>
      </c>
      <c r="C69" s="275">
        <v>558.33000000000004</v>
      </c>
      <c r="D69" s="275">
        <v>558.33000000000004</v>
      </c>
      <c r="E69" s="634" t="str">
        <f t="shared" si="5"/>
        <v/>
      </c>
      <c r="F69" s="162" t="str">
        <f t="shared" si="4"/>
        <v>оплачено</v>
      </c>
      <c r="G69" s="162"/>
      <c r="H69" s="678"/>
      <c r="I69" s="1288"/>
      <c r="J69" s="1289"/>
      <c r="K69" s="480"/>
      <c r="L69" s="1290"/>
      <c r="M69" s="1291"/>
      <c r="N69" s="1"/>
      <c r="O69" s="150"/>
      <c r="P69" s="86"/>
      <c r="U69" s="366"/>
    </row>
    <row r="70" spans="1:24" ht="14.45" customHeight="1">
      <c r="A70" s="325"/>
      <c r="B70" s="161" t="s">
        <v>449</v>
      </c>
      <c r="C70" s="911">
        <v>507</v>
      </c>
      <c r="D70" s="911">
        <v>507</v>
      </c>
      <c r="E70" s="634" t="str">
        <f>IF(C70-D70=0,"",C70-D70)</f>
        <v/>
      </c>
      <c r="F70" s="162" t="str">
        <f>IF(C70=0,"",IF(C70-D70=0,"оплачено","ОЖИДАЕТСЯ оплата"))</f>
        <v>оплачено</v>
      </c>
      <c r="G70" s="162" t="s">
        <v>455</v>
      </c>
      <c r="H70" s="678"/>
      <c r="I70" s="1288"/>
      <c r="J70" s="1289"/>
      <c r="K70" s="480"/>
      <c r="L70" s="1191"/>
      <c r="M70" s="1292"/>
      <c r="N70" s="1"/>
      <c r="O70" s="150"/>
      <c r="P70" s="86"/>
    </row>
    <row r="71" spans="1:24" ht="14.45" customHeight="1">
      <c r="A71" s="325">
        <v>44256</v>
      </c>
      <c r="B71" s="161" t="s">
        <v>449</v>
      </c>
      <c r="C71" s="275">
        <v>242.5</v>
      </c>
      <c r="D71" s="275">
        <v>242.5</v>
      </c>
      <c r="E71" s="634" t="str">
        <f>IF(C71-D71=0,"",C71-D71)</f>
        <v/>
      </c>
      <c r="F71" s="162" t="str">
        <f>IF(C71=0,"",IF(C71-D71=0,"оплачено","ОЖИДАЕТСЯ оплата"))</f>
        <v>оплачено</v>
      </c>
      <c r="G71" s="162"/>
      <c r="H71" s="678" t="str">
        <f t="shared" ref="H71:I79" si="6">IF(S11="","",S11)</f>
        <v/>
      </c>
      <c r="I71" s="1288"/>
      <c r="J71" s="1289"/>
      <c r="K71" s="480"/>
      <c r="L71" s="1191"/>
      <c r="M71" s="1292"/>
      <c r="N71" s="1"/>
      <c r="O71" s="150"/>
    </row>
    <row r="72" spans="1:24" ht="14.45" customHeight="1">
      <c r="A72" s="325">
        <v>44256</v>
      </c>
      <c r="B72" s="276" t="s">
        <v>450</v>
      </c>
      <c r="C72" s="275">
        <v>445.84</v>
      </c>
      <c r="D72" s="275">
        <v>445.84</v>
      </c>
      <c r="E72" s="634" t="str">
        <f t="shared" si="5"/>
        <v/>
      </c>
      <c r="F72" s="162" t="str">
        <f t="shared" si="4"/>
        <v>оплачено</v>
      </c>
      <c r="G72" s="162"/>
      <c r="H72" s="678" t="str">
        <f t="shared" si="6"/>
        <v/>
      </c>
      <c r="I72" s="1288" t="str">
        <f t="shared" si="6"/>
        <v/>
      </c>
      <c r="J72" s="1289"/>
      <c r="K72" s="480" t="str">
        <f t="shared" ref="K72:K79" si="7">IF(U12="","",U12)</f>
        <v/>
      </c>
      <c r="L72" s="1191"/>
      <c r="M72" s="1292"/>
      <c r="N72" s="1"/>
      <c r="O72" s="366"/>
    </row>
    <row r="73" spans="1:24">
      <c r="A73" s="325"/>
      <c r="B73" s="161" t="s">
        <v>449</v>
      </c>
      <c r="C73" s="275">
        <v>115.5</v>
      </c>
      <c r="D73" s="275">
        <v>115.5</v>
      </c>
      <c r="E73" s="634" t="str">
        <f t="shared" si="5"/>
        <v/>
      </c>
      <c r="F73" s="162" t="str">
        <f t="shared" si="4"/>
        <v>оплачено</v>
      </c>
      <c r="G73" s="162"/>
      <c r="H73" s="678" t="str">
        <f t="shared" si="6"/>
        <v/>
      </c>
      <c r="I73" s="1288" t="str">
        <f t="shared" si="6"/>
        <v/>
      </c>
      <c r="J73" s="1289"/>
      <c r="K73" s="480" t="str">
        <f t="shared" si="7"/>
        <v/>
      </c>
      <c r="L73" s="1191"/>
      <c r="M73" s="1292"/>
      <c r="N73" s="1"/>
      <c r="O73" s="366"/>
    </row>
    <row r="74" spans="1:24" s="86" customFormat="1">
      <c r="A74" s="325">
        <v>44265</v>
      </c>
      <c r="B74" s="161" t="s">
        <v>437</v>
      </c>
      <c r="C74" s="275">
        <v>1071.8599999999999</v>
      </c>
      <c r="D74" s="275">
        <v>1071.8599999999999</v>
      </c>
      <c r="E74" s="634" t="str">
        <f t="shared" si="5"/>
        <v/>
      </c>
      <c r="F74" s="162" t="str">
        <f t="shared" si="4"/>
        <v>оплачено</v>
      </c>
      <c r="G74" s="162"/>
      <c r="H74" s="678" t="str">
        <f t="shared" si="6"/>
        <v/>
      </c>
      <c r="I74" s="1288" t="str">
        <f t="shared" si="6"/>
        <v/>
      </c>
      <c r="J74" s="1289"/>
      <c r="K74" s="480" t="str">
        <f t="shared" si="7"/>
        <v/>
      </c>
      <c r="L74" s="1290"/>
      <c r="M74" s="1291"/>
      <c r="N74" s="366"/>
      <c r="O74" s="84"/>
      <c r="P74" s="1"/>
      <c r="Q74" s="35"/>
      <c r="T74" s="35"/>
      <c r="U74" s="35"/>
    </row>
    <row r="75" spans="1:24">
      <c r="A75" s="325">
        <v>44270</v>
      </c>
      <c r="B75" s="161" t="s">
        <v>440</v>
      </c>
      <c r="C75" s="275">
        <v>362.05</v>
      </c>
      <c r="D75" s="275">
        <v>362.05</v>
      </c>
      <c r="E75" s="634" t="str">
        <f t="shared" si="5"/>
        <v/>
      </c>
      <c r="F75" s="162" t="str">
        <f t="shared" si="4"/>
        <v>оплачено</v>
      </c>
      <c r="G75" s="162"/>
      <c r="H75" s="678" t="str">
        <f t="shared" si="6"/>
        <v/>
      </c>
      <c r="I75" s="1288" t="str">
        <f t="shared" si="6"/>
        <v/>
      </c>
      <c r="J75" s="1289"/>
      <c r="K75" s="480" t="str">
        <f t="shared" si="7"/>
        <v/>
      </c>
      <c r="L75" s="1191"/>
      <c r="M75" s="1292"/>
      <c r="N75" s="150"/>
      <c r="O75" s="84"/>
      <c r="P75" s="1"/>
      <c r="T75" s="86"/>
    </row>
    <row r="76" spans="1:24">
      <c r="A76" s="325">
        <v>44265</v>
      </c>
      <c r="B76" s="161" t="s">
        <v>415</v>
      </c>
      <c r="C76" s="275">
        <v>418.42</v>
      </c>
      <c r="D76" s="275">
        <v>418.42</v>
      </c>
      <c r="E76" s="634" t="str">
        <f>IF(C76-D76=0,"",C76-D76)</f>
        <v/>
      </c>
      <c r="F76" s="162" t="str">
        <f>IF(C76=0,"",IF(C76-D76=0,"оплачено","ОЖИДАЕТСЯ оплата"))</f>
        <v>оплачено</v>
      </c>
      <c r="G76" s="162"/>
      <c r="H76" s="678" t="str">
        <f t="shared" si="6"/>
        <v/>
      </c>
      <c r="I76" s="1288" t="str">
        <f t="shared" si="6"/>
        <v/>
      </c>
      <c r="J76" s="1289"/>
      <c r="K76" s="480" t="str">
        <f t="shared" si="7"/>
        <v/>
      </c>
      <c r="L76" s="1191"/>
      <c r="M76" s="1292"/>
      <c r="N76" s="1"/>
      <c r="O76" s="84"/>
      <c r="P76" s="366"/>
    </row>
    <row r="77" spans="1:24">
      <c r="A77" s="325">
        <v>44265</v>
      </c>
      <c r="B77" s="161" t="s">
        <v>439</v>
      </c>
      <c r="C77" s="275">
        <v>67.8</v>
      </c>
      <c r="D77" s="275">
        <v>67.8</v>
      </c>
      <c r="E77" s="542" t="str">
        <f t="shared" si="5"/>
        <v/>
      </c>
      <c r="F77" s="162" t="str">
        <f t="shared" si="4"/>
        <v>оплачено</v>
      </c>
      <c r="G77" s="162"/>
      <c r="H77" s="678" t="str">
        <f t="shared" si="6"/>
        <v/>
      </c>
      <c r="I77" s="1288" t="str">
        <f t="shared" si="6"/>
        <v/>
      </c>
      <c r="J77" s="1289"/>
      <c r="K77" s="480" t="str">
        <f t="shared" si="7"/>
        <v/>
      </c>
      <c r="L77" s="1191"/>
      <c r="M77" s="1292"/>
      <c r="N77" s="1"/>
      <c r="O77" s="84"/>
      <c r="P77" s="150"/>
    </row>
    <row r="78" spans="1:24">
      <c r="A78" s="325">
        <v>44265</v>
      </c>
      <c r="B78" s="161" t="s">
        <v>456</v>
      </c>
      <c r="C78" s="275">
        <v>109</v>
      </c>
      <c r="D78" s="275">
        <v>109</v>
      </c>
      <c r="E78" s="542" t="str">
        <f t="shared" si="5"/>
        <v/>
      </c>
      <c r="F78" s="162" t="str">
        <f t="shared" si="4"/>
        <v>оплачено</v>
      </c>
      <c r="G78" s="162"/>
      <c r="H78" s="678" t="str">
        <f t="shared" si="6"/>
        <v/>
      </c>
      <c r="I78" s="1288" t="str">
        <f t="shared" si="6"/>
        <v/>
      </c>
      <c r="J78" s="1289"/>
      <c r="K78" s="480" t="str">
        <f t="shared" si="7"/>
        <v/>
      </c>
      <c r="L78" s="1191"/>
      <c r="M78" s="1292"/>
      <c r="N78" s="1"/>
      <c r="O78" s="366"/>
      <c r="P78" s="1"/>
      <c r="Q78" s="86"/>
    </row>
    <row r="79" spans="1:24">
      <c r="A79" s="325"/>
      <c r="B79" s="161"/>
      <c r="C79" s="275"/>
      <c r="D79" s="275"/>
      <c r="E79" s="542" t="str">
        <f t="shared" si="5"/>
        <v/>
      </c>
      <c r="F79" s="162" t="str">
        <f t="shared" si="4"/>
        <v/>
      </c>
      <c r="G79" s="162"/>
      <c r="H79" s="678" t="str">
        <f t="shared" si="6"/>
        <v/>
      </c>
      <c r="I79" s="1288" t="str">
        <f t="shared" si="6"/>
        <v/>
      </c>
      <c r="J79" s="1289"/>
      <c r="K79" s="480" t="str">
        <f t="shared" si="7"/>
        <v/>
      </c>
      <c r="L79" s="1191"/>
      <c r="M79" s="1292"/>
      <c r="N79" s="1"/>
      <c r="O79" s="84"/>
    </row>
    <row r="80" spans="1:24" ht="15.75" thickBot="1">
      <c r="A80" s="1272" t="s">
        <v>259</v>
      </c>
      <c r="B80" s="1273"/>
      <c r="C80" s="358">
        <f>SUM(C64:C79)</f>
        <v>7356.79</v>
      </c>
      <c r="D80" s="358"/>
      <c r="E80" s="542">
        <f>SUM(E64:E79)</f>
        <v>0</v>
      </c>
      <c r="F80" s="162"/>
      <c r="G80" s="450"/>
      <c r="H80" s="1295" t="s">
        <v>259</v>
      </c>
      <c r="I80" s="1296"/>
      <c r="J80" s="1297"/>
      <c r="K80" s="677">
        <f>SUM(K64:K79)</f>
        <v>0</v>
      </c>
      <c r="L80" s="1298"/>
      <c r="M80" s="1299"/>
      <c r="N80" s="1"/>
      <c r="O80" s="366"/>
      <c r="P80" s="84"/>
      <c r="U80" s="86"/>
    </row>
    <row r="81" spans="1:22" ht="15.75" thickTop="1">
      <c r="A81" s="351"/>
      <c r="B81" s="352"/>
      <c r="C81" s="353"/>
      <c r="D81" s="353"/>
      <c r="E81" s="354"/>
      <c r="F81" s="352"/>
      <c r="G81" s="376"/>
      <c r="H81" s="1171" t="s">
        <v>16</v>
      </c>
      <c r="I81" s="1173" t="s">
        <v>17</v>
      </c>
      <c r="J81" s="1173" t="s">
        <v>21</v>
      </c>
      <c r="K81" s="1173"/>
      <c r="L81" s="1175" t="s">
        <v>93</v>
      </c>
      <c r="M81" s="1177" t="s">
        <v>95</v>
      </c>
      <c r="N81" s="1"/>
      <c r="O81" s="84"/>
      <c r="P81" s="84"/>
    </row>
    <row r="82" spans="1:22" ht="24">
      <c r="A82" s="355"/>
      <c r="B82" s="201"/>
      <c r="C82" s="201"/>
      <c r="D82" s="201"/>
      <c r="E82" s="216"/>
      <c r="F82" s="201"/>
      <c r="G82" s="201"/>
      <c r="H82" s="1172"/>
      <c r="I82" s="1174"/>
      <c r="J82" s="1098" t="s">
        <v>21</v>
      </c>
      <c r="K82" s="1098" t="s">
        <v>25</v>
      </c>
      <c r="L82" s="1176"/>
      <c r="M82" s="1178"/>
      <c r="N82" s="1"/>
      <c r="O82" s="366"/>
      <c r="P82" s="84"/>
    </row>
    <row r="83" spans="1:22">
      <c r="A83" s="338"/>
      <c r="B83" s="199"/>
      <c r="C83" s="288"/>
      <c r="D83" s="232"/>
      <c r="E83" s="84"/>
      <c r="F83" s="199"/>
      <c r="G83" s="199"/>
      <c r="H83" s="347" t="s">
        <v>163</v>
      </c>
      <c r="I83" s="94">
        <v>2420.3999999999996</v>
      </c>
      <c r="J83" s="94">
        <v>115.5</v>
      </c>
      <c r="K83" s="1101">
        <v>132.61000000000001</v>
      </c>
      <c r="L83" s="96">
        <v>22665.5</v>
      </c>
      <c r="M83" s="104">
        <f>L83-I83-J83-K83</f>
        <v>19996.989999999998</v>
      </c>
      <c r="N83" s="150"/>
      <c r="O83" s="448"/>
      <c r="P83" s="439"/>
      <c r="R83" s="86"/>
    </row>
    <row r="84" spans="1:22">
      <c r="A84" s="339"/>
      <c r="B84" s="199"/>
      <c r="C84" s="199"/>
      <c r="D84" s="273"/>
      <c r="E84" s="366"/>
      <c r="F84" s="84"/>
      <c r="G84" s="366"/>
      <c r="H84" s="347" t="s">
        <v>192</v>
      </c>
      <c r="I84" s="94">
        <v>7629.69</v>
      </c>
      <c r="J84" s="94">
        <v>352.29</v>
      </c>
      <c r="K84" s="94">
        <v>193.85000000000002</v>
      </c>
      <c r="L84" s="96">
        <v>10342</v>
      </c>
      <c r="M84" s="104">
        <f>M83-I84-J84-K84+L84</f>
        <v>22163.159999999996</v>
      </c>
      <c r="N84" s="1"/>
      <c r="O84" s="448"/>
      <c r="P84" s="439"/>
      <c r="R84" s="86"/>
    </row>
    <row r="85" spans="1:22">
      <c r="A85" s="339"/>
      <c r="B85" s="366"/>
      <c r="C85" s="199"/>
      <c r="D85" s="273"/>
      <c r="E85" s="366"/>
      <c r="F85" s="366"/>
      <c r="G85" s="366"/>
      <c r="H85" s="347" t="s">
        <v>199</v>
      </c>
      <c r="I85" s="298">
        <v>8423.6400000000012</v>
      </c>
      <c r="J85" s="94">
        <v>921.3</v>
      </c>
      <c r="K85" s="299">
        <v>312.46000000000004</v>
      </c>
      <c r="L85" s="299">
        <v>16668</v>
      </c>
      <c r="M85" s="104">
        <f>M84-I85-J85-K85+L85</f>
        <v>29173.759999999995</v>
      </c>
      <c r="N85" s="1"/>
      <c r="O85" s="448"/>
      <c r="P85" s="436"/>
      <c r="R85" s="86"/>
    </row>
    <row r="86" spans="1:22">
      <c r="A86" s="339"/>
      <c r="B86" s="1"/>
      <c r="C86" s="284"/>
      <c r="D86" s="273"/>
      <c r="E86" s="366"/>
      <c r="F86" s="366"/>
      <c r="G86" s="84"/>
      <c r="H86" s="347" t="s">
        <v>209</v>
      </c>
      <c r="I86" s="299">
        <v>8639.7199999999993</v>
      </c>
      <c r="J86" s="300">
        <v>749.49</v>
      </c>
      <c r="K86" s="526">
        <v>435.1</v>
      </c>
      <c r="L86" s="299">
        <v>17824.919999999998</v>
      </c>
      <c r="M86" s="104">
        <f>M85-I86-J86-K86+L86</f>
        <v>37174.369999999995</v>
      </c>
      <c r="N86" s="366"/>
      <c r="O86" s="448"/>
      <c r="P86" s="436"/>
      <c r="R86" s="86"/>
    </row>
    <row r="87" spans="1:22">
      <c r="A87" s="339"/>
      <c r="B87" s="199"/>
      <c r="C87" s="1"/>
      <c r="D87" s="273"/>
      <c r="E87" s="366"/>
      <c r="F87" s="366"/>
      <c r="G87" s="366"/>
      <c r="H87" s="348" t="s">
        <v>210</v>
      </c>
      <c r="I87" s="300">
        <v>12605.26</v>
      </c>
      <c r="J87" s="299">
        <v>600.5</v>
      </c>
      <c r="K87" s="300">
        <v>491.64</v>
      </c>
      <c r="L87" s="299">
        <v>15183.9</v>
      </c>
      <c r="M87" s="104">
        <v>36025.39</v>
      </c>
      <c r="N87" s="436"/>
      <c r="O87" s="145"/>
      <c r="P87" s="437"/>
      <c r="Q87" s="86"/>
      <c r="R87" s="86"/>
    </row>
    <row r="88" spans="1:22">
      <c r="A88" s="339"/>
      <c r="B88" s="199"/>
      <c r="C88" s="1"/>
      <c r="D88" s="273"/>
      <c r="E88" s="366"/>
      <c r="F88" s="366"/>
      <c r="G88" s="366"/>
      <c r="H88" s="379" t="s">
        <v>211</v>
      </c>
      <c r="I88" s="689">
        <v>11425.189999999999</v>
      </c>
      <c r="J88" s="438">
        <v>232.2</v>
      </c>
      <c r="K88" s="694">
        <v>262</v>
      </c>
      <c r="L88" s="606">
        <v>11864.4</v>
      </c>
      <c r="M88" s="104">
        <f>M87-I88-J88-K88+L88</f>
        <v>35970.400000000001</v>
      </c>
      <c r="N88" s="1"/>
      <c r="O88" s="366"/>
      <c r="P88" s="437"/>
      <c r="Q88" s="86"/>
      <c r="R88" s="86"/>
      <c r="V88" s="1"/>
    </row>
    <row r="89" spans="1:22">
      <c r="A89" s="339"/>
      <c r="B89" s="199"/>
      <c r="C89" s="1"/>
      <c r="D89" s="273"/>
      <c r="E89" s="366"/>
      <c r="F89" s="366"/>
      <c r="G89" s="366"/>
      <c r="H89" s="347" t="s">
        <v>9</v>
      </c>
      <c r="I89" s="689">
        <v>13612.520000000002</v>
      </c>
      <c r="J89" s="438">
        <f>19+42+25.5+33+4+25+7.5+18+170+1+9+37.5+2+1.4</f>
        <v>394.9</v>
      </c>
      <c r="K89" s="694">
        <f>112.8+296.38+33.5</f>
        <v>442.68</v>
      </c>
      <c r="L89" s="607">
        <f>14352+1353+311+316+73+278</f>
        <v>16683</v>
      </c>
      <c r="M89" s="738">
        <v>37929.35</v>
      </c>
      <c r="N89" s="722" t="s">
        <v>326</v>
      </c>
      <c r="O89" s="723"/>
      <c r="P89" s="437"/>
      <c r="Q89" s="703"/>
      <c r="R89" s="86"/>
      <c r="V89" s="1"/>
    </row>
    <row r="90" spans="1:22">
      <c r="A90" s="339"/>
      <c r="B90" s="199"/>
      <c r="C90" s="1"/>
      <c r="D90" s="273"/>
      <c r="E90" s="366"/>
      <c r="F90" s="366"/>
      <c r="G90" s="366"/>
      <c r="H90" s="347" t="s">
        <v>18</v>
      </c>
      <c r="I90" s="689">
        <v>14474.099999999999</v>
      </c>
      <c r="J90" s="438">
        <v>947.5</v>
      </c>
      <c r="K90" s="694">
        <v>526.15</v>
      </c>
      <c r="L90" s="607">
        <v>19238.8</v>
      </c>
      <c r="M90" s="104">
        <f>M89-I90-J90-K90+L90</f>
        <v>41220.399999999994</v>
      </c>
      <c r="N90" s="84"/>
      <c r="O90" s="366"/>
      <c r="P90" s="437"/>
      <c r="Q90" s="703"/>
      <c r="R90" s="86"/>
      <c r="V90" s="1"/>
    </row>
    <row r="91" spans="1:22">
      <c r="A91" s="339"/>
      <c r="B91" s="199"/>
      <c r="C91" s="1"/>
      <c r="D91" s="273"/>
      <c r="E91" s="366"/>
      <c r="F91" s="366"/>
      <c r="G91" s="366"/>
      <c r="H91" s="379" t="s">
        <v>19</v>
      </c>
      <c r="I91" s="621">
        <v>17170.439999999999</v>
      </c>
      <c r="J91" s="432">
        <v>3911.3</v>
      </c>
      <c r="K91" s="648">
        <f>21.5+122.1+41.6+353.89+95.92+8.2</f>
        <v>643.20999999999992</v>
      </c>
      <c r="L91" s="621">
        <f>660+513.5+514+683.5+535+212+2085+763+334+208+378+75+60+44+972+347+1461+81+303+363+12+44+73+133+667+281+234+225+789+767+1661+682+2828+477.5+365+873.5+390+553</f>
        <v>21647</v>
      </c>
      <c r="M91" s="104">
        <f>M90-I91-J91-K91+L91</f>
        <v>41142.449999999997</v>
      </c>
      <c r="N91" s="84"/>
      <c r="O91" s="366"/>
      <c r="P91" s="437"/>
      <c r="Q91" s="703"/>
      <c r="R91" s="86"/>
      <c r="V91" s="1"/>
    </row>
    <row r="92" spans="1:22">
      <c r="A92" s="339"/>
      <c r="B92" s="199"/>
      <c r="C92" s="1"/>
      <c r="D92" s="273"/>
      <c r="E92" s="366"/>
      <c r="F92" s="366"/>
      <c r="G92" s="366"/>
      <c r="H92" s="347" t="s">
        <v>20</v>
      </c>
      <c r="I92" s="689">
        <v>17084.789999999997</v>
      </c>
      <c r="J92" s="438">
        <v>1384.5</v>
      </c>
      <c r="K92" s="694">
        <f>231.74+381.32</f>
        <v>613.05999999999995</v>
      </c>
      <c r="L92" s="689">
        <f>861.5+275+194+301.5+390+1883.5+794+563+1402.5+380+670+229.5+35+275+150.5+18+76+68+310+1078+448+706+130+132+120+2048+130.5+296+608+1835+355+214.5+280+60+684+606</f>
        <v>18608</v>
      </c>
      <c r="M92" s="733">
        <v>43441.55</v>
      </c>
      <c r="N92" s="84"/>
      <c r="O92" s="366"/>
      <c r="P92" s="84"/>
      <c r="Q92" s="703"/>
      <c r="R92" s="86"/>
      <c r="V92" s="1"/>
    </row>
    <row r="93" spans="1:22">
      <c r="A93" s="339"/>
      <c r="B93" s="199"/>
      <c r="C93" s="1"/>
      <c r="D93" s="273"/>
      <c r="E93" s="366"/>
      <c r="F93" s="366"/>
      <c r="G93" s="366"/>
      <c r="H93" s="347" t="s">
        <v>148</v>
      </c>
      <c r="I93" s="689">
        <v>16010.099999999999</v>
      </c>
      <c r="J93" s="438">
        <f>16+65+35+15+24+192+4.6+315+19+6+29+4+35+35+15+160</f>
        <v>969.6</v>
      </c>
      <c r="K93" s="694">
        <f>318.55+297.05</f>
        <v>615.6</v>
      </c>
      <c r="L93" s="689">
        <f>2329.5+560+1456+491+2680+2008+1170+1743+283+1122+2144+623+348+597.5+612+1914+48.5+1270+194+20+375+514.5+108+1502+669+441+33+712+828+1156+829+50</f>
        <v>28831</v>
      </c>
      <c r="M93" s="104">
        <f t="shared" ref="M93:M96" si="8">M92-I93-J93-K93+L93</f>
        <v>54677.250000000007</v>
      </c>
      <c r="N93" s="84"/>
      <c r="O93" s="366"/>
      <c r="P93" s="646"/>
      <c r="Q93" s="703"/>
      <c r="R93" s="86"/>
      <c r="V93" s="1"/>
    </row>
    <row r="94" spans="1:22">
      <c r="A94" s="339"/>
      <c r="B94" s="199"/>
      <c r="C94" s="1"/>
      <c r="D94" s="273"/>
      <c r="E94" s="366"/>
      <c r="F94" s="366"/>
      <c r="G94" s="366"/>
      <c r="H94" s="379" t="s">
        <v>162</v>
      </c>
      <c r="I94" s="621">
        <v>18487.2</v>
      </c>
      <c r="J94" s="432">
        <f>4+108+201+21+330+1+7.2+17+17+230+290.5+22+16+2+80.5+141</f>
        <v>1488.2</v>
      </c>
      <c r="K94" s="648">
        <v>733</v>
      </c>
      <c r="L94" s="621">
        <f>1090.5+178+238+342+320+112+163+3418.5+747+1608+1004+396+30+1858+1508+198+163+100+490+552+1725+777+245+1514.5+850.5+1647+348+1827+454</f>
        <v>23904</v>
      </c>
      <c r="M94" s="104">
        <f t="shared" si="8"/>
        <v>57872.850000000006</v>
      </c>
      <c r="N94" s="84"/>
      <c r="O94" s="366"/>
      <c r="P94" s="646"/>
      <c r="Q94" s="703"/>
      <c r="R94" s="86"/>
      <c r="V94" s="1"/>
    </row>
    <row r="95" spans="1:22">
      <c r="A95" s="339"/>
      <c r="B95" s="199"/>
      <c r="C95" s="1"/>
      <c r="D95" s="273"/>
      <c r="E95" s="366"/>
      <c r="F95" s="366"/>
      <c r="G95" s="366"/>
      <c r="H95" s="347" t="s">
        <v>163</v>
      </c>
      <c r="I95" s="689">
        <v>18961.969999999998</v>
      </c>
      <c r="J95" s="438">
        <f>22+18+110+17+39+11.3+8.5+320+112+4+5.94+21+236+8+11+8.2+5+10+169.5+87</f>
        <v>1223.44</v>
      </c>
      <c r="K95" s="694">
        <f>334.04+378.25</f>
        <v>712.29</v>
      </c>
      <c r="L95" s="689">
        <f>15.5+600+364+12+2306+740+1687+96+195.5+330+605+285+1211+2305+437+30+1509+42+443.5+664.5+239+42+42.5+114+364+617+545</f>
        <v>15841.5</v>
      </c>
      <c r="M95" s="733">
        <f t="shared" si="8"/>
        <v>52816.65</v>
      </c>
      <c r="N95" s="84"/>
      <c r="O95" s="366"/>
      <c r="P95" s="646"/>
      <c r="Q95" s="703"/>
      <c r="R95" s="86"/>
      <c r="V95" s="1"/>
    </row>
    <row r="96" spans="1:22">
      <c r="A96" s="339"/>
      <c r="B96" s="199"/>
      <c r="C96" s="1"/>
      <c r="D96" s="273"/>
      <c r="E96" s="366"/>
      <c r="F96" s="366"/>
      <c r="G96" s="366"/>
      <c r="H96" s="961" t="s">
        <v>192</v>
      </c>
      <c r="I96" s="962">
        <v>20708.280000000002</v>
      </c>
      <c r="J96" s="963">
        <f>3.2+18.5+47+46+7+4+329+628.5+6+34+18+28+4+41.5+2.2+77.5+42+2.92+3+48+180</f>
        <v>1570.3200000000002</v>
      </c>
      <c r="K96" s="964">
        <f>163.32+459.3+23.5+1.4</f>
        <v>647.52</v>
      </c>
      <c r="L96" s="962">
        <v>25525.5</v>
      </c>
      <c r="M96" s="104">
        <f t="shared" si="8"/>
        <v>55416.03</v>
      </c>
      <c r="N96" s="84"/>
      <c r="O96" s="366"/>
      <c r="P96" s="646"/>
      <c r="Q96" s="703"/>
      <c r="R96" s="86"/>
      <c r="V96" s="1"/>
    </row>
    <row r="97" spans="1:26">
      <c r="A97" s="339"/>
      <c r="B97" s="199"/>
      <c r="C97" s="1"/>
      <c r="D97" s="273"/>
      <c r="E97" s="366"/>
      <c r="F97" s="366"/>
      <c r="G97" s="366"/>
      <c r="H97" s="379" t="s">
        <v>199</v>
      </c>
      <c r="I97" s="621">
        <f>'ЗП ЯНВАРЬ'!J42</f>
        <v>16124.6</v>
      </c>
      <c r="J97" s="432">
        <f>23+21+24+466+23+81+3+42.5+6+3+3+15+40+101</f>
        <v>851.5</v>
      </c>
      <c r="K97" s="648">
        <f>204.2+349+23</f>
        <v>576.20000000000005</v>
      </c>
      <c r="L97" s="621">
        <f>1977+323+3934+114+1426+2718+684+1794+84+1138+87+1648+775.5+476.5+1842+2748.5+317+102+1088.5+70</f>
        <v>23347</v>
      </c>
      <c r="M97" s="382">
        <v>55782.1</v>
      </c>
      <c r="N97" s="84"/>
      <c r="O97" s="366"/>
      <c r="P97" s="646"/>
      <c r="Q97" s="703"/>
      <c r="R97" s="86"/>
      <c r="V97" s="1"/>
    </row>
    <row r="98" spans="1:26">
      <c r="A98" s="339"/>
      <c r="B98" s="199"/>
      <c r="C98" s="1"/>
      <c r="D98" s="273"/>
      <c r="E98" s="366"/>
      <c r="F98" s="366"/>
      <c r="G98" s="366"/>
      <c r="H98" s="347" t="s">
        <v>209</v>
      </c>
      <c r="I98" s="689">
        <v>20401.579999999998</v>
      </c>
      <c r="J98" s="438">
        <f>140+80+134+40+12+40+42+3.6+2+6+0.7+62.5+0.1+1.2+2+33+130.92+14.4+149+2.2+27+2.1</f>
        <v>924.72</v>
      </c>
      <c r="K98" s="1109">
        <f>342.5+480.4+101.5</f>
        <v>924.4</v>
      </c>
      <c r="L98" s="689">
        <f>535.5+1409+558.5+208+925+178.5+1335.5+851+157+533+2852.5+34+341+594+140+390+12+2783.5+298.5+1797+2494+894+480+288+121+80.5</f>
        <v>20291</v>
      </c>
      <c r="M98" s="104">
        <f>M97-I98-J98-K98+L98+2100</f>
        <v>55922.400000000001</v>
      </c>
      <c r="N98" s="84"/>
      <c r="O98" s="366"/>
      <c r="P98" s="646"/>
      <c r="Q98" s="703"/>
      <c r="R98" s="86"/>
      <c r="V98" s="1"/>
    </row>
    <row r="99" spans="1:26" ht="15.75" thickBot="1">
      <c r="A99" s="339"/>
      <c r="B99" s="199"/>
      <c r="C99" s="1"/>
      <c r="D99" s="273"/>
      <c r="E99" s="366"/>
      <c r="F99" s="366"/>
      <c r="G99" s="366"/>
      <c r="H99" s="608" t="s">
        <v>210</v>
      </c>
      <c r="I99" s="622">
        <v>5182</v>
      </c>
      <c r="J99" s="610">
        <f>1+70+2.4+65.5+162.5+31+103.72</f>
        <v>436.12</v>
      </c>
      <c r="K99" s="1108">
        <f>116.28+17.7</f>
        <v>133.97999999999999</v>
      </c>
      <c r="L99" s="622">
        <f>1691+358+691+837+470+470+48</f>
        <v>4565</v>
      </c>
      <c r="M99" s="1117">
        <v>54920.1</v>
      </c>
      <c r="N99" s="84" t="s">
        <v>448</v>
      </c>
      <c r="O99" s="366"/>
      <c r="P99" s="646"/>
      <c r="Q99" s="703"/>
      <c r="R99" s="86"/>
      <c r="V99" s="1"/>
    </row>
    <row r="100" spans="1:26" ht="14.25" customHeight="1" thickTop="1">
      <c r="A100" s="339"/>
      <c r="B100" s="199"/>
      <c r="C100" s="1"/>
      <c r="D100" s="273"/>
      <c r="E100" s="84"/>
      <c r="F100" s="366"/>
      <c r="G100" s="366"/>
      <c r="H100" s="1148" t="s">
        <v>36</v>
      </c>
      <c r="I100" s="1150" t="s">
        <v>178</v>
      </c>
      <c r="J100" s="1151"/>
      <c r="K100" s="1152"/>
      <c r="L100" s="1156" t="s">
        <v>159</v>
      </c>
      <c r="M100" s="1157"/>
      <c r="N100" s="150"/>
      <c r="O100" s="84"/>
      <c r="P100" s="437"/>
      <c r="Q100" s="703"/>
      <c r="R100" s="86"/>
      <c r="V100" s="1"/>
    </row>
    <row r="101" spans="1:26">
      <c r="A101" s="339"/>
      <c r="B101" s="199"/>
      <c r="C101" s="284"/>
      <c r="D101" s="273"/>
      <c r="E101" s="284"/>
      <c r="F101" s="366"/>
      <c r="G101" s="378"/>
      <c r="H101" s="1149"/>
      <c r="I101" s="1153"/>
      <c r="J101" s="1154"/>
      <c r="K101" s="1155"/>
      <c r="L101" s="1158"/>
      <c r="M101" s="1159"/>
      <c r="N101" s="1"/>
      <c r="O101" s="12"/>
      <c r="P101" s="646"/>
      <c r="Q101" s="703"/>
      <c r="R101" s="366"/>
      <c r="S101" s="1"/>
      <c r="V101" s="1"/>
      <c r="W101" s="1"/>
      <c r="X101" s="1"/>
      <c r="Y101" s="1"/>
    </row>
    <row r="102" spans="1:26">
      <c r="A102" s="339"/>
      <c r="B102" s="199"/>
      <c r="C102" s="199"/>
      <c r="D102" s="273"/>
      <c r="E102" s="199"/>
      <c r="F102" s="366"/>
      <c r="G102" s="378"/>
      <c r="H102" s="512" t="s">
        <v>250</v>
      </c>
      <c r="I102" s="1160" t="s">
        <v>47</v>
      </c>
      <c r="J102" s="1160"/>
      <c r="K102" s="1097">
        <v>105</v>
      </c>
      <c r="L102" s="282">
        <v>44211</v>
      </c>
      <c r="M102" s="44" t="s">
        <v>171</v>
      </c>
      <c r="O102" s="84"/>
      <c r="P102" s="646"/>
      <c r="Q102" s="703"/>
      <c r="R102" s="366"/>
      <c r="S102" s="1"/>
      <c r="T102" s="1"/>
      <c r="V102" s="282"/>
      <c r="W102" s="1"/>
      <c r="X102" s="1"/>
      <c r="Y102" s="1"/>
    </row>
    <row r="103" spans="1:26">
      <c r="A103" s="339"/>
      <c r="B103" s="366"/>
      <c r="C103" s="274"/>
      <c r="D103" s="273"/>
      <c r="E103" s="274"/>
      <c r="F103" s="366"/>
      <c r="G103" s="366"/>
      <c r="H103" s="512" t="s">
        <v>337</v>
      </c>
      <c r="I103" s="1161" t="s">
        <v>51</v>
      </c>
      <c r="J103" s="1161"/>
      <c r="K103" s="1099">
        <v>0</v>
      </c>
      <c r="L103" s="282">
        <v>44211</v>
      </c>
      <c r="M103" s="44" t="s">
        <v>171</v>
      </c>
      <c r="N103" s="490"/>
      <c r="O103" s="84"/>
      <c r="P103" s="646"/>
      <c r="Q103" s="541"/>
      <c r="R103" s="86"/>
      <c r="S103" s="1"/>
      <c r="T103" s="1"/>
      <c r="V103" s="282"/>
      <c r="W103" s="1"/>
      <c r="X103" s="1"/>
      <c r="Y103" s="1"/>
    </row>
    <row r="104" spans="1:26">
      <c r="A104" s="340"/>
      <c r="B104" s="366"/>
      <c r="C104" s="366"/>
      <c r="D104" s="273"/>
      <c r="E104" s="199"/>
      <c r="F104" s="366"/>
      <c r="G104" s="366"/>
      <c r="H104" s="512" t="s">
        <v>250</v>
      </c>
      <c r="I104" s="1161" t="s">
        <v>52</v>
      </c>
      <c r="J104" s="1161"/>
      <c r="K104" s="624">
        <v>1.8</v>
      </c>
      <c r="L104" s="282">
        <v>44211</v>
      </c>
      <c r="M104" s="44" t="s">
        <v>171</v>
      </c>
      <c r="O104" s="84"/>
      <c r="P104" s="646"/>
      <c r="Q104" s="703"/>
      <c r="R104" s="1095"/>
      <c r="S104" s="1"/>
      <c r="T104" s="1"/>
      <c r="V104" s="282"/>
      <c r="W104" s="282"/>
      <c r="X104" s="282"/>
      <c r="Y104" s="1"/>
      <c r="Z104" s="1"/>
    </row>
    <row r="105" spans="1:26">
      <c r="A105" s="340"/>
      <c r="B105" s="366"/>
      <c r="C105" s="366"/>
      <c r="D105" s="273"/>
      <c r="E105" s="366"/>
      <c r="F105" s="366"/>
      <c r="G105" s="366"/>
      <c r="H105" s="512" t="s">
        <v>250</v>
      </c>
      <c r="I105" s="1262" t="s">
        <v>441</v>
      </c>
      <c r="J105" s="1262"/>
      <c r="K105" s="1099">
        <v>1015.23</v>
      </c>
      <c r="L105" s="282">
        <v>44216</v>
      </c>
      <c r="M105" s="44" t="s">
        <v>426</v>
      </c>
      <c r="N105" s="490"/>
      <c r="O105" s="84"/>
      <c r="P105" s="646"/>
      <c r="Q105" s="479"/>
      <c r="R105" s="86"/>
      <c r="S105" s="1"/>
      <c r="T105" s="282"/>
      <c r="U105" s="1"/>
      <c r="V105" s="282"/>
      <c r="W105" s="282"/>
      <c r="X105" s="282"/>
      <c r="Y105" s="1"/>
      <c r="Z105" s="1"/>
    </row>
    <row r="106" spans="1:26">
      <c r="A106" s="340"/>
      <c r="B106" s="199"/>
      <c r="C106" s="199"/>
      <c r="D106" s="273"/>
      <c r="E106" s="199"/>
      <c r="F106" s="366"/>
      <c r="G106" s="366"/>
      <c r="H106" s="512" t="s">
        <v>250</v>
      </c>
      <c r="I106" s="1264" t="s">
        <v>68</v>
      </c>
      <c r="J106" s="1265"/>
      <c r="K106" s="1099">
        <v>68.650000000000006</v>
      </c>
      <c r="L106" s="282">
        <v>44216</v>
      </c>
      <c r="M106" s="44" t="s">
        <v>171</v>
      </c>
      <c r="O106" s="84"/>
      <c r="P106" s="437"/>
      <c r="Q106" s="479"/>
      <c r="R106" s="1095"/>
      <c r="S106" s="1"/>
      <c r="T106" s="282"/>
      <c r="U106" s="1"/>
      <c r="V106" s="282"/>
      <c r="W106" s="282"/>
      <c r="X106" s="282"/>
      <c r="Y106" s="1"/>
      <c r="Z106" s="1"/>
    </row>
    <row r="107" spans="1:26">
      <c r="A107" s="340"/>
      <c r="B107" s="199"/>
      <c r="C107" s="366"/>
      <c r="D107" s="273"/>
      <c r="E107" s="199"/>
      <c r="F107" s="366"/>
      <c r="G107" s="366"/>
      <c r="H107" s="512" t="s">
        <v>338</v>
      </c>
      <c r="I107" s="1264" t="s">
        <v>174</v>
      </c>
      <c r="J107" s="1265"/>
      <c r="K107" s="1099">
        <v>0</v>
      </c>
      <c r="L107" s="282">
        <v>44211</v>
      </c>
      <c r="M107" s="44" t="s">
        <v>171</v>
      </c>
      <c r="N107" s="490"/>
      <c r="O107" s="84"/>
      <c r="P107" s="646"/>
      <c r="Q107" s="479"/>
      <c r="R107" s="1095"/>
      <c r="S107" s="1095"/>
      <c r="T107" s="282"/>
      <c r="U107" s="282"/>
      <c r="V107" s="282"/>
      <c r="W107" s="1"/>
      <c r="X107" s="1"/>
      <c r="Y107" s="1"/>
      <c r="Z107" s="1"/>
    </row>
    <row r="108" spans="1:26">
      <c r="A108" s="340"/>
      <c r="B108" s="199"/>
      <c r="C108" s="366"/>
      <c r="D108" s="273"/>
      <c r="E108" s="199"/>
      <c r="F108" s="366"/>
      <c r="G108" s="366"/>
      <c r="H108" s="993" t="s">
        <v>241</v>
      </c>
      <c r="I108" s="1092" t="s">
        <v>176</v>
      </c>
      <c r="J108" s="1093"/>
      <c r="K108" s="1099" t="s">
        <v>258</v>
      </c>
      <c r="L108" s="282">
        <v>44216</v>
      </c>
      <c r="M108" s="44" t="s">
        <v>171</v>
      </c>
      <c r="N108" s="490"/>
      <c r="O108" s="84"/>
      <c r="P108" s="646"/>
      <c r="Q108" s="479"/>
      <c r="R108" s="483"/>
      <c r="S108" s="150"/>
      <c r="T108" s="1"/>
      <c r="U108" s="282"/>
      <c r="V108" s="282"/>
      <c r="W108" s="282"/>
      <c r="X108" s="282"/>
      <c r="Y108" s="1"/>
      <c r="Z108" s="1"/>
    </row>
    <row r="109" spans="1:26">
      <c r="A109" s="340"/>
      <c r="B109" s="199"/>
      <c r="C109" s="366"/>
      <c r="D109" s="273"/>
      <c r="E109" s="232"/>
      <c r="F109" s="366"/>
      <c r="G109" s="366"/>
      <c r="H109" s="512" t="s">
        <v>250</v>
      </c>
      <c r="I109" s="1264" t="s">
        <v>81</v>
      </c>
      <c r="J109" s="1265"/>
      <c r="K109" s="1099">
        <v>870.7</v>
      </c>
      <c r="L109" s="282">
        <v>44206</v>
      </c>
      <c r="M109" s="44" t="s">
        <v>171</v>
      </c>
      <c r="O109" s="84"/>
      <c r="P109" s="646"/>
      <c r="Q109" s="483"/>
      <c r="R109" s="365"/>
      <c r="S109" s="150"/>
      <c r="T109" s="282"/>
      <c r="U109" s="282"/>
      <c r="V109" s="282"/>
      <c r="W109" s="282"/>
      <c r="X109" s="282"/>
      <c r="Y109" s="366"/>
      <c r="Z109" s="1"/>
    </row>
    <row r="110" spans="1:26">
      <c r="A110" s="340"/>
      <c r="B110" s="199"/>
      <c r="C110" s="366"/>
      <c r="D110" s="273"/>
      <c r="E110" s="232"/>
      <c r="F110" s="366"/>
      <c r="G110" s="366"/>
      <c r="H110" s="512" t="s">
        <v>338</v>
      </c>
      <c r="I110" s="1264" t="s">
        <v>53</v>
      </c>
      <c r="J110" s="1265"/>
      <c r="K110" s="454">
        <v>10</v>
      </c>
      <c r="L110" s="282">
        <v>44211</v>
      </c>
      <c r="M110" s="44" t="s">
        <v>171</v>
      </c>
      <c r="N110" s="490"/>
      <c r="O110" s="84"/>
      <c r="P110" s="646"/>
      <c r="Q110" s="483"/>
      <c r="R110" s="1095"/>
      <c r="S110" s="1"/>
      <c r="T110" s="282"/>
      <c r="U110" s="282"/>
      <c r="V110" s="282"/>
      <c r="W110" s="282"/>
      <c r="X110" s="282"/>
      <c r="Y110" s="366"/>
      <c r="Z110" s="1"/>
    </row>
    <row r="111" spans="1:26">
      <c r="A111" s="340"/>
      <c r="B111" s="199"/>
      <c r="C111" s="366"/>
      <c r="D111" s="273"/>
      <c r="E111" s="232"/>
      <c r="F111" s="366"/>
      <c r="G111" s="366"/>
      <c r="H111" s="512"/>
      <c r="I111" s="1263" t="s">
        <v>276</v>
      </c>
      <c r="J111" s="1263"/>
      <c r="K111" s="637">
        <v>100</v>
      </c>
      <c r="L111" s="282">
        <v>44226</v>
      </c>
      <c r="M111" s="44" t="s">
        <v>171</v>
      </c>
      <c r="O111" s="84"/>
      <c r="P111" s="646"/>
      <c r="Q111" s="483"/>
      <c r="R111" s="1095"/>
      <c r="S111" s="366"/>
      <c r="T111" s="282"/>
      <c r="U111" s="282"/>
      <c r="V111" s="282"/>
      <c r="W111" s="282"/>
      <c r="X111" s="282"/>
      <c r="Y111" s="1"/>
      <c r="Z111" s="1"/>
    </row>
    <row r="112" spans="1:26">
      <c r="A112" s="340"/>
      <c r="B112" s="199"/>
      <c r="C112" s="366"/>
      <c r="D112" s="273"/>
      <c r="E112" s="232"/>
      <c r="F112" s="366"/>
      <c r="G112" s="366"/>
      <c r="H112" s="512" t="s">
        <v>250</v>
      </c>
      <c r="I112" s="1263" t="s">
        <v>296</v>
      </c>
      <c r="J112" s="1263"/>
      <c r="K112" s="637">
        <v>9.6</v>
      </c>
      <c r="L112" s="282">
        <v>44211</v>
      </c>
      <c r="M112" s="44" t="s">
        <v>171</v>
      </c>
      <c r="O112" s="84"/>
      <c r="P112" s="646"/>
      <c r="Q112" s="483"/>
      <c r="R112" s="1095"/>
      <c r="S112" s="366"/>
      <c r="T112" s="282"/>
      <c r="U112" s="282"/>
      <c r="V112" s="282"/>
      <c r="W112" s="282"/>
      <c r="X112" s="282"/>
      <c r="Y112" s="1"/>
      <c r="Z112" s="1"/>
    </row>
    <row r="113" spans="1:26">
      <c r="A113" s="340"/>
      <c r="B113" s="199"/>
      <c r="C113" s="366"/>
      <c r="D113" s="273"/>
      <c r="E113" s="232"/>
      <c r="F113" s="366"/>
      <c r="G113" s="366"/>
      <c r="H113" s="512"/>
      <c r="I113" s="1143" t="s">
        <v>345</v>
      </c>
      <c r="J113" s="1144"/>
      <c r="K113" s="475">
        <v>681</v>
      </c>
      <c r="L113" s="282">
        <v>44226</v>
      </c>
      <c r="M113" s="44" t="s">
        <v>171</v>
      </c>
      <c r="O113" s="84"/>
      <c r="P113" s="646"/>
      <c r="Q113" s="483"/>
      <c r="R113" s="1095"/>
      <c r="S113" s="366"/>
      <c r="T113" s="282"/>
      <c r="U113" s="282"/>
      <c r="V113" s="282"/>
      <c r="W113" s="282"/>
      <c r="X113" s="282"/>
      <c r="Y113" s="1"/>
      <c r="Z113" s="1"/>
    </row>
    <row r="114" spans="1:26">
      <c r="A114" s="340"/>
      <c r="B114" s="199"/>
      <c r="C114" s="366"/>
      <c r="D114" s="273"/>
      <c r="E114" s="232"/>
      <c r="F114" s="366"/>
      <c r="G114" s="366"/>
      <c r="H114" s="512" t="s">
        <v>250</v>
      </c>
      <c r="I114" s="1145" t="s">
        <v>417</v>
      </c>
      <c r="J114" s="1145"/>
      <c r="K114" s="637">
        <v>50</v>
      </c>
      <c r="L114" s="282"/>
      <c r="M114" s="44"/>
      <c r="O114" s="84"/>
      <c r="P114" s="646"/>
      <c r="Q114" s="483"/>
      <c r="R114" s="1095"/>
      <c r="S114" s="366"/>
      <c r="T114" s="282"/>
      <c r="U114" s="282"/>
      <c r="V114" s="282"/>
      <c r="W114" s="282"/>
      <c r="X114" s="282"/>
      <c r="Y114" s="1"/>
      <c r="Z114" s="1"/>
    </row>
    <row r="115" spans="1:26" ht="15.75" thickBot="1">
      <c r="A115" s="341"/>
      <c r="B115" s="330"/>
      <c r="C115" s="331"/>
      <c r="D115" s="342"/>
      <c r="E115" s="330"/>
      <c r="F115" s="331"/>
      <c r="G115" s="331"/>
      <c r="H115" s="1280" t="s">
        <v>179</v>
      </c>
      <c r="I115" s="1281"/>
      <c r="J115" s="361">
        <f>SUM(K102:K114)</f>
        <v>2911.98</v>
      </c>
      <c r="K115" s="1146" t="s">
        <v>180</v>
      </c>
      <c r="L115" s="1146"/>
      <c r="M115" s="514">
        <v>0</v>
      </c>
      <c r="O115" s="84"/>
      <c r="P115" s="646"/>
      <c r="Q115" s="483"/>
      <c r="R115" s="365"/>
      <c r="S115" s="366"/>
      <c r="T115" s="282"/>
      <c r="U115" s="282"/>
      <c r="V115" s="1"/>
      <c r="W115" s="282"/>
      <c r="X115" s="282"/>
      <c r="Y115" s="1"/>
      <c r="Z115" s="1"/>
    </row>
    <row r="116" spans="1:26" ht="15.75" thickTop="1">
      <c r="C116" s="491"/>
      <c r="D116" s="491"/>
      <c r="O116" s="84"/>
      <c r="P116" s="646"/>
      <c r="Q116" s="483"/>
      <c r="R116" s="365"/>
      <c r="S116" s="366"/>
      <c r="T116" s="282"/>
      <c r="U116" s="282"/>
      <c r="V116" s="1"/>
      <c r="W116" s="282"/>
      <c r="X116" s="282"/>
      <c r="Y116" s="1"/>
      <c r="Z116" s="1"/>
    </row>
    <row r="117" spans="1:26" ht="15" customHeight="1">
      <c r="A117" s="1163" t="s">
        <v>386</v>
      </c>
      <c r="B117" s="1163"/>
      <c r="C117" s="1163"/>
      <c r="D117" s="1163"/>
      <c r="E117" s="1163"/>
      <c r="F117" s="1163"/>
      <c r="G117" s="1163"/>
      <c r="H117" s="1163"/>
      <c r="I117" s="1163"/>
      <c r="J117" s="1163"/>
      <c r="K117" s="1163"/>
      <c r="L117" s="1163"/>
      <c r="M117" s="1163"/>
      <c r="O117" s="84"/>
      <c r="P117" s="86"/>
      <c r="Q117" s="483"/>
      <c r="R117" s="1095"/>
      <c r="S117" s="1"/>
      <c r="T117" s="282"/>
      <c r="U117" s="282"/>
      <c r="V117" s="1"/>
      <c r="W117" s="1"/>
      <c r="X117" s="1"/>
      <c r="Y117" s="1"/>
      <c r="Z117" s="1"/>
    </row>
    <row r="118" spans="1:26" ht="15.75" customHeight="1" thickBot="1">
      <c r="A118" s="1164"/>
      <c r="B118" s="1164"/>
      <c r="C118" s="1164"/>
      <c r="D118" s="1164"/>
      <c r="E118" s="1164"/>
      <c r="F118" s="1164"/>
      <c r="G118" s="1164"/>
      <c r="H118" s="1164"/>
      <c r="I118" s="1164"/>
      <c r="J118" s="1164"/>
      <c r="K118" s="1164"/>
      <c r="L118" s="1164"/>
      <c r="M118" s="1164"/>
      <c r="O118" s="84"/>
      <c r="P118" s="86"/>
      <c r="Q118" s="483"/>
      <c r="R118" s="1095"/>
      <c r="S118" s="1"/>
      <c r="T118" s="1"/>
      <c r="U118" s="282"/>
      <c r="V118" s="1"/>
      <c r="W118" s="1"/>
      <c r="X118" s="1"/>
      <c r="Y118" s="1"/>
      <c r="Z118" s="1"/>
    </row>
    <row r="119" spans="1:26" ht="15.75" thickTop="1">
      <c r="A119" s="1301" t="s">
        <v>43</v>
      </c>
      <c r="B119" s="1268"/>
      <c r="C119" s="1268"/>
      <c r="D119" s="1268"/>
      <c r="E119" s="1268"/>
      <c r="F119" s="1302"/>
      <c r="G119" s="323"/>
      <c r="O119" s="84"/>
      <c r="P119" s="86"/>
      <c r="Q119" s="647"/>
      <c r="R119" s="1095"/>
      <c r="S119" s="1"/>
      <c r="T119" s="1"/>
      <c r="U119" s="282"/>
      <c r="V119" s="1"/>
      <c r="W119" s="1"/>
      <c r="X119" s="1"/>
      <c r="Y119" s="1"/>
      <c r="Z119" s="1"/>
    </row>
    <row r="120" spans="1:26">
      <c r="A120" s="1213" t="s">
        <v>342</v>
      </c>
      <c r="B120" s="1214"/>
      <c r="C120" s="1089" t="s">
        <v>35</v>
      </c>
      <c r="D120" s="1089" t="s">
        <v>38</v>
      </c>
      <c r="E120" s="1089" t="s">
        <v>42</v>
      </c>
      <c r="F120" s="1089" t="s">
        <v>44</v>
      </c>
      <c r="G120" s="1"/>
      <c r="O120" s="84"/>
      <c r="P120" s="86"/>
      <c r="Q120" s="483"/>
      <c r="R120" s="1095"/>
      <c r="S120" s="1"/>
      <c r="T120" s="1"/>
      <c r="U120" s="1"/>
      <c r="W120" s="1"/>
      <c r="X120" s="1"/>
      <c r="Y120" s="1"/>
      <c r="Z120" s="1"/>
    </row>
    <row r="121" spans="1:26">
      <c r="A121" s="1290" t="s">
        <v>40</v>
      </c>
      <c r="B121" s="1271"/>
      <c r="C121" s="967"/>
      <c r="D121" s="967"/>
      <c r="E121" s="481">
        <v>0</v>
      </c>
      <c r="F121" s="3"/>
      <c r="G121" s="1"/>
      <c r="O121" s="84"/>
      <c r="P121" s="86"/>
      <c r="Q121" s="483"/>
      <c r="R121" s="1095"/>
      <c r="S121" s="1"/>
      <c r="T121" s="1"/>
      <c r="U121" s="1"/>
      <c r="W121" s="1"/>
      <c r="X121" s="1"/>
      <c r="Y121" s="1"/>
      <c r="Z121" s="1"/>
    </row>
    <row r="122" spans="1:26">
      <c r="A122" s="340"/>
      <c r="B122" s="366"/>
      <c r="C122" s="498">
        <f>SUM(C121:C121)</f>
        <v>0</v>
      </c>
      <c r="D122" s="366"/>
      <c r="E122" s="84"/>
      <c r="F122" s="366"/>
      <c r="G122" s="1"/>
      <c r="K122" s="490"/>
      <c r="O122" s="84"/>
      <c r="P122" s="86"/>
      <c r="Q122" s="1095"/>
      <c r="R122" s="1095"/>
      <c r="T122" s="1"/>
      <c r="U122" s="1"/>
      <c r="Z122" s="1"/>
    </row>
    <row r="123" spans="1:26">
      <c r="A123" s="340"/>
      <c r="B123" s="366"/>
      <c r="C123" s="366"/>
      <c r="D123" s="366"/>
      <c r="E123" s="366"/>
      <c r="F123" s="366"/>
      <c r="G123" s="1"/>
      <c r="O123" s="84"/>
      <c r="P123" s="86"/>
      <c r="Q123" s="1095"/>
      <c r="R123" s="1095"/>
      <c r="U123" s="1"/>
      <c r="Z123" s="1"/>
    </row>
    <row r="124" spans="1:26">
      <c r="A124" s="340"/>
      <c r="B124" s="366"/>
      <c r="C124" s="366"/>
      <c r="D124" s="366"/>
      <c r="E124" s="366"/>
      <c r="F124" s="366"/>
      <c r="G124" s="1"/>
      <c r="M124" s="490"/>
      <c r="O124" s="84"/>
      <c r="P124" s="86"/>
      <c r="Q124" s="1095"/>
      <c r="R124" s="1095"/>
      <c r="U124" s="1"/>
      <c r="Z124" s="1"/>
    </row>
    <row r="125" spans="1:26">
      <c r="A125" s="340"/>
      <c r="B125" s="366"/>
      <c r="C125" s="366"/>
      <c r="D125" s="366"/>
      <c r="E125" s="366"/>
      <c r="F125" s="366"/>
      <c r="G125" s="1"/>
      <c r="O125" s="84"/>
      <c r="P125" s="86"/>
      <c r="Q125" s="1095"/>
      <c r="R125" s="1095"/>
      <c r="U125" s="1"/>
    </row>
    <row r="126" spans="1:26">
      <c r="A126" s="43"/>
      <c r="B126" s="1"/>
      <c r="C126" s="366"/>
      <c r="D126" s="1"/>
      <c r="E126" s="1"/>
      <c r="F126" s="1"/>
      <c r="G126" s="1"/>
      <c r="M126" s="1"/>
      <c r="O126" s="84"/>
      <c r="P126" s="86"/>
      <c r="Q126" s="1095"/>
      <c r="R126" s="1095"/>
    </row>
    <row r="127" spans="1:26">
      <c r="A127" s="43"/>
      <c r="B127" s="1"/>
      <c r="C127" s="366"/>
      <c r="D127" s="1"/>
      <c r="E127" s="1"/>
      <c r="F127" s="1"/>
      <c r="G127" s="1"/>
      <c r="M127" s="1"/>
      <c r="O127" s="84"/>
      <c r="P127" s="86"/>
      <c r="Q127" s="1095"/>
      <c r="R127" s="1095"/>
    </row>
    <row r="128" spans="1:26">
      <c r="A128" s="43"/>
      <c r="B128" s="1"/>
      <c r="C128" s="366"/>
      <c r="D128" s="1"/>
      <c r="E128" s="1"/>
      <c r="F128" s="1"/>
      <c r="G128" s="1"/>
      <c r="M128" s="1"/>
      <c r="O128" s="84"/>
      <c r="P128" s="86"/>
      <c r="Q128" s="1095"/>
      <c r="R128" s="1095"/>
    </row>
    <row r="129" spans="1:26">
      <c r="A129" s="43"/>
      <c r="B129" s="1"/>
      <c r="C129" s="366"/>
      <c r="D129" s="1"/>
      <c r="E129" s="1"/>
      <c r="F129" s="1"/>
      <c r="G129" s="1"/>
      <c r="M129" s="366"/>
      <c r="O129" s="84"/>
      <c r="P129" s="86"/>
      <c r="Q129" s="1095"/>
      <c r="R129" s="1095"/>
    </row>
    <row r="130" spans="1:26">
      <c r="A130" s="43"/>
      <c r="B130" s="1"/>
      <c r="C130" s="366"/>
      <c r="D130" s="1"/>
      <c r="E130" s="1"/>
      <c r="F130" s="1"/>
      <c r="G130" s="1"/>
      <c r="M130" s="366"/>
      <c r="O130" s="84"/>
      <c r="P130" s="86"/>
      <c r="Q130" s="1095"/>
      <c r="R130" s="1095"/>
    </row>
    <row r="131" spans="1:26">
      <c r="A131" s="43"/>
      <c r="B131" s="1"/>
      <c r="C131" s="366"/>
      <c r="D131" s="1"/>
      <c r="E131" s="1"/>
      <c r="F131" s="1"/>
      <c r="G131" s="1"/>
      <c r="M131" s="1"/>
      <c r="O131" s="84"/>
      <c r="P131" s="86"/>
      <c r="Q131" s="1095"/>
      <c r="R131" s="1095"/>
    </row>
    <row r="132" spans="1:26">
      <c r="A132" s="43"/>
      <c r="B132" s="1"/>
      <c r="C132" s="366"/>
      <c r="D132" s="1"/>
      <c r="E132" s="1"/>
      <c r="F132" s="1"/>
      <c r="G132" s="1"/>
      <c r="M132" s="1"/>
      <c r="O132" s="84"/>
      <c r="P132" s="86"/>
      <c r="Q132" s="1095"/>
      <c r="R132" s="1095"/>
    </row>
    <row r="133" spans="1:26">
      <c r="A133" s="43"/>
      <c r="B133" s="1"/>
      <c r="C133" s="366"/>
      <c r="D133" s="1"/>
      <c r="E133" s="1"/>
      <c r="F133" s="1"/>
      <c r="G133" s="1"/>
      <c r="M133" s="1"/>
      <c r="O133" s="84"/>
      <c r="P133" s="86"/>
      <c r="Q133" s="86"/>
      <c r="R133" s="1095"/>
    </row>
    <row r="134" spans="1:26">
      <c r="A134" s="43"/>
      <c r="B134" s="1"/>
      <c r="C134" s="366"/>
      <c r="D134" s="1"/>
      <c r="E134" s="1"/>
      <c r="F134" s="1"/>
      <c r="G134" s="1"/>
      <c r="M134" s="1"/>
      <c r="O134" s="84"/>
      <c r="P134" s="86"/>
      <c r="Q134" s="86"/>
      <c r="R134" s="1095"/>
    </row>
    <row r="135" spans="1:26">
      <c r="A135" s="43"/>
      <c r="B135" s="1"/>
      <c r="C135" s="366"/>
      <c r="D135" s="1"/>
      <c r="E135" s="1"/>
      <c r="F135" s="1"/>
      <c r="G135" s="1"/>
      <c r="O135" s="84"/>
      <c r="P135" s="86"/>
      <c r="Q135" s="86"/>
      <c r="R135" s="1095"/>
    </row>
    <row r="136" spans="1:26">
      <c r="A136" s="43"/>
      <c r="B136" s="1"/>
      <c r="C136" s="366"/>
      <c r="D136" s="1"/>
      <c r="E136" s="1"/>
      <c r="F136" s="1"/>
      <c r="G136" s="1"/>
      <c r="O136" s="84"/>
      <c r="P136" s="86"/>
      <c r="Q136" s="86"/>
      <c r="R136" s="1095"/>
    </row>
    <row r="137" spans="1:26">
      <c r="C137" s="446"/>
      <c r="O137" s="84"/>
      <c r="P137" s="86"/>
      <c r="Q137" s="86"/>
      <c r="R137" s="145"/>
    </row>
    <row r="138" spans="1:26">
      <c r="A138" s="12"/>
      <c r="C138" s="446"/>
      <c r="O138" s="84"/>
      <c r="P138" s="86"/>
      <c r="Q138" s="86"/>
      <c r="R138" s="366"/>
    </row>
    <row r="139" spans="1:26">
      <c r="C139" s="446"/>
      <c r="O139" s="84"/>
      <c r="R139" s="366"/>
    </row>
    <row r="140" spans="1:26" s="1" customFormat="1" ht="12.75" customHeight="1">
      <c r="A140" s="448"/>
      <c r="B140" s="199"/>
      <c r="D140" s="273"/>
      <c r="E140" s="366"/>
      <c r="F140" s="366"/>
      <c r="G140" s="366"/>
      <c r="H140" s="538"/>
      <c r="I140" s="902"/>
      <c r="J140" s="437"/>
      <c r="K140" s="605"/>
      <c r="L140" s="605"/>
      <c r="M140" s="436"/>
      <c r="O140" s="84"/>
      <c r="P140" s="84"/>
      <c r="Q140" s="145"/>
      <c r="R140" s="84"/>
      <c r="S140" s="84"/>
      <c r="T140" s="366"/>
      <c r="U140" s="366"/>
      <c r="V140" s="366"/>
      <c r="W140" s="366"/>
      <c r="X140" s="366"/>
      <c r="Y140" s="366"/>
      <c r="Z140" s="366"/>
    </row>
    <row r="141" spans="1:26">
      <c r="C141" s="446"/>
      <c r="O141" s="84"/>
      <c r="R141" s="366"/>
    </row>
    <row r="142" spans="1:26">
      <c r="C142" s="446"/>
      <c r="O142" s="150"/>
      <c r="R142" s="366"/>
    </row>
    <row r="143" spans="1:26">
      <c r="C143" s="446"/>
      <c r="R143" s="366"/>
    </row>
    <row r="144" spans="1:26">
      <c r="C144" s="446"/>
      <c r="R144" s="366"/>
    </row>
    <row r="145" spans="3:18">
      <c r="C145" s="446"/>
      <c r="R145" s="910"/>
    </row>
    <row r="146" spans="3:18">
      <c r="C146" s="446"/>
    </row>
  </sheetData>
  <mergeCells count="131">
    <mergeCell ref="A119:F119"/>
    <mergeCell ref="A120:B120"/>
    <mergeCell ref="A121:B121"/>
    <mergeCell ref="I112:J112"/>
    <mergeCell ref="I113:J113"/>
    <mergeCell ref="I114:J114"/>
    <mergeCell ref="H115:I115"/>
    <mergeCell ref="K115:L115"/>
    <mergeCell ref="A117:M118"/>
    <mergeCell ref="I105:J105"/>
    <mergeCell ref="I106:J106"/>
    <mergeCell ref="I107:J107"/>
    <mergeCell ref="I109:J109"/>
    <mergeCell ref="I110:J110"/>
    <mergeCell ref="I111:J111"/>
    <mergeCell ref="H100:H101"/>
    <mergeCell ref="I100:K101"/>
    <mergeCell ref="L100:M101"/>
    <mergeCell ref="I102:J102"/>
    <mergeCell ref="I103:J103"/>
    <mergeCell ref="I104:J104"/>
    <mergeCell ref="I79:J79"/>
    <mergeCell ref="L79:M79"/>
    <mergeCell ref="A80:B80"/>
    <mergeCell ref="H80:J80"/>
    <mergeCell ref="L80:M80"/>
    <mergeCell ref="H81:H82"/>
    <mergeCell ref="I81:I82"/>
    <mergeCell ref="J81:K81"/>
    <mergeCell ref="L81:L82"/>
    <mergeCell ref="M81:M82"/>
    <mergeCell ref="I76:J76"/>
    <mergeCell ref="L76:M76"/>
    <mergeCell ref="I77:J77"/>
    <mergeCell ref="L77:M77"/>
    <mergeCell ref="I78:J78"/>
    <mergeCell ref="L78:M78"/>
    <mergeCell ref="I73:J73"/>
    <mergeCell ref="L73:M73"/>
    <mergeCell ref="I74:J74"/>
    <mergeCell ref="L74:M74"/>
    <mergeCell ref="I75:J75"/>
    <mergeCell ref="L75:M75"/>
    <mergeCell ref="I70:J70"/>
    <mergeCell ref="L70:M70"/>
    <mergeCell ref="I71:J71"/>
    <mergeCell ref="L71:M71"/>
    <mergeCell ref="I72:J72"/>
    <mergeCell ref="L72:M72"/>
    <mergeCell ref="I67:J67"/>
    <mergeCell ref="L67:M67"/>
    <mergeCell ref="I68:J68"/>
    <mergeCell ref="L68:M68"/>
    <mergeCell ref="I69:J69"/>
    <mergeCell ref="L69:M69"/>
    <mergeCell ref="I64:J64"/>
    <mergeCell ref="L64:M64"/>
    <mergeCell ref="I65:J65"/>
    <mergeCell ref="L65:M65"/>
    <mergeCell ref="I66:J66"/>
    <mergeCell ref="L66:M66"/>
    <mergeCell ref="K58:L58"/>
    <mergeCell ref="H59:K59"/>
    <mergeCell ref="A60:M61"/>
    <mergeCell ref="A62:G62"/>
    <mergeCell ref="H62:M62"/>
    <mergeCell ref="I63:J63"/>
    <mergeCell ref="L63:M63"/>
    <mergeCell ref="I53:J53"/>
    <mergeCell ref="I54:J54"/>
    <mergeCell ref="I55:J55"/>
    <mergeCell ref="I56:J56"/>
    <mergeCell ref="I57:J57"/>
    <mergeCell ref="H58:I58"/>
    <mergeCell ref="I45:J45"/>
    <mergeCell ref="I46:J46"/>
    <mergeCell ref="I47:J47"/>
    <mergeCell ref="I50:J50"/>
    <mergeCell ref="I51:J51"/>
    <mergeCell ref="I52:J52"/>
    <mergeCell ref="H40:H41"/>
    <mergeCell ref="I40:K41"/>
    <mergeCell ref="L40:M41"/>
    <mergeCell ref="I42:J42"/>
    <mergeCell ref="I43:J43"/>
    <mergeCell ref="I44:J44"/>
    <mergeCell ref="A20:B20"/>
    <mergeCell ref="H20:J20"/>
    <mergeCell ref="L20:M20"/>
    <mergeCell ref="H21:H22"/>
    <mergeCell ref="I21:I22"/>
    <mergeCell ref="J21:K21"/>
    <mergeCell ref="L21:L22"/>
    <mergeCell ref="M21:M22"/>
    <mergeCell ref="I17:J17"/>
    <mergeCell ref="L17:M17"/>
    <mergeCell ref="I18:J18"/>
    <mergeCell ref="L18:M18"/>
    <mergeCell ref="I19:J19"/>
    <mergeCell ref="L19:M19"/>
    <mergeCell ref="I14:J14"/>
    <mergeCell ref="L14:M14"/>
    <mergeCell ref="I15:J15"/>
    <mergeCell ref="L15:M15"/>
    <mergeCell ref="I16:J16"/>
    <mergeCell ref="L16:M16"/>
    <mergeCell ref="I11:J11"/>
    <mergeCell ref="L11:M11"/>
    <mergeCell ref="I12:J12"/>
    <mergeCell ref="L12:M12"/>
    <mergeCell ref="I13:J13"/>
    <mergeCell ref="L13:M13"/>
    <mergeCell ref="I8:J8"/>
    <mergeCell ref="L8:M8"/>
    <mergeCell ref="I9:J9"/>
    <mergeCell ref="L9:M9"/>
    <mergeCell ref="I10:J10"/>
    <mergeCell ref="L10:M10"/>
    <mergeCell ref="I6:J6"/>
    <mergeCell ref="L6:M6"/>
    <mergeCell ref="AF6:AF7"/>
    <mergeCell ref="AG6:AG7"/>
    <mergeCell ref="I7:J7"/>
    <mergeCell ref="L7:M7"/>
    <mergeCell ref="A1:M2"/>
    <mergeCell ref="A3:G3"/>
    <mergeCell ref="H3:M3"/>
    <mergeCell ref="I4:J4"/>
    <mergeCell ref="L4:M4"/>
    <mergeCell ref="I5:J5"/>
    <mergeCell ref="L5:M5"/>
  </mergeCells>
  <printOptions horizontalCentered="1" verticalCentered="1"/>
  <pageMargins left="0" right="0" top="0" bottom="0" header="0" footer="0"/>
  <pageSetup paperSize="9" scale="72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7"/>
  <sheetViews>
    <sheetView zoomScaleNormal="100" zoomScaleSheetLayoutView="115" zoomScalePageLayoutView="7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K17" sqref="K17"/>
    </sheetView>
  </sheetViews>
  <sheetFormatPr defaultColWidth="9.140625" defaultRowHeight="15"/>
  <cols>
    <col min="1" max="1" width="12.7109375" style="35" customWidth="1"/>
    <col min="2" max="2" width="6" style="35" customWidth="1"/>
    <col min="3" max="5" width="14.7109375" style="35" customWidth="1"/>
    <col min="6" max="6" width="17.42578125" style="35" customWidth="1"/>
    <col min="7" max="8" width="14.7109375" style="35" customWidth="1"/>
    <col min="9" max="13" width="18.7109375" style="35" customWidth="1"/>
    <col min="14" max="16384" width="9.140625" style="35"/>
  </cols>
  <sheetData>
    <row r="1" spans="2:16" ht="14.1" customHeight="1">
      <c r="B1" s="14" t="s">
        <v>10</v>
      </c>
      <c r="C1" s="14" t="s">
        <v>2</v>
      </c>
      <c r="D1" s="14" t="s">
        <v>46</v>
      </c>
      <c r="E1" s="14" t="s">
        <v>1</v>
      </c>
      <c r="F1" s="14" t="s">
        <v>364</v>
      </c>
      <c r="G1" s="14" t="s">
        <v>184</v>
      </c>
      <c r="H1" s="307" t="s">
        <v>435</v>
      </c>
      <c r="I1" s="463"/>
      <c r="J1" s="463"/>
      <c r="K1" s="463"/>
      <c r="L1" s="463"/>
    </row>
    <row r="2" spans="2:16" ht="14.1" customHeight="1">
      <c r="B2" s="16">
        <f>IF(C2="","",WEEKDAY(C2,2))</f>
        <v>1</v>
      </c>
      <c r="C2" s="17">
        <v>44256</v>
      </c>
      <c r="D2" s="757"/>
      <c r="E2" s="757"/>
      <c r="F2" s="872"/>
      <c r="G2" s="872">
        <v>221.5</v>
      </c>
      <c r="H2" s="255"/>
      <c r="I2" s="669"/>
      <c r="J2" s="463"/>
      <c r="K2" s="463"/>
      <c r="L2" s="463"/>
    </row>
    <row r="3" spans="2:16" ht="14.1" customHeight="1">
      <c r="B3" s="16">
        <f t="shared" ref="B3:B32" si="0">IF(C3="","",WEEKDAY(C3,2))</f>
        <v>2</v>
      </c>
      <c r="C3" s="17">
        <v>44257</v>
      </c>
      <c r="D3" s="757"/>
      <c r="E3" s="757"/>
      <c r="F3" s="872">
        <v>560</v>
      </c>
      <c r="G3" s="872"/>
      <c r="H3" s="255"/>
      <c r="I3" s="669"/>
      <c r="J3" s="463"/>
      <c r="K3" s="463"/>
      <c r="L3" s="1037"/>
      <c r="M3" s="1038"/>
    </row>
    <row r="4" spans="2:16" ht="14.1" customHeight="1">
      <c r="B4" s="16">
        <f t="shared" si="0"/>
        <v>3</v>
      </c>
      <c r="C4" s="17">
        <v>44258</v>
      </c>
      <c r="D4" s="757"/>
      <c r="E4" s="757"/>
      <c r="F4" s="872">
        <v>926.77</v>
      </c>
      <c r="G4" s="872"/>
      <c r="H4" s="255"/>
      <c r="I4" s="669"/>
      <c r="J4" s="463"/>
      <c r="L4" s="463"/>
    </row>
    <row r="5" spans="2:16" ht="14.1" customHeight="1">
      <c r="B5" s="16">
        <f t="shared" si="0"/>
        <v>4</v>
      </c>
      <c r="C5" s="17">
        <v>44259</v>
      </c>
      <c r="D5" s="757"/>
      <c r="E5" s="757"/>
      <c r="F5" s="872"/>
      <c r="G5" s="872">
        <v>485.3</v>
      </c>
      <c r="H5" s="255"/>
      <c r="I5" s="669"/>
      <c r="J5" s="463"/>
      <c r="K5" s="463"/>
      <c r="L5" s="463"/>
    </row>
    <row r="6" spans="2:16" ht="14.1" customHeight="1">
      <c r="B6" s="16">
        <f t="shared" si="0"/>
        <v>5</v>
      </c>
      <c r="C6" s="17">
        <v>44260</v>
      </c>
      <c r="D6" s="757"/>
      <c r="E6" s="757"/>
      <c r="F6" s="872"/>
      <c r="G6" s="872">
        <v>535.4</v>
      </c>
      <c r="H6" s="255"/>
      <c r="I6" s="669"/>
      <c r="J6" s="463"/>
      <c r="K6" s="463"/>
      <c r="L6" s="463"/>
    </row>
    <row r="7" spans="2:16" ht="14.1" customHeight="1">
      <c r="B7" s="16">
        <f t="shared" si="0"/>
        <v>6</v>
      </c>
      <c r="C7" s="17">
        <v>44261</v>
      </c>
      <c r="D7" s="757"/>
      <c r="E7" s="757"/>
      <c r="F7" s="872">
        <v>772.4</v>
      </c>
      <c r="G7" s="872"/>
      <c r="H7" s="255"/>
      <c r="I7" s="669"/>
      <c r="J7" s="463"/>
      <c r="K7" s="463"/>
      <c r="L7" s="463"/>
    </row>
    <row r="8" spans="2:16" ht="14.1" customHeight="1">
      <c r="B8" s="16">
        <f t="shared" si="0"/>
        <v>7</v>
      </c>
      <c r="C8" s="17">
        <v>44262</v>
      </c>
      <c r="D8" s="757"/>
      <c r="E8" s="757"/>
      <c r="F8" s="872">
        <v>933.85</v>
      </c>
      <c r="G8" s="872"/>
      <c r="H8" s="255"/>
      <c r="I8" s="669"/>
      <c r="J8" s="463"/>
      <c r="K8" s="463"/>
      <c r="L8" s="463"/>
    </row>
    <row r="9" spans="2:16" ht="14.1" customHeight="1">
      <c r="B9" s="16">
        <f t="shared" si="0"/>
        <v>1</v>
      </c>
      <c r="C9" s="17">
        <v>44263</v>
      </c>
      <c r="D9" s="757"/>
      <c r="E9" s="757"/>
      <c r="F9" s="872"/>
      <c r="G9" s="872">
        <v>746.78</v>
      </c>
      <c r="H9" s="255"/>
      <c r="I9" s="669"/>
      <c r="J9" s="463"/>
      <c r="K9" s="463"/>
      <c r="L9" s="463"/>
    </row>
    <row r="10" spans="2:16" ht="14.1" customHeight="1">
      <c r="B10" s="16">
        <f t="shared" si="0"/>
        <v>2</v>
      </c>
      <c r="C10" s="17">
        <v>44264</v>
      </c>
      <c r="D10" s="757"/>
      <c r="E10" s="757"/>
      <c r="F10" s="872"/>
      <c r="G10" s="872"/>
      <c r="H10" s="255"/>
      <c r="I10" s="669"/>
      <c r="J10" s="463"/>
      <c r="K10" s="463"/>
      <c r="L10" s="463"/>
    </row>
    <row r="11" spans="2:16" ht="14.1" customHeight="1">
      <c r="B11" s="16">
        <f t="shared" si="0"/>
        <v>3</v>
      </c>
      <c r="C11" s="17">
        <v>44265</v>
      </c>
      <c r="D11" s="757"/>
      <c r="E11" s="757"/>
      <c r="F11" s="872"/>
      <c r="G11" s="872"/>
      <c r="H11" s="255"/>
      <c r="I11" s="669"/>
      <c r="J11" s="463"/>
      <c r="K11" s="465"/>
      <c r="L11" s="463"/>
    </row>
    <row r="12" spans="2:16" ht="14.1" customHeight="1">
      <c r="B12" s="16">
        <f t="shared" si="0"/>
        <v>4</v>
      </c>
      <c r="C12" s="17">
        <v>44266</v>
      </c>
      <c r="D12" s="757"/>
      <c r="E12" s="757"/>
      <c r="F12" s="872"/>
      <c r="G12" s="872"/>
      <c r="H12" s="255"/>
      <c r="I12" s="669"/>
      <c r="J12" s="464"/>
      <c r="K12" s="463"/>
      <c r="L12" s="463"/>
    </row>
    <row r="13" spans="2:16" ht="14.1" customHeight="1">
      <c r="B13" s="16">
        <f t="shared" si="0"/>
        <v>5</v>
      </c>
      <c r="C13" s="17">
        <v>44267</v>
      </c>
      <c r="D13" s="757"/>
      <c r="E13" s="757"/>
      <c r="F13" s="872"/>
      <c r="G13" s="872"/>
      <c r="H13" s="255"/>
      <c r="I13" s="669"/>
      <c r="J13" s="463"/>
      <c r="K13" s="465"/>
      <c r="L13" s="463"/>
      <c r="N13" s="86"/>
      <c r="O13" s="86"/>
      <c r="P13" s="86"/>
    </row>
    <row r="14" spans="2:16" ht="14.1" customHeight="1">
      <c r="B14" s="16">
        <f t="shared" si="0"/>
        <v>6</v>
      </c>
      <c r="C14" s="17">
        <v>44268</v>
      </c>
      <c r="D14" s="757"/>
      <c r="E14" s="757"/>
      <c r="F14" s="872"/>
      <c r="G14" s="872"/>
      <c r="H14" s="255"/>
      <c r="I14" s="669"/>
      <c r="J14" s="463"/>
      <c r="K14" s="465"/>
      <c r="L14" s="463"/>
      <c r="N14" s="86"/>
      <c r="O14" s="86"/>
      <c r="P14" s="86"/>
    </row>
    <row r="15" spans="2:16" ht="14.1" customHeight="1">
      <c r="B15" s="16">
        <f t="shared" si="0"/>
        <v>7</v>
      </c>
      <c r="C15" s="17">
        <v>44269</v>
      </c>
      <c r="D15" s="757"/>
      <c r="E15" s="757"/>
      <c r="F15" s="872"/>
      <c r="G15" s="872"/>
      <c r="H15" s="255"/>
      <c r="I15" s="669"/>
      <c r="J15" s="463"/>
      <c r="K15" s="465"/>
      <c r="L15" s="463"/>
      <c r="N15" s="86"/>
      <c r="O15" s="86"/>
      <c r="P15" s="86"/>
    </row>
    <row r="16" spans="2:16" ht="14.1" customHeight="1">
      <c r="B16" s="16">
        <f t="shared" si="0"/>
        <v>1</v>
      </c>
      <c r="C16" s="17">
        <v>44270</v>
      </c>
      <c r="D16" s="757"/>
      <c r="E16" s="757"/>
      <c r="F16" s="872"/>
      <c r="G16" s="872"/>
      <c r="H16" s="255"/>
      <c r="I16" s="669"/>
      <c r="J16" s="463"/>
      <c r="K16" s="465">
        <f>SUM(F2:G9)</f>
        <v>5182</v>
      </c>
      <c r="L16" s="463"/>
      <c r="N16" s="86"/>
      <c r="O16" s="86"/>
      <c r="P16" s="86"/>
    </row>
    <row r="17" spans="1:16" ht="14.1" customHeight="1">
      <c r="A17" s="86"/>
      <c r="B17" s="16">
        <f t="shared" si="0"/>
        <v>2</v>
      </c>
      <c r="C17" s="17">
        <v>44271</v>
      </c>
      <c r="D17" s="757"/>
      <c r="E17" s="757"/>
      <c r="F17" s="872"/>
      <c r="G17" s="872"/>
      <c r="H17" s="255"/>
      <c r="I17" s="669"/>
      <c r="J17" s="463"/>
      <c r="K17" s="465"/>
      <c r="L17" s="463"/>
      <c r="N17" s="86"/>
      <c r="O17" s="86"/>
      <c r="P17" s="86"/>
    </row>
    <row r="18" spans="1:16" ht="14.1" customHeight="1">
      <c r="A18" s="86"/>
      <c r="B18" s="16">
        <f t="shared" si="0"/>
        <v>3</v>
      </c>
      <c r="C18" s="17">
        <v>44272</v>
      </c>
      <c r="D18" s="757"/>
      <c r="E18" s="757"/>
      <c r="F18" s="872"/>
      <c r="G18" s="872"/>
      <c r="H18" s="255"/>
      <c r="I18" s="669"/>
      <c r="J18" s="463"/>
      <c r="K18" s="465"/>
      <c r="L18" s="465"/>
      <c r="M18" s="86"/>
      <c r="N18" s="86"/>
      <c r="O18" s="86"/>
      <c r="P18" s="86"/>
    </row>
    <row r="19" spans="1:16" ht="14.1" customHeight="1">
      <c r="A19" s="86"/>
      <c r="B19" s="16">
        <f t="shared" si="0"/>
        <v>4</v>
      </c>
      <c r="C19" s="17">
        <v>44273</v>
      </c>
      <c r="D19" s="757"/>
      <c r="E19" s="757"/>
      <c r="F19" s="872"/>
      <c r="G19" s="872"/>
      <c r="H19" s="255"/>
      <c r="I19" s="669"/>
      <c r="J19" s="463"/>
      <c r="K19" s="465"/>
      <c r="L19" s="467"/>
      <c r="M19" s="86"/>
      <c r="N19" s="86"/>
      <c r="O19" s="86"/>
      <c r="P19" s="86"/>
    </row>
    <row r="20" spans="1:16" ht="14.1" customHeight="1">
      <c r="A20" s="86"/>
      <c r="B20" s="16">
        <f t="shared" si="0"/>
        <v>5</v>
      </c>
      <c r="C20" s="17">
        <v>44274</v>
      </c>
      <c r="D20" s="757"/>
      <c r="E20" s="757"/>
      <c r="F20" s="872"/>
      <c r="G20" s="872"/>
      <c r="H20" s="255"/>
      <c r="I20" s="669"/>
      <c r="J20" s="463"/>
      <c r="K20" s="465"/>
      <c r="L20" s="465"/>
      <c r="M20" s="86"/>
      <c r="N20" s="86"/>
      <c r="O20" s="86"/>
      <c r="P20" s="86"/>
    </row>
    <row r="21" spans="1:16" ht="14.1" customHeight="1">
      <c r="A21" s="86"/>
      <c r="B21" s="16">
        <f t="shared" si="0"/>
        <v>6</v>
      </c>
      <c r="C21" s="17">
        <v>44275</v>
      </c>
      <c r="D21" s="757"/>
      <c r="E21" s="757"/>
      <c r="F21" s="872"/>
      <c r="G21" s="872"/>
      <c r="H21" s="255"/>
      <c r="I21" s="669"/>
      <c r="J21" s="463"/>
      <c r="K21" s="465"/>
      <c r="L21" s="465"/>
      <c r="M21" s="86"/>
      <c r="N21" s="86"/>
      <c r="O21" s="86"/>
      <c r="P21" s="86"/>
    </row>
    <row r="22" spans="1:16" s="86" customFormat="1" ht="14.1" customHeight="1">
      <c r="A22" s="474"/>
      <c r="B22" s="16">
        <f t="shared" si="0"/>
        <v>7</v>
      </c>
      <c r="C22" s="17">
        <v>44276</v>
      </c>
      <c r="D22" s="757"/>
      <c r="E22" s="757"/>
      <c r="F22" s="872"/>
      <c r="G22" s="872"/>
      <c r="H22" s="255"/>
      <c r="I22" s="669"/>
      <c r="J22" s="465"/>
      <c r="K22" s="465"/>
      <c r="L22" s="465"/>
    </row>
    <row r="23" spans="1:16" s="86" customFormat="1" ht="14.1" customHeight="1">
      <c r="B23" s="16">
        <f t="shared" si="0"/>
        <v>1</v>
      </c>
      <c r="C23" s="17">
        <v>44277</v>
      </c>
      <c r="D23" s="757"/>
      <c r="E23" s="757"/>
      <c r="F23" s="872"/>
      <c r="G23" s="872"/>
      <c r="H23" s="255"/>
      <c r="I23" s="669"/>
      <c r="J23" s="465"/>
      <c r="K23" s="465"/>
      <c r="L23" s="465"/>
    </row>
    <row r="24" spans="1:16" s="86" customFormat="1" ht="14.1" customHeight="1">
      <c r="B24" s="16">
        <f t="shared" si="0"/>
        <v>2</v>
      </c>
      <c r="C24" s="17">
        <v>44278</v>
      </c>
      <c r="D24" s="757"/>
      <c r="E24" s="757"/>
      <c r="F24" s="872"/>
      <c r="G24" s="872"/>
      <c r="H24" s="255"/>
      <c r="I24" s="669"/>
      <c r="J24" s="465"/>
      <c r="K24" s="465"/>
      <c r="L24" s="465"/>
    </row>
    <row r="25" spans="1:16" s="86" customFormat="1" ht="14.1" customHeight="1">
      <c r="A25" s="888"/>
      <c r="B25" s="16">
        <f t="shared" si="0"/>
        <v>3</v>
      </c>
      <c r="C25" s="17">
        <v>44279</v>
      </c>
      <c r="D25" s="757"/>
      <c r="E25" s="757"/>
      <c r="F25" s="872"/>
      <c r="G25" s="872"/>
      <c r="H25" s="255"/>
      <c r="I25" s="669"/>
      <c r="J25" s="465"/>
      <c r="K25" s="465"/>
      <c r="L25" s="465"/>
    </row>
    <row r="26" spans="1:16" s="86" customFormat="1" ht="14.1" customHeight="1">
      <c r="A26" s="888"/>
      <c r="B26" s="16">
        <f t="shared" si="0"/>
        <v>4</v>
      </c>
      <c r="C26" s="17">
        <v>44280</v>
      </c>
      <c r="D26" s="757"/>
      <c r="E26" s="757"/>
      <c r="F26" s="872"/>
      <c r="G26" s="872"/>
      <c r="H26" s="255"/>
      <c r="I26" s="669"/>
      <c r="J26" s="465"/>
      <c r="K26" s="704"/>
      <c r="L26" s="465"/>
    </row>
    <row r="27" spans="1:16" s="86" customFormat="1" ht="14.1" customHeight="1">
      <c r="B27" s="16">
        <f t="shared" si="0"/>
        <v>5</v>
      </c>
      <c r="C27" s="17">
        <v>44281</v>
      </c>
      <c r="D27" s="757"/>
      <c r="E27" s="757"/>
      <c r="F27" s="872"/>
      <c r="G27" s="872"/>
      <c r="H27" s="255"/>
      <c r="I27" s="669"/>
      <c r="J27" s="465"/>
      <c r="K27" s="465"/>
      <c r="L27" s="476"/>
    </row>
    <row r="28" spans="1:16" s="86" customFormat="1" ht="14.1" customHeight="1">
      <c r="B28" s="16">
        <f t="shared" si="0"/>
        <v>6</v>
      </c>
      <c r="C28" s="17">
        <v>44282</v>
      </c>
      <c r="D28" s="757"/>
      <c r="E28" s="757"/>
      <c r="F28" s="872"/>
      <c r="G28" s="872"/>
      <c r="H28" s="255"/>
      <c r="I28" s="669"/>
      <c r="J28" s="465"/>
      <c r="K28" s="465"/>
      <c r="L28" s="476"/>
    </row>
    <row r="29" spans="1:16" s="86" customFormat="1" ht="14.1" customHeight="1">
      <c r="B29" s="16">
        <f t="shared" si="0"/>
        <v>7</v>
      </c>
      <c r="C29" s="17">
        <v>44283</v>
      </c>
      <c r="D29" s="757"/>
      <c r="E29" s="757"/>
      <c r="F29" s="872"/>
      <c r="G29" s="872"/>
      <c r="H29" s="255"/>
      <c r="I29" s="669"/>
      <c r="J29" s="468"/>
      <c r="K29" s="468"/>
      <c r="L29" s="468"/>
      <c r="M29" s="366"/>
      <c r="N29" s="366"/>
      <c r="O29" s="366"/>
      <c r="P29" s="366"/>
    </row>
    <row r="30" spans="1:16" s="86" customFormat="1" ht="14.1" customHeight="1">
      <c r="A30" s="474"/>
      <c r="B30" s="16">
        <f t="shared" si="0"/>
        <v>1</v>
      </c>
      <c r="C30" s="17">
        <v>44284</v>
      </c>
      <c r="D30" s="757"/>
      <c r="E30" s="757"/>
      <c r="F30" s="872"/>
      <c r="G30" s="872"/>
      <c r="H30" s="255"/>
      <c r="I30" s="669"/>
      <c r="J30" s="468"/>
      <c r="K30" s="468"/>
      <c r="L30" s="468"/>
      <c r="M30" s="366"/>
      <c r="N30" s="366"/>
      <c r="O30" s="366"/>
      <c r="P30" s="366"/>
    </row>
    <row r="31" spans="1:16" s="86" customFormat="1" ht="14.1" customHeight="1">
      <c r="B31" s="16">
        <f t="shared" si="0"/>
        <v>2</v>
      </c>
      <c r="C31" s="17">
        <v>44285</v>
      </c>
      <c r="D31" s="757"/>
      <c r="E31" s="757"/>
      <c r="F31" s="872"/>
      <c r="G31" s="872"/>
      <c r="H31" s="255"/>
      <c r="I31" s="669"/>
      <c r="J31" s="468"/>
      <c r="K31" s="466"/>
      <c r="L31" s="466"/>
      <c r="M31" s="366"/>
      <c r="N31" s="366"/>
      <c r="O31" s="366"/>
      <c r="P31" s="366"/>
    </row>
    <row r="32" spans="1:16" s="86" customFormat="1" ht="13.5" customHeight="1">
      <c r="B32" s="16">
        <f t="shared" si="0"/>
        <v>3</v>
      </c>
      <c r="C32" s="17">
        <v>44286</v>
      </c>
      <c r="D32" s="757"/>
      <c r="E32" s="757"/>
      <c r="F32" s="872"/>
      <c r="G32" s="872"/>
      <c r="H32" s="255"/>
      <c r="I32" s="669"/>
      <c r="J32" s="466"/>
      <c r="K32" s="466"/>
      <c r="L32" s="466"/>
      <c r="M32" s="366"/>
      <c r="N32" s="366"/>
      <c r="O32" s="366"/>
      <c r="P32" s="366"/>
    </row>
    <row r="33" spans="1:22" ht="14.1" customHeight="1" thickBot="1">
      <c r="B33" s="21"/>
      <c r="C33" s="546" t="s">
        <v>225</v>
      </c>
      <c r="D33" s="248">
        <v>16</v>
      </c>
      <c r="E33" s="248">
        <v>10</v>
      </c>
      <c r="F33" s="248">
        <f>COUNT(F2:F32)</f>
        <v>4</v>
      </c>
      <c r="G33" s="248">
        <f>COUNT(G2:G32)</f>
        <v>4</v>
      </c>
      <c r="H33" s="307">
        <f>COUNT(H2:H32)</f>
        <v>0</v>
      </c>
      <c r="I33" s="469"/>
      <c r="J33" s="469"/>
      <c r="K33" s="469"/>
      <c r="L33" s="469"/>
      <c r="M33" s="366"/>
      <c r="N33" s="366"/>
      <c r="O33" s="366"/>
      <c r="P33" s="366"/>
    </row>
    <row r="34" spans="1:22" ht="14.1" customHeight="1" thickBot="1">
      <c r="B34" s="21"/>
      <c r="C34" s="85" t="s">
        <v>73</v>
      </c>
      <c r="D34" s="238">
        <f>SUM(D2:D32)</f>
        <v>0</v>
      </c>
      <c r="E34" s="238">
        <f>SUM(E2:E32)</f>
        <v>0</v>
      </c>
      <c r="F34" s="238">
        <f>SUM(F2:F32)</f>
        <v>3193.02</v>
      </c>
      <c r="G34" s="238">
        <f>SUM(G2:G32)</f>
        <v>1988.9799999999998</v>
      </c>
      <c r="H34" s="1089">
        <f>SUM(H2:H32)</f>
        <v>0</v>
      </c>
      <c r="I34" s="109" t="s">
        <v>189</v>
      </c>
      <c r="J34" s="292" t="s">
        <v>190</v>
      </c>
      <c r="K34" s="452" t="s">
        <v>219</v>
      </c>
      <c r="L34" s="363"/>
      <c r="M34" s="366"/>
      <c r="N34" s="366"/>
      <c r="O34" s="366"/>
      <c r="P34" s="366"/>
    </row>
    <row r="35" spans="1:22" ht="14.1" customHeight="1" thickBot="1">
      <c r="B35" s="21"/>
      <c r="C35" s="85" t="s">
        <v>22</v>
      </c>
      <c r="D35" s="238">
        <v>9174.06</v>
      </c>
      <c r="E35" s="238">
        <v>9317.7000000000007</v>
      </c>
      <c r="F35" s="238">
        <v>7783.3</v>
      </c>
      <c r="G35" s="238">
        <v>8068.18</v>
      </c>
      <c r="H35" s="5">
        <v>2787</v>
      </c>
      <c r="I35" s="1048">
        <f>SUM(D2:E32)</f>
        <v>0</v>
      </c>
      <c r="J35" s="292">
        <f>SUM(F7:H32)</f>
        <v>2453.0299999999997</v>
      </c>
      <c r="K35" s="453">
        <f>SUM(I4:I32)</f>
        <v>0</v>
      </c>
      <c r="L35" s="363"/>
      <c r="M35" s="366"/>
      <c r="N35" s="366"/>
      <c r="O35" s="366"/>
      <c r="P35" s="366"/>
    </row>
    <row r="36" spans="1:22" ht="14.1" customHeight="1">
      <c r="B36" s="21"/>
      <c r="C36" s="85" t="s">
        <v>5</v>
      </c>
      <c r="D36" s="88">
        <f t="shared" ref="D36:G36" si="1">ABS(D34-D35)</f>
        <v>9174.06</v>
      </c>
      <c r="E36" s="88">
        <f t="shared" si="1"/>
        <v>9317.7000000000007</v>
      </c>
      <c r="F36" s="88">
        <f t="shared" si="1"/>
        <v>4590.2800000000007</v>
      </c>
      <c r="G36" s="88">
        <f t="shared" si="1"/>
        <v>6079.2000000000007</v>
      </c>
      <c r="H36" s="88">
        <f>ABS(H34-H35)</f>
        <v>2787</v>
      </c>
      <c r="I36" s="363"/>
      <c r="J36" s="363"/>
      <c r="K36" s="363"/>
      <c r="L36" s="363"/>
      <c r="M36" s="366"/>
      <c r="N36" s="366"/>
      <c r="O36" s="366"/>
      <c r="P36" s="366"/>
    </row>
    <row r="37" spans="1:22" ht="14.1" customHeight="1">
      <c r="B37" s="21"/>
      <c r="C37" s="700" t="s">
        <v>233</v>
      </c>
      <c r="D37" s="89">
        <f>ROUND(D36*1%,2)</f>
        <v>91.74</v>
      </c>
      <c r="E37" s="89">
        <f t="shared" ref="E37" si="2">ROUND(E36*1%,2)</f>
        <v>93.18</v>
      </c>
      <c r="F37" s="89">
        <f>ROUND(F36*1%,2)</f>
        <v>45.9</v>
      </c>
      <c r="G37" s="89">
        <f>ROUND(G36*1%,2)</f>
        <v>60.79</v>
      </c>
      <c r="H37" s="89">
        <f>ROUND(H36*1%,2)</f>
        <v>27.87</v>
      </c>
      <c r="I37" s="363"/>
      <c r="J37" s="363"/>
      <c r="K37" s="363"/>
      <c r="L37" s="363"/>
      <c r="M37" s="366"/>
      <c r="N37" s="366"/>
      <c r="O37" s="366"/>
      <c r="P37" s="366"/>
    </row>
    <row r="38" spans="1:22" ht="14.1" customHeight="1">
      <c r="B38" s="21"/>
      <c r="C38" s="699" t="s">
        <v>234</v>
      </c>
      <c r="D38" s="89">
        <f>ROUND(3%*D35,2)</f>
        <v>275.22000000000003</v>
      </c>
      <c r="E38" s="89">
        <f>ROUND(3%*E35,2)</f>
        <v>279.52999999999997</v>
      </c>
      <c r="F38" s="89">
        <f>ROUND(3%*F35,2)</f>
        <v>233.5</v>
      </c>
      <c r="G38" s="89">
        <f>ROUND(3%*G35,2)</f>
        <v>242.05</v>
      </c>
      <c r="H38" s="89">
        <f>ROUND(3%*H35,2)</f>
        <v>83.61</v>
      </c>
      <c r="I38" s="145"/>
      <c r="J38" s="145"/>
      <c r="K38" s="366"/>
      <c r="L38" s="363"/>
      <c r="M38" s="366"/>
      <c r="N38" s="366"/>
      <c r="O38" s="366"/>
      <c r="P38" s="366"/>
    </row>
    <row r="39" spans="1:22" ht="14.1" customHeight="1">
      <c r="B39" s="21"/>
      <c r="C39" s="85" t="s">
        <v>7</v>
      </c>
      <c r="D39" s="87">
        <v>50</v>
      </c>
      <c r="E39" s="87">
        <v>50</v>
      </c>
      <c r="F39" s="87"/>
      <c r="G39" s="87">
        <v>40</v>
      </c>
      <c r="H39" s="87"/>
      <c r="I39" s="145"/>
      <c r="J39" s="145"/>
      <c r="K39" s="366"/>
      <c r="L39" s="363"/>
      <c r="M39" s="366"/>
      <c r="N39" s="366"/>
      <c r="O39" s="366"/>
      <c r="P39" s="366"/>
    </row>
    <row r="40" spans="1:22" ht="14.1" customHeight="1">
      <c r="B40" s="21"/>
      <c r="C40" s="85" t="s">
        <v>14</v>
      </c>
      <c r="D40" s="87">
        <f>20*13</f>
        <v>260</v>
      </c>
      <c r="E40" s="87">
        <f>20*9</f>
        <v>180</v>
      </c>
      <c r="F40" s="87">
        <f>ROUND(25*F33,2)</f>
        <v>100</v>
      </c>
      <c r="G40" s="88">
        <f>25*G33</f>
        <v>100</v>
      </c>
      <c r="H40" s="87">
        <f>25*H33</f>
        <v>0</v>
      </c>
      <c r="I40" s="283"/>
      <c r="J40" s="145"/>
      <c r="K40" s="145"/>
      <c r="L40" s="363"/>
      <c r="M40" s="366"/>
      <c r="N40" s="366"/>
      <c r="O40" s="366"/>
      <c r="P40" s="366"/>
    </row>
    <row r="41" spans="1:22" s="1038" customFormat="1" ht="14.1" hidden="1" customHeight="1">
      <c r="B41" s="1082"/>
      <c r="C41" s="1083" t="s">
        <v>94</v>
      </c>
      <c r="D41" s="16"/>
      <c r="E41" s="1084"/>
      <c r="F41" s="1085">
        <v>198</v>
      </c>
      <c r="G41" s="1085"/>
      <c r="H41" s="1084"/>
      <c r="I41" s="1105"/>
      <c r="J41" s="1105"/>
      <c r="K41" s="1101"/>
      <c r="L41" s="1105"/>
      <c r="M41" s="1101"/>
      <c r="N41" s="1101"/>
      <c r="O41" s="1101"/>
      <c r="P41" s="1101"/>
    </row>
    <row r="42" spans="1:22" s="1038" customFormat="1" ht="14.1" hidden="1" customHeight="1">
      <c r="B42" s="1082"/>
      <c r="C42" s="1083" t="s">
        <v>26</v>
      </c>
      <c r="D42" s="1102"/>
      <c r="E42" s="1084"/>
      <c r="F42" s="1085">
        <v>250</v>
      </c>
      <c r="G42" s="1085"/>
      <c r="H42" s="1084"/>
      <c r="I42" s="1105"/>
      <c r="J42" s="1105"/>
      <c r="K42" s="1101"/>
      <c r="L42" s="1105"/>
      <c r="M42" s="1101"/>
      <c r="N42" s="1101"/>
      <c r="O42" s="1101"/>
      <c r="P42" s="1101"/>
    </row>
    <row r="43" spans="1:22" s="1038" customFormat="1" ht="14.1" hidden="1" customHeight="1">
      <c r="B43" s="1086"/>
      <c r="C43" s="1083" t="s">
        <v>401</v>
      </c>
      <c r="D43" s="1087"/>
      <c r="E43" s="1084"/>
      <c r="F43" s="1085">
        <v>100</v>
      </c>
      <c r="G43" s="1085"/>
      <c r="H43" s="1084"/>
      <c r="I43" s="1088"/>
      <c r="J43" s="1105"/>
      <c r="K43" s="1101"/>
      <c r="L43" s="1101"/>
      <c r="M43" s="1101"/>
      <c r="N43" s="1101"/>
      <c r="O43" s="1101"/>
      <c r="P43" s="1101"/>
    </row>
    <row r="44" spans="1:22" ht="14.1" customHeight="1">
      <c r="B44" s="31"/>
      <c r="C44" s="245" t="s">
        <v>77</v>
      </c>
      <c r="D44" s="455">
        <f>D45-D41</f>
        <v>676.96</v>
      </c>
      <c r="E44" s="455">
        <f>E45-E41-E42</f>
        <v>602.71</v>
      </c>
      <c r="F44" s="455">
        <f>F45-F41-F42-F43</f>
        <v>-168.60000000000002</v>
      </c>
      <c r="G44" s="455">
        <f>G45-G41-G42-G43</f>
        <v>442.84000000000003</v>
      </c>
      <c r="H44" s="455">
        <f>H45-H40</f>
        <v>111.48</v>
      </c>
      <c r="I44" s="145"/>
      <c r="J44" s="145"/>
      <c r="K44" s="366"/>
      <c r="L44" s="366"/>
      <c r="M44" s="366"/>
      <c r="N44" s="366"/>
      <c r="O44" s="366"/>
      <c r="P44" s="366"/>
    </row>
    <row r="45" spans="1:22" ht="14.1" customHeight="1">
      <c r="B45" s="21"/>
      <c r="C45" s="286" t="s">
        <v>45</v>
      </c>
      <c r="D45" s="287">
        <f>D37+D38+D39+D40</f>
        <v>676.96</v>
      </c>
      <c r="E45" s="287">
        <f>E37+E38+E39+E40</f>
        <v>602.71</v>
      </c>
      <c r="F45" s="287">
        <f>F40+F37+F38</f>
        <v>379.4</v>
      </c>
      <c r="G45" s="287">
        <f>G37+G38+G39+G40</f>
        <v>442.84000000000003</v>
      </c>
      <c r="H45" s="287">
        <f>H37+H38+H40</f>
        <v>111.48</v>
      </c>
      <c r="I45" s="461"/>
      <c r="J45" s="366"/>
      <c r="K45" s="366"/>
      <c r="L45" s="366"/>
      <c r="M45" s="366"/>
      <c r="N45" s="366"/>
      <c r="O45" s="366"/>
      <c r="P45" s="366"/>
      <c r="Q45" s="1"/>
      <c r="R45" s="1"/>
      <c r="S45" s="1"/>
      <c r="T45" s="1"/>
      <c r="U45" s="1"/>
      <c r="V45" s="1"/>
    </row>
    <row r="46" spans="1:22" ht="14.1" customHeight="1">
      <c r="B46" s="21"/>
      <c r="C46" s="169"/>
      <c r="D46" s="364"/>
      <c r="E46" s="461"/>
      <c r="F46" s="8"/>
      <c r="G46" s="8"/>
      <c r="H46" s="8"/>
      <c r="I46" s="283"/>
      <c r="J46" s="145"/>
      <c r="K46" s="366"/>
      <c r="L46" s="366"/>
      <c r="M46" s="366"/>
      <c r="N46" s="366"/>
      <c r="O46" s="366"/>
      <c r="P46" s="366"/>
      <c r="Q46" s="1"/>
      <c r="R46" s="1"/>
      <c r="S46" s="1"/>
      <c r="T46" s="1"/>
      <c r="U46" s="1"/>
      <c r="V46" s="1"/>
    </row>
    <row r="47" spans="1:22" s="86" customFormat="1" ht="14.1" customHeight="1">
      <c r="A47" s="168"/>
      <c r="B47" s="474"/>
      <c r="C47" s="363"/>
      <c r="D47" s="363"/>
      <c r="E47" s="363"/>
      <c r="F47" s="363"/>
      <c r="G47" s="363"/>
      <c r="H47" s="8"/>
      <c r="I47" s="68"/>
      <c r="J47" s="145"/>
      <c r="K47" s="366"/>
      <c r="L47" s="366"/>
      <c r="M47" s="145"/>
      <c r="N47" s="366"/>
      <c r="O47" s="366"/>
      <c r="P47" s="366"/>
      <c r="Q47" s="366"/>
      <c r="R47" s="366"/>
      <c r="S47" s="366"/>
      <c r="T47" s="366"/>
      <c r="U47" s="366"/>
      <c r="V47" s="366"/>
    </row>
    <row r="48" spans="1:22" s="86" customFormat="1" ht="14.1" customHeight="1">
      <c r="A48" s="168"/>
      <c r="B48" s="474"/>
      <c r="C48" s="1329"/>
      <c r="D48" s="1329"/>
      <c r="E48" s="145">
        <f>D44+E44</f>
        <v>1279.67</v>
      </c>
      <c r="F48" s="168"/>
      <c r="G48" s="168"/>
      <c r="H48" s="168"/>
      <c r="I48" s="72"/>
      <c r="J48" s="366"/>
      <c r="K48" s="366"/>
      <c r="L48" s="366"/>
      <c r="M48" s="145"/>
      <c r="N48" s="366"/>
      <c r="O48" s="366"/>
      <c r="P48" s="366"/>
      <c r="Q48" s="366"/>
      <c r="R48" s="366"/>
      <c r="S48" s="366"/>
      <c r="T48" s="366"/>
      <c r="U48" s="366"/>
      <c r="V48" s="366"/>
    </row>
    <row r="49" spans="1:22" ht="14.1" customHeight="1">
      <c r="B49" s="32"/>
      <c r="C49" s="1329"/>
      <c r="D49" s="1329"/>
      <c r="E49" s="12"/>
      <c r="G49" s="8"/>
      <c r="H49" s="207">
        <f>G44+H44+F44</f>
        <v>385.72</v>
      </c>
      <c r="I49" s="68"/>
      <c r="J49" s="366"/>
      <c r="K49" s="366"/>
      <c r="L49" s="366"/>
      <c r="M49" s="366"/>
      <c r="N49" s="366"/>
      <c r="O49" s="366"/>
      <c r="P49" s="366"/>
      <c r="Q49" s="1"/>
      <c r="R49" s="1"/>
      <c r="S49" s="1"/>
      <c r="T49" s="1"/>
      <c r="U49" s="1"/>
      <c r="V49" s="1"/>
    </row>
    <row r="50" spans="1:22" s="86" customFormat="1" ht="12.95" customHeight="1">
      <c r="B50" s="501"/>
      <c r="C50" s="1329"/>
      <c r="D50" s="1329"/>
      <c r="E50" s="502"/>
      <c r="F50" s="524"/>
      <c r="G50" s="502"/>
      <c r="H50" s="503"/>
      <c r="I50" s="109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</row>
    <row r="51" spans="1:22" s="86" customFormat="1" ht="12.95" customHeight="1">
      <c r="C51" s="502"/>
      <c r="D51" s="502"/>
      <c r="E51" s="524"/>
      <c r="F51" s="524"/>
      <c r="G51" s="502"/>
      <c r="H51" s="168"/>
      <c r="I51" s="525"/>
      <c r="J51" s="502"/>
      <c r="K51" s="502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</row>
    <row r="52" spans="1:22" s="86" customFormat="1" ht="12" customHeight="1">
      <c r="A52" s="366"/>
      <c r="B52" s="366"/>
      <c r="C52" s="502"/>
      <c r="D52" s="502"/>
      <c r="E52" s="524"/>
      <c r="F52" s="524"/>
      <c r="G52" s="502"/>
      <c r="H52" s="503"/>
      <c r="I52" s="502"/>
      <c r="J52" s="502"/>
      <c r="K52" s="502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</row>
    <row r="53" spans="1:22" s="86" customFormat="1" ht="18.75">
      <c r="A53" s="366"/>
      <c r="B53" s="366"/>
      <c r="C53" s="366"/>
      <c r="D53" s="366"/>
      <c r="E53" s="144"/>
      <c r="F53" s="168"/>
      <c r="H53" s="503"/>
      <c r="I53" s="502"/>
      <c r="J53" s="502"/>
      <c r="K53" s="502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</row>
    <row r="54" spans="1:22" s="86" customFormat="1">
      <c r="A54" s="366"/>
      <c r="B54" s="366"/>
      <c r="C54" s="366"/>
      <c r="D54" s="366"/>
      <c r="E54" s="144"/>
      <c r="I54" s="143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</row>
    <row r="55" spans="1:22" s="86" customFormat="1" ht="15" customHeight="1">
      <c r="A55" s="366"/>
      <c r="B55" s="366"/>
      <c r="C55" s="366"/>
      <c r="D55" s="366"/>
      <c r="E55" s="144"/>
      <c r="H55" s="524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s="86" customFormat="1" ht="15" customHeight="1">
      <c r="A56" s="366"/>
      <c r="B56" s="366"/>
      <c r="C56" s="366"/>
      <c r="D56" s="366"/>
      <c r="E56" s="144"/>
      <c r="H56" s="524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6"/>
      <c r="V56" s="366"/>
    </row>
    <row r="57" spans="1:22" s="86" customFormat="1" ht="15" customHeight="1">
      <c r="A57" s="366"/>
      <c r="B57" s="366"/>
      <c r="C57" s="366"/>
      <c r="D57" s="366"/>
      <c r="E57" s="144"/>
      <c r="H57" s="524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</row>
    <row r="58" spans="1:22" s="86" customFormat="1">
      <c r="A58" s="366"/>
      <c r="B58" s="366"/>
      <c r="C58" s="366"/>
      <c r="D58" s="366"/>
      <c r="E58" s="144"/>
      <c r="H58" s="168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</row>
    <row r="59" spans="1:22" s="86" customFormat="1">
      <c r="A59" s="366"/>
      <c r="B59" s="366"/>
      <c r="C59" s="366"/>
      <c r="D59" s="366"/>
      <c r="E59" s="144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</row>
    <row r="60" spans="1:22" s="86" customFormat="1">
      <c r="A60" s="366"/>
      <c r="B60" s="366"/>
      <c r="C60" s="366"/>
      <c r="D60" s="366"/>
      <c r="E60" s="144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</row>
    <row r="61" spans="1:22" s="86" customFormat="1">
      <c r="A61" s="366"/>
      <c r="B61" s="366"/>
      <c r="C61" s="366"/>
      <c r="D61" s="366"/>
      <c r="E61" s="144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</row>
    <row r="62" spans="1:22" s="86" customFormat="1">
      <c r="A62" s="366"/>
      <c r="B62" s="366"/>
      <c r="C62" s="366"/>
      <c r="D62" s="366"/>
      <c r="E62" s="144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</row>
    <row r="63" spans="1:22">
      <c r="A63" s="1"/>
      <c r="B63" s="1"/>
      <c r="C63" s="1"/>
      <c r="D63" s="1"/>
      <c r="E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1"/>
      <c r="D67" s="1"/>
      <c r="E67" s="11"/>
    </row>
    <row r="68" spans="1:22">
      <c r="A68" s="1"/>
      <c r="B68" s="1"/>
      <c r="C68" s="1"/>
      <c r="D68" s="1"/>
      <c r="E68" s="11"/>
    </row>
    <row r="69" spans="1:22">
      <c r="A69" s="1"/>
      <c r="B69" s="1"/>
      <c r="C69" s="1"/>
      <c r="D69" s="1"/>
      <c r="E69" s="11"/>
    </row>
    <row r="70" spans="1:22">
      <c r="A70" s="1"/>
      <c r="B70" s="1"/>
      <c r="C70" s="1"/>
      <c r="D70" s="1"/>
      <c r="E70" s="11"/>
    </row>
    <row r="71" spans="1:22">
      <c r="A71" s="1"/>
      <c r="B71" s="1"/>
      <c r="C71" s="1"/>
      <c r="D71" s="1"/>
      <c r="E71" s="11"/>
    </row>
    <row r="72" spans="1:22">
      <c r="A72" s="1"/>
      <c r="B72" s="1"/>
      <c r="C72" s="1"/>
      <c r="D72" s="1"/>
      <c r="E72" s="11"/>
    </row>
    <row r="73" spans="1:22">
      <c r="A73" s="1"/>
      <c r="B73" s="1"/>
      <c r="C73" s="1"/>
      <c r="D73" s="1"/>
      <c r="E73" s="11"/>
    </row>
    <row r="74" spans="1:22">
      <c r="A74" s="1"/>
      <c r="B74" s="1"/>
      <c r="C74" s="1"/>
      <c r="D74" s="1"/>
      <c r="E74" s="11"/>
    </row>
    <row r="75" spans="1:22">
      <c r="A75" s="1"/>
      <c r="B75" s="1"/>
      <c r="C75" s="1"/>
      <c r="D75" s="1"/>
      <c r="E75" s="11"/>
    </row>
    <row r="76" spans="1:22">
      <c r="A76" s="1"/>
      <c r="B76" s="1"/>
      <c r="C76" s="1"/>
      <c r="D76" s="1"/>
      <c r="E76" s="11"/>
    </row>
    <row r="77" spans="1:22">
      <c r="A77" s="1"/>
      <c r="B77" s="1"/>
      <c r="C77" s="1"/>
      <c r="D77" s="1"/>
      <c r="E77" s="11"/>
    </row>
    <row r="78" spans="1:22">
      <c r="A78" s="1"/>
      <c r="B78" s="1"/>
      <c r="C78" s="1"/>
      <c r="D78" s="1"/>
      <c r="E78" s="11"/>
    </row>
    <row r="79" spans="1:22">
      <c r="A79" s="1"/>
      <c r="B79" s="1"/>
      <c r="C79" s="1"/>
      <c r="D79" s="1"/>
      <c r="E79" s="11"/>
    </row>
    <row r="80" spans="1:22">
      <c r="A80" s="1"/>
      <c r="B80" s="1"/>
      <c r="C80" s="1"/>
      <c r="D80" s="1"/>
      <c r="E80" s="11"/>
    </row>
    <row r="81" spans="1:5">
      <c r="A81" s="1"/>
      <c r="B81" s="1"/>
      <c r="C81" s="1"/>
      <c r="D81" s="1"/>
      <c r="E81" s="11"/>
    </row>
    <row r="82" spans="1:5">
      <c r="A82" s="1"/>
      <c r="B82" s="1"/>
      <c r="C82" s="1"/>
      <c r="D82" s="1"/>
      <c r="E82" s="11"/>
    </row>
    <row r="83" spans="1:5">
      <c r="A83" s="1"/>
      <c r="B83" s="1"/>
      <c r="C83" s="1"/>
      <c r="D83" s="1"/>
      <c r="E83" s="11"/>
    </row>
    <row r="84" spans="1:5">
      <c r="A84" s="1"/>
      <c r="B84" s="1"/>
      <c r="C84" s="1"/>
      <c r="D84" s="1"/>
      <c r="E84" s="11"/>
    </row>
    <row r="85" spans="1:5">
      <c r="A85" s="1"/>
      <c r="B85" s="1"/>
      <c r="C85" s="1"/>
      <c r="D85" s="1"/>
      <c r="E85" s="11"/>
    </row>
    <row r="86" spans="1:5">
      <c r="A86" s="1"/>
      <c r="B86" s="1"/>
      <c r="C86" s="1"/>
      <c r="D86" s="1"/>
      <c r="E86" s="11"/>
    </row>
    <row r="87" spans="1:5">
      <c r="A87" s="1"/>
      <c r="B87" s="1"/>
      <c r="C87" s="1"/>
      <c r="D87" s="1"/>
      <c r="E87" s="11"/>
    </row>
    <row r="88" spans="1:5">
      <c r="A88" s="1"/>
      <c r="B88" s="1"/>
      <c r="C88" s="1"/>
      <c r="D88" s="1"/>
      <c r="E88" s="11"/>
    </row>
    <row r="89" spans="1:5">
      <c r="A89" s="1"/>
      <c r="B89" s="1"/>
      <c r="C89" s="1"/>
      <c r="D89" s="1"/>
      <c r="E89" s="2"/>
    </row>
    <row r="90" spans="1:5">
      <c r="A90" s="1"/>
      <c r="B90" s="1"/>
      <c r="C90" s="1"/>
      <c r="D90" s="1"/>
      <c r="E90" s="2"/>
    </row>
    <row r="91" spans="1:5">
      <c r="A91" s="1"/>
      <c r="B91" s="1"/>
      <c r="E91" s="2"/>
    </row>
    <row r="92" spans="1:5">
      <c r="A92" s="1"/>
      <c r="B92" s="1"/>
      <c r="E92" s="2"/>
    </row>
    <row r="93" spans="1:5">
      <c r="A93" s="1"/>
      <c r="B93" s="1"/>
      <c r="E93" s="2"/>
    </row>
    <row r="94" spans="1:5">
      <c r="B94" s="1"/>
      <c r="E94" s="2"/>
    </row>
    <row r="95" spans="1:5">
      <c r="B95" s="1"/>
      <c r="E95" s="2"/>
    </row>
    <row r="96" spans="1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</sheetData>
  <mergeCells count="1">
    <mergeCell ref="C48:D50"/>
  </mergeCells>
  <conditionalFormatting sqref="B2:C32">
    <cfRule type="expression" dxfId="3" priority="5">
      <formula>$B2=7</formula>
    </cfRule>
    <cfRule type="expression" dxfId="2" priority="6">
      <formula>$B2=6</formula>
    </cfRule>
  </conditionalFormatting>
  <conditionalFormatting sqref="D2:G32">
    <cfRule type="expression" dxfId="1" priority="1">
      <formula>$B2=7</formula>
    </cfRule>
    <cfRule type="expression" dxfId="0" priority="2">
      <formula>$B2=6</formula>
    </cfRule>
  </conditionalFormatting>
  <pageMargins left="0.7" right="0.7" top="0.75" bottom="0.75" header="0.3" footer="0.3"/>
  <pageSetup paperSize="11" scale="81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view="pageBreakPreview" zoomScale="60" zoomScaleNormal="100" workbookViewId="0">
      <selection activeCell="G13" sqref="G13"/>
    </sheetView>
  </sheetViews>
  <sheetFormatPr defaultRowHeight="15"/>
  <cols>
    <col min="1" max="1" width="9.140625" style="35"/>
  </cols>
  <sheetData>
    <row r="1" spans="1:9" s="35" customFormat="1" ht="15.75" thickBot="1">
      <c r="A1" s="1330" t="s">
        <v>446</v>
      </c>
      <c r="B1" s="1330"/>
      <c r="C1" s="1330"/>
      <c r="D1" s="1330"/>
      <c r="E1" s="1330"/>
      <c r="F1" s="1330"/>
      <c r="G1" s="1330"/>
      <c r="H1" s="1330"/>
    </row>
    <row r="2" spans="1:9" ht="15.75" thickTop="1">
      <c r="A2" s="1112" t="s">
        <v>445</v>
      </c>
      <c r="B2" s="1100" t="s">
        <v>20</v>
      </c>
      <c r="C2" s="1089" t="s">
        <v>148</v>
      </c>
      <c r="D2" s="1089" t="s">
        <v>162</v>
      </c>
      <c r="E2" s="1089" t="s">
        <v>163</v>
      </c>
      <c r="F2" s="1089" t="s">
        <v>192</v>
      </c>
      <c r="G2" s="1089" t="s">
        <v>199</v>
      </c>
      <c r="H2" s="1089" t="s">
        <v>209</v>
      </c>
      <c r="I2" s="35"/>
    </row>
    <row r="3" spans="1:9">
      <c r="A3" s="1113" t="s">
        <v>443</v>
      </c>
      <c r="B3" s="1115">
        <v>15</v>
      </c>
      <c r="C3" s="1116">
        <v>15</v>
      </c>
      <c r="D3" s="1116">
        <v>15</v>
      </c>
      <c r="E3" s="1116">
        <v>13</v>
      </c>
      <c r="F3" s="1116">
        <v>7</v>
      </c>
      <c r="G3" s="1116">
        <v>10</v>
      </c>
      <c r="H3" s="1116">
        <v>14</v>
      </c>
    </row>
    <row r="4" spans="1:9" ht="15.75" thickBot="1">
      <c r="A4" s="1114" t="s">
        <v>444</v>
      </c>
      <c r="B4" s="1111">
        <f>'ЗП АВГУСТ'!G45</f>
        <v>555.78</v>
      </c>
      <c r="C4" s="5">
        <f>'ЗП cent'!F44</f>
        <v>627.41999999999996</v>
      </c>
      <c r="D4" s="5">
        <f>'ЗП окт'!F45</f>
        <v>636.22</v>
      </c>
      <c r="E4" s="5">
        <f>'ЗП ноябрь'!F45</f>
        <v>551.47</v>
      </c>
      <c r="F4" s="5">
        <f>'зп декабрь'!F49</f>
        <v>352.39</v>
      </c>
      <c r="G4" s="5">
        <f>'ЗП ЯНВАРЬ'!F52</f>
        <v>435.82</v>
      </c>
      <c r="H4" s="5">
        <f>'зп февраль'!F47</f>
        <v>583.82999999999993</v>
      </c>
    </row>
    <row r="5" spans="1:9" s="35" customFormat="1" ht="15.75" thickTop="1">
      <c r="A5" s="1"/>
      <c r="B5" s="12"/>
      <c r="C5" s="12"/>
      <c r="D5" s="12"/>
      <c r="E5" s="12"/>
      <c r="F5" s="12"/>
      <c r="G5" s="12"/>
      <c r="H5" s="12"/>
    </row>
    <row r="6" spans="1:9" ht="15.75" thickBot="1">
      <c r="A6" s="1331" t="s">
        <v>447</v>
      </c>
      <c r="B6" s="1331"/>
      <c r="C6" s="1331"/>
      <c r="D6" s="1331"/>
      <c r="E6" s="1331"/>
      <c r="F6" s="1331"/>
      <c r="G6" s="1331"/>
      <c r="H6" s="1331"/>
    </row>
    <row r="7" spans="1:9" ht="15.75" thickTop="1">
      <c r="A7" s="1112" t="s">
        <v>445</v>
      </c>
      <c r="B7" s="1100" t="s">
        <v>20</v>
      </c>
      <c r="C7" s="1089" t="s">
        <v>148</v>
      </c>
      <c r="D7" s="1089" t="s">
        <v>162</v>
      </c>
      <c r="E7" s="1089" t="s">
        <v>163</v>
      </c>
      <c r="F7" s="1089" t="s">
        <v>192</v>
      </c>
      <c r="G7" s="1089" t="s">
        <v>199</v>
      </c>
      <c r="H7" s="1089" t="s">
        <v>209</v>
      </c>
    </row>
    <row r="8" spans="1:9">
      <c r="A8" s="1113" t="s">
        <v>443</v>
      </c>
      <c r="B8" s="1115">
        <v>16</v>
      </c>
      <c r="C8" s="1116">
        <v>15</v>
      </c>
      <c r="D8" s="1116">
        <v>17</v>
      </c>
      <c r="E8" s="1116">
        <v>17</v>
      </c>
      <c r="F8" s="1116">
        <v>26</v>
      </c>
      <c r="G8" s="1116">
        <v>14</v>
      </c>
      <c r="H8" s="1116">
        <v>12</v>
      </c>
    </row>
    <row r="9" spans="1:9" ht="15.75" thickBot="1">
      <c r="A9" s="1114" t="s">
        <v>444</v>
      </c>
      <c r="B9" s="1111">
        <f>'ЗП АВГУСТ'!H45</f>
        <v>717.21</v>
      </c>
      <c r="C9" s="5">
        <f>'ЗП cent'!G44</f>
        <v>635.66999999999996</v>
      </c>
      <c r="D9" s="5">
        <f>'юля окт'!G45</f>
        <v>797.04</v>
      </c>
      <c r="E9" s="5">
        <f>'ЗП ноябрь'!G45</f>
        <v>778.76</v>
      </c>
      <c r="F9" s="5">
        <f>'зп декабрь'!G49</f>
        <v>1293.6399999999999</v>
      </c>
      <c r="G9" s="5">
        <f>'ЗП ЯНВАРЬ'!G52</f>
        <v>672.55</v>
      </c>
      <c r="H9" s="5">
        <f>'зп февраль'!G47</f>
        <v>585.51</v>
      </c>
    </row>
    <row r="10" spans="1:9" ht="15.75" thickTop="1"/>
  </sheetData>
  <mergeCells count="2">
    <mergeCell ref="A1:H1"/>
    <mergeCell ref="A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29</vt:i4>
      </vt:variant>
      <vt:variant>
        <vt:lpstr>Именованные диапазоны</vt:lpstr>
      </vt:variant>
      <vt:variant>
        <vt:i4>27</vt:i4>
      </vt:variant>
    </vt:vector>
  </HeadingPairs>
  <TitlesOfParts>
    <vt:vector size="56" baseType="lpstr">
      <vt:lpstr>ОБЩЕЕ</vt:lpstr>
      <vt:lpstr>ОБЩАЯ СВЕРКА</vt:lpstr>
      <vt:lpstr>апрель</vt:lpstr>
      <vt:lpstr>зп апрель</vt:lpstr>
      <vt:lpstr>май</vt:lpstr>
      <vt:lpstr>зп май</vt:lpstr>
      <vt:lpstr>ИЮНЬ</vt:lpstr>
      <vt:lpstr>ЗП ИЮНЬ</vt:lpstr>
      <vt:lpstr>июЛь</vt:lpstr>
      <vt:lpstr>ЗП июЛь</vt:lpstr>
      <vt:lpstr>АВГУСТ</vt:lpstr>
      <vt:lpstr>ЗП АВГУСТ</vt:lpstr>
      <vt:lpstr>сентябрь горит</vt:lpstr>
      <vt:lpstr>ЗП cent</vt:lpstr>
      <vt:lpstr>октябрь плачет</vt:lpstr>
      <vt:lpstr>юля окт</vt:lpstr>
      <vt:lpstr>ЗП окт</vt:lpstr>
      <vt:lpstr>НОЯБРЬ</vt:lpstr>
      <vt:lpstr>ЗП ноябрь</vt:lpstr>
      <vt:lpstr>Лист1</vt:lpstr>
      <vt:lpstr>декабрь</vt:lpstr>
      <vt:lpstr>зп декабрь</vt:lpstr>
      <vt:lpstr>январь</vt:lpstr>
      <vt:lpstr>ЗП ЯНВАРЬ</vt:lpstr>
      <vt:lpstr>февраль</vt:lpstr>
      <vt:lpstr>зп февраль</vt:lpstr>
      <vt:lpstr>март</vt:lpstr>
      <vt:lpstr>зп март</vt:lpstr>
      <vt:lpstr>Лист4</vt:lpstr>
      <vt:lpstr>АВГУСТ!Область_печати</vt:lpstr>
      <vt:lpstr>апрель!Область_печати</vt:lpstr>
      <vt:lpstr>декабрь!Область_печати</vt:lpstr>
      <vt:lpstr>'ЗП cent'!Область_печати</vt:lpstr>
      <vt:lpstr>'ЗП АВГУСТ'!Область_печати</vt:lpstr>
      <vt:lpstr>'зп апрель'!Область_печати</vt:lpstr>
      <vt:lpstr>'зп декабрь'!Область_печати</vt:lpstr>
      <vt:lpstr>'ЗП июЛь'!Область_печати</vt:lpstr>
      <vt:lpstr>'ЗП ИЮНЬ'!Область_печати</vt:lpstr>
      <vt:lpstr>'зп май'!Область_печати</vt:lpstr>
      <vt:lpstr>'зп март'!Область_печати</vt:lpstr>
      <vt:lpstr>'ЗП ноябрь'!Область_печати</vt:lpstr>
      <vt:lpstr>'ЗП окт'!Область_печати</vt:lpstr>
      <vt:lpstr>'зп февраль'!Область_печати</vt:lpstr>
      <vt:lpstr>'ЗП ЯНВАРЬ'!Область_печати</vt:lpstr>
      <vt:lpstr>июЛь!Область_печати</vt:lpstr>
      <vt:lpstr>ИЮНЬ!Область_печати</vt:lpstr>
      <vt:lpstr>Лист1!Область_печати</vt:lpstr>
      <vt:lpstr>май!Область_печати</vt:lpstr>
      <vt:lpstr>март!Область_печати</vt:lpstr>
      <vt:lpstr>НОЯБРЬ!Область_печати</vt:lpstr>
      <vt:lpstr>'ОБЩАЯ СВЕРКА'!Область_печати</vt:lpstr>
      <vt:lpstr>'октябрь плачет'!Область_печати</vt:lpstr>
      <vt:lpstr>'сентябрь горит'!Область_печати</vt:lpstr>
      <vt:lpstr>февраль!Область_печати</vt:lpstr>
      <vt:lpstr>'юля окт'!Область_печати</vt:lpstr>
      <vt:lpstr>январь!Область_печати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cp:lastPrinted>2021-03-09T20:47:52Z</cp:lastPrinted>
  <dcterms:created xsi:type="dcterms:W3CDTF">2019-05-31T14:37:56Z</dcterms:created>
  <dcterms:modified xsi:type="dcterms:W3CDTF">2021-03-30T21:30:24Z</dcterms:modified>
</cp:coreProperties>
</file>