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5" activeTab="26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  <sheet name="сентябрь горит" sheetId="45" r:id="rId17"/>
    <sheet name="ЗП cent" sheetId="46" r:id="rId18"/>
    <sheet name="октябрь плачет" sheetId="48" r:id="rId19"/>
    <sheet name="юля окт" sheetId="50" r:id="rId20"/>
    <sheet name="ЗП окт" sheetId="49" r:id="rId21"/>
    <sheet name="НОЯБРЬ" sheetId="51" r:id="rId22"/>
    <sheet name="ЗП ноябрь" sheetId="52" r:id="rId23"/>
    <sheet name="Лист1" sheetId="47" r:id="rId24"/>
    <sheet name="декабрь" sheetId="54" r:id="rId25"/>
    <sheet name="зп декабрь" sheetId="53" r:id="rId26"/>
    <sheet name="январь" sheetId="55" r:id="rId27"/>
    <sheet name="ЗП ЯНВАРЬ" sheetId="56" r:id="rId28"/>
  </sheets>
  <definedNames>
    <definedName name="_xlnm.Print_Area" localSheetId="14">АВГУСТ!$A$1:$N$53</definedName>
    <definedName name="_xlnm.Print_Area" localSheetId="6">апрель!$A$1:$N$52</definedName>
    <definedName name="_xlnm.Print_Area" localSheetId="24">декабрь!$A$1:$N$57</definedName>
    <definedName name="_xlnm.Print_Area" localSheetId="17">'ЗП cent'!$B$1:$E$44</definedName>
    <definedName name="_xlnm.Print_Area" localSheetId="15">'ЗП АВГУСТ'!$B$1:$G$45</definedName>
    <definedName name="_xlnm.Print_Area" localSheetId="7">'зп апрель'!$B$1:$D$44</definedName>
    <definedName name="_xlnm.Print_Area" localSheetId="25">'зп декабрь'!$B$1:$F$49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22">'ЗП ноябрь'!$B$1:$E$45</definedName>
    <definedName name="_xlnm.Print_Area" localSheetId="20">'ЗП окт'!$B$1:$F$45</definedName>
    <definedName name="_xlnm.Print_Area" localSheetId="3">'ЗП ФЕВРАЛЬ'!$B$1:$G$44</definedName>
    <definedName name="_xlnm.Print_Area" localSheetId="27">'ЗП ЯНВАРЬ'!$B$1:$F$49</definedName>
    <definedName name="_xlnm.Print_Area" localSheetId="12">июЛь!$A$1:$N$52</definedName>
    <definedName name="_xlnm.Print_Area" localSheetId="10">ИЮНЬ!$A$56:$M$102</definedName>
    <definedName name="_xlnm.Print_Area" localSheetId="23">Лист1!$J$1:$O$34</definedName>
    <definedName name="_xlnm.Print_Area" localSheetId="8">май!$A$1:$M$52</definedName>
    <definedName name="_xlnm.Print_Area" localSheetId="4">МАРТ!$A$1:$M$50</definedName>
    <definedName name="_xlnm.Print_Area" localSheetId="21">НОЯБРЬ!$A$1:$N$56</definedName>
    <definedName name="_xlnm.Print_Area" localSheetId="1">'ОБЩАЯ СВЕРКА'!$A$1:$Q$29</definedName>
    <definedName name="_xlnm.Print_Area" localSheetId="18">'октябрь плачет'!$A$57:$M$107</definedName>
    <definedName name="_xlnm.Print_Area" localSheetId="16">'сентябрь горит'!$A$56:$M$105</definedName>
    <definedName name="_xlnm.Print_Area" localSheetId="2">ФЕВРАЛЬ!$A$48:$M$90</definedName>
    <definedName name="_xlnm.Print_Area" localSheetId="19">'юля окт'!$B$1:$G$45</definedName>
    <definedName name="_xlnm.Print_Area" localSheetId="26">январь!$A$1:$N$57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56" l="1"/>
  <c r="E42" i="56"/>
  <c r="D42" i="56"/>
  <c r="G40" i="56"/>
  <c r="F40" i="56"/>
  <c r="E40" i="56"/>
  <c r="D40" i="56"/>
  <c r="G38" i="56"/>
  <c r="G39" i="56" s="1"/>
  <c r="G49" i="56" s="1"/>
  <c r="G48" i="56" s="1"/>
  <c r="E38" i="56"/>
  <c r="E39" i="56" s="1"/>
  <c r="K37" i="56"/>
  <c r="J37" i="56"/>
  <c r="I37" i="56"/>
  <c r="G36" i="56"/>
  <c r="F36" i="56"/>
  <c r="F38" i="56" s="1"/>
  <c r="F39" i="56" s="1"/>
  <c r="E36" i="56"/>
  <c r="D36" i="56"/>
  <c r="D38" i="56" s="1"/>
  <c r="D39" i="56" s="1"/>
  <c r="D48" i="56" s="1"/>
  <c r="G35" i="56"/>
  <c r="F35" i="56"/>
  <c r="F42" i="56" s="1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B2" i="56"/>
  <c r="C119" i="55"/>
  <c r="K104" i="55"/>
  <c r="K98" i="55"/>
  <c r="J112" i="55" s="1"/>
  <c r="K95" i="55"/>
  <c r="J95" i="55"/>
  <c r="L94" i="55"/>
  <c r="K94" i="55"/>
  <c r="L93" i="55"/>
  <c r="L92" i="55"/>
  <c r="K92" i="55"/>
  <c r="M92" i="55" s="1"/>
  <c r="M93" i="55" s="1"/>
  <c r="M94" i="55" s="1"/>
  <c r="M95" i="55" s="1"/>
  <c r="J92" i="55"/>
  <c r="L91" i="55"/>
  <c r="K91" i="55"/>
  <c r="L90" i="55"/>
  <c r="K90" i="55"/>
  <c r="M90" i="55" s="1"/>
  <c r="M89" i="55"/>
  <c r="L88" i="55"/>
  <c r="K88" i="55"/>
  <c r="J88" i="55"/>
  <c r="M87" i="55"/>
  <c r="M83" i="55"/>
  <c r="M84" i="55" s="1"/>
  <c r="M85" i="55" s="1"/>
  <c r="M82" i="55"/>
  <c r="C79" i="55"/>
  <c r="K78" i="55"/>
  <c r="I78" i="55"/>
  <c r="H78" i="55"/>
  <c r="F78" i="55"/>
  <c r="E78" i="55"/>
  <c r="K77" i="55"/>
  <c r="I77" i="55"/>
  <c r="H77" i="55"/>
  <c r="F77" i="55"/>
  <c r="E77" i="55"/>
  <c r="K76" i="55"/>
  <c r="I76" i="55"/>
  <c r="H76" i="55"/>
  <c r="F76" i="55"/>
  <c r="E76" i="55"/>
  <c r="K75" i="55"/>
  <c r="I75" i="55"/>
  <c r="H75" i="55"/>
  <c r="F75" i="55"/>
  <c r="E75" i="55"/>
  <c r="K74" i="55"/>
  <c r="I74" i="55"/>
  <c r="H74" i="55"/>
  <c r="F74" i="55"/>
  <c r="E74" i="55"/>
  <c r="K73" i="55"/>
  <c r="I73" i="55"/>
  <c r="H73" i="55"/>
  <c r="F73" i="55"/>
  <c r="E73" i="55"/>
  <c r="K72" i="55"/>
  <c r="I72" i="55"/>
  <c r="H72" i="55"/>
  <c r="F72" i="55"/>
  <c r="E72" i="55"/>
  <c r="K71" i="55"/>
  <c r="K79" i="55" s="1"/>
  <c r="I71" i="55"/>
  <c r="H71" i="55"/>
  <c r="F71" i="55"/>
  <c r="E71" i="55"/>
  <c r="H70" i="55"/>
  <c r="F70" i="55"/>
  <c r="E70" i="55"/>
  <c r="F69" i="55"/>
  <c r="E69" i="55"/>
  <c r="F68" i="55"/>
  <c r="E68" i="55"/>
  <c r="F67" i="55"/>
  <c r="E67" i="55"/>
  <c r="F66" i="55"/>
  <c r="E66" i="55"/>
  <c r="F65" i="55"/>
  <c r="E65" i="55"/>
  <c r="F64" i="55"/>
  <c r="E64" i="55"/>
  <c r="F63" i="55"/>
  <c r="E63" i="55"/>
  <c r="N56" i="55"/>
  <c r="K52" i="55"/>
  <c r="N50" i="55"/>
  <c r="N49" i="55"/>
  <c r="N48" i="55"/>
  <c r="K47" i="55"/>
  <c r="N47" i="55" s="1"/>
  <c r="N57" i="55" s="1"/>
  <c r="N46" i="55"/>
  <c r="K41" i="55"/>
  <c r="J57" i="55" s="1"/>
  <c r="L38" i="55"/>
  <c r="J38" i="55"/>
  <c r="L37" i="55"/>
  <c r="K37" i="55"/>
  <c r="J37" i="55"/>
  <c r="L36" i="55"/>
  <c r="J36" i="55"/>
  <c r="L35" i="55"/>
  <c r="K35" i="55"/>
  <c r="J35" i="55"/>
  <c r="K34" i="55"/>
  <c r="L33" i="55"/>
  <c r="K33" i="55"/>
  <c r="J33" i="55"/>
  <c r="K31" i="55"/>
  <c r="J31" i="55"/>
  <c r="M31" i="55" s="1"/>
  <c r="M32" i="55" s="1"/>
  <c r="M33" i="55" s="1"/>
  <c r="M34" i="55" s="1"/>
  <c r="M35" i="55" s="1"/>
  <c r="J30" i="55"/>
  <c r="M23" i="55"/>
  <c r="M24" i="55" s="1"/>
  <c r="M25" i="55" s="1"/>
  <c r="M26" i="55" s="1"/>
  <c r="M27" i="55" s="1"/>
  <c r="M28" i="55" s="1"/>
  <c r="M29" i="55" s="1"/>
  <c r="K20" i="55"/>
  <c r="C20" i="55"/>
  <c r="F19" i="55"/>
  <c r="E19" i="55"/>
  <c r="F18" i="55"/>
  <c r="E18" i="55"/>
  <c r="F17" i="55"/>
  <c r="E17" i="55"/>
  <c r="F16" i="55"/>
  <c r="E16" i="55"/>
  <c r="F15" i="55"/>
  <c r="E15" i="55"/>
  <c r="F14" i="55"/>
  <c r="E14" i="55"/>
  <c r="F13" i="55"/>
  <c r="E13" i="55"/>
  <c r="F12" i="55"/>
  <c r="E12" i="55"/>
  <c r="F11" i="55"/>
  <c r="E11" i="55"/>
  <c r="F10" i="55"/>
  <c r="E10" i="55"/>
  <c r="F9" i="55"/>
  <c r="E9" i="55"/>
  <c r="F8" i="55"/>
  <c r="E8" i="55"/>
  <c r="F7" i="55"/>
  <c r="E7" i="55"/>
  <c r="F6" i="55"/>
  <c r="E6" i="55"/>
  <c r="F5" i="55"/>
  <c r="E5" i="55"/>
  <c r="E20" i="55" s="1"/>
  <c r="K95" i="54"/>
  <c r="I37" i="53"/>
  <c r="L38" i="54"/>
  <c r="J38" i="54"/>
  <c r="J37" i="53"/>
  <c r="L37" i="54"/>
  <c r="K37" i="54"/>
  <c r="J37" i="54"/>
  <c r="D48" i="53"/>
  <c r="J112" i="54"/>
  <c r="I44" i="52"/>
  <c r="J95" i="54"/>
  <c r="M95" i="54"/>
  <c r="E79" i="55" l="1"/>
  <c r="E49" i="56"/>
  <c r="E48" i="56"/>
  <c r="F48" i="56"/>
  <c r="F49" i="56"/>
  <c r="M37" i="55"/>
  <c r="M36" i="55"/>
  <c r="M38" i="55" s="1"/>
  <c r="D42" i="53"/>
  <c r="G35" i="53"/>
  <c r="G36" i="53"/>
  <c r="G42" i="53"/>
  <c r="B3" i="53"/>
  <c r="B2" i="53"/>
  <c r="G33" i="52"/>
  <c r="F36" i="53" l="1"/>
  <c r="E42" i="53" l="1"/>
  <c r="K41" i="54" l="1"/>
  <c r="K104" i="54"/>
  <c r="K98" i="54"/>
  <c r="K52" i="54" l="1"/>
  <c r="K47" i="54" l="1"/>
  <c r="D40" i="53"/>
  <c r="D44" i="52"/>
  <c r="D36" i="53"/>
  <c r="C119" i="54" l="1"/>
  <c r="L94" i="54"/>
  <c r="K94" i="54"/>
  <c r="L93" i="54"/>
  <c r="L92" i="54"/>
  <c r="K92" i="54"/>
  <c r="J92" i="54"/>
  <c r="M92" i="54" s="1"/>
  <c r="M93" i="54" s="1"/>
  <c r="M94" i="54" s="1"/>
  <c r="L91" i="54"/>
  <c r="K91" i="54"/>
  <c r="L90" i="54"/>
  <c r="K90" i="54"/>
  <c r="M89" i="54"/>
  <c r="L88" i="54"/>
  <c r="K88" i="54"/>
  <c r="J88" i="54"/>
  <c r="M87" i="54"/>
  <c r="M82" i="54"/>
  <c r="M83" i="54" s="1"/>
  <c r="M84" i="54" s="1"/>
  <c r="M85" i="54" s="1"/>
  <c r="C79" i="54"/>
  <c r="K78" i="54"/>
  <c r="I78" i="54"/>
  <c r="H78" i="54"/>
  <c r="F78" i="54"/>
  <c r="E78" i="54"/>
  <c r="K77" i="54"/>
  <c r="I77" i="54"/>
  <c r="H77" i="54"/>
  <c r="F77" i="54"/>
  <c r="E77" i="54"/>
  <c r="K76" i="54"/>
  <c r="I76" i="54"/>
  <c r="H76" i="54"/>
  <c r="F76" i="54"/>
  <c r="E76" i="54"/>
  <c r="K75" i="54"/>
  <c r="I75" i="54"/>
  <c r="H75" i="54"/>
  <c r="F75" i="54"/>
  <c r="E75" i="54"/>
  <c r="K74" i="54"/>
  <c r="I74" i="54"/>
  <c r="H74" i="54"/>
  <c r="F74" i="54"/>
  <c r="E74" i="54"/>
  <c r="K73" i="54"/>
  <c r="I73" i="54"/>
  <c r="H73" i="54"/>
  <c r="F73" i="54"/>
  <c r="E73" i="54"/>
  <c r="K72" i="54"/>
  <c r="I72" i="54"/>
  <c r="H72" i="54"/>
  <c r="F72" i="54"/>
  <c r="E72" i="54"/>
  <c r="K71" i="54"/>
  <c r="K79" i="54" s="1"/>
  <c r="I71" i="54"/>
  <c r="H71" i="54"/>
  <c r="F71" i="54"/>
  <c r="E71" i="54"/>
  <c r="H70" i="54"/>
  <c r="F70" i="54"/>
  <c r="E70" i="54"/>
  <c r="F69" i="54"/>
  <c r="E69" i="54"/>
  <c r="F68" i="54"/>
  <c r="E68" i="54"/>
  <c r="F67" i="54"/>
  <c r="E67" i="54"/>
  <c r="F66" i="54"/>
  <c r="E66" i="54"/>
  <c r="F65" i="54"/>
  <c r="E65" i="54"/>
  <c r="F64" i="54"/>
  <c r="E64" i="54"/>
  <c r="F63" i="54"/>
  <c r="E63" i="54"/>
  <c r="N56" i="54"/>
  <c r="J57" i="54"/>
  <c r="N50" i="54"/>
  <c r="N49" i="54"/>
  <c r="N48" i="54"/>
  <c r="N47" i="54"/>
  <c r="N46" i="54"/>
  <c r="L36" i="54"/>
  <c r="J36" i="54"/>
  <c r="L35" i="54"/>
  <c r="K35" i="54"/>
  <c r="J35" i="54"/>
  <c r="K34" i="54"/>
  <c r="L33" i="54"/>
  <c r="K33" i="54"/>
  <c r="J33" i="54"/>
  <c r="K31" i="54"/>
  <c r="J31" i="54"/>
  <c r="M31" i="54" s="1"/>
  <c r="M32" i="54" s="1"/>
  <c r="M33" i="54" s="1"/>
  <c r="M34" i="54" s="1"/>
  <c r="M35" i="54" s="1"/>
  <c r="J30" i="54"/>
  <c r="M23" i="54"/>
  <c r="M24" i="54" s="1"/>
  <c r="M25" i="54" s="1"/>
  <c r="M26" i="54" s="1"/>
  <c r="M27" i="54" s="1"/>
  <c r="M28" i="54" s="1"/>
  <c r="M29" i="54" s="1"/>
  <c r="K20" i="54"/>
  <c r="C20" i="54"/>
  <c r="F19" i="54"/>
  <c r="E19" i="54"/>
  <c r="F18" i="54"/>
  <c r="E18" i="54"/>
  <c r="F17" i="54"/>
  <c r="E17" i="54"/>
  <c r="F16" i="54"/>
  <c r="E16" i="54"/>
  <c r="F15" i="54"/>
  <c r="E15" i="54"/>
  <c r="F14" i="54"/>
  <c r="E14" i="54"/>
  <c r="F13" i="54"/>
  <c r="E13" i="54"/>
  <c r="F12" i="54"/>
  <c r="E12" i="54"/>
  <c r="F11" i="54"/>
  <c r="E11" i="54"/>
  <c r="F10" i="54"/>
  <c r="E10" i="54"/>
  <c r="F9" i="54"/>
  <c r="E9" i="54"/>
  <c r="F8" i="54"/>
  <c r="E8" i="54"/>
  <c r="F7" i="54"/>
  <c r="E7" i="54"/>
  <c r="F6" i="54"/>
  <c r="E6" i="54"/>
  <c r="F5" i="54"/>
  <c r="E5" i="54"/>
  <c r="E20" i="54" s="1"/>
  <c r="L93" i="51"/>
  <c r="J37" i="51"/>
  <c r="L37" i="51"/>
  <c r="M93" i="51"/>
  <c r="K93" i="51"/>
  <c r="K37" i="51"/>
  <c r="J109" i="51"/>
  <c r="N56" i="51"/>
  <c r="J56" i="51"/>
  <c r="E48" i="52"/>
  <c r="D48" i="52"/>
  <c r="E44" i="52"/>
  <c r="F44" i="52"/>
  <c r="J35" i="52"/>
  <c r="I35" i="52"/>
  <c r="B34" i="53"/>
  <c r="G40" i="53"/>
  <c r="F40" i="53"/>
  <c r="E40" i="53"/>
  <c r="K37" i="53"/>
  <c r="G38" i="53"/>
  <c r="G39" i="53" s="1"/>
  <c r="E36" i="53"/>
  <c r="E38" i="53" s="1"/>
  <c r="E39" i="53" s="1"/>
  <c r="D38" i="53"/>
  <c r="D39" i="53" s="1"/>
  <c r="B33" i="53"/>
  <c r="B32" i="53"/>
  <c r="B31" i="53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B4" i="53"/>
  <c r="E38" i="52"/>
  <c r="E34" i="52"/>
  <c r="D45" i="52"/>
  <c r="D38" i="52"/>
  <c r="D34" i="52"/>
  <c r="M36" i="54" l="1"/>
  <c r="M38" i="54" s="1"/>
  <c r="M37" i="54"/>
  <c r="M90" i="54"/>
  <c r="G49" i="53"/>
  <c r="G48" i="53" s="1"/>
  <c r="E49" i="53"/>
  <c r="E48" i="53"/>
  <c r="E79" i="54"/>
  <c r="N57" i="54"/>
  <c r="M37" i="51"/>
  <c r="F35" i="53"/>
  <c r="F42" i="53" s="1"/>
  <c r="F38" i="53"/>
  <c r="F39" i="53" s="1"/>
  <c r="F6" i="52"/>
  <c r="F49" i="53" l="1"/>
  <c r="F48" i="53"/>
  <c r="G38" i="52"/>
  <c r="G40" i="52"/>
  <c r="G34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K45" i="51" l="1"/>
  <c r="K102" i="51" l="1"/>
  <c r="J35" i="49" l="1"/>
  <c r="I35" i="49"/>
  <c r="E40" i="52" l="1"/>
  <c r="D40" i="52"/>
  <c r="F38" i="52"/>
  <c r="K35" i="52"/>
  <c r="G36" i="52"/>
  <c r="G37" i="52" s="1"/>
  <c r="F34" i="52"/>
  <c r="F36" i="52" s="1"/>
  <c r="F37" i="52" s="1"/>
  <c r="E36" i="52"/>
  <c r="E37" i="52" s="1"/>
  <c r="E45" i="52" s="1"/>
  <c r="D36" i="52"/>
  <c r="D37" i="52" s="1"/>
  <c r="F33" i="52"/>
  <c r="F40" i="52" s="1"/>
  <c r="B2" i="52"/>
  <c r="C116" i="51"/>
  <c r="L92" i="51"/>
  <c r="L91" i="51"/>
  <c r="K91" i="51"/>
  <c r="J91" i="51"/>
  <c r="L90" i="51"/>
  <c r="K90" i="51"/>
  <c r="L89" i="51"/>
  <c r="K89" i="51"/>
  <c r="M89" i="51" s="1"/>
  <c r="M88" i="51"/>
  <c r="L87" i="51"/>
  <c r="K87" i="51"/>
  <c r="J87" i="51"/>
  <c r="M86" i="51"/>
  <c r="M82" i="51"/>
  <c r="M83" i="51" s="1"/>
  <c r="M84" i="51" s="1"/>
  <c r="M81" i="51"/>
  <c r="C78" i="51"/>
  <c r="K77" i="51"/>
  <c r="I77" i="51"/>
  <c r="H77" i="51"/>
  <c r="F77" i="51"/>
  <c r="E77" i="51"/>
  <c r="K76" i="51"/>
  <c r="I76" i="51"/>
  <c r="H76" i="51"/>
  <c r="F76" i="51"/>
  <c r="E76" i="51"/>
  <c r="K75" i="51"/>
  <c r="I75" i="51"/>
  <c r="H75" i="51"/>
  <c r="F75" i="51"/>
  <c r="E75" i="51"/>
  <c r="K74" i="51"/>
  <c r="I74" i="51"/>
  <c r="H74" i="51"/>
  <c r="F74" i="51"/>
  <c r="E74" i="51"/>
  <c r="K73" i="51"/>
  <c r="I73" i="51"/>
  <c r="H73" i="51"/>
  <c r="F73" i="51"/>
  <c r="E73" i="51"/>
  <c r="K72" i="51"/>
  <c r="I72" i="51"/>
  <c r="H72" i="51"/>
  <c r="F72" i="51"/>
  <c r="E72" i="51"/>
  <c r="K71" i="51"/>
  <c r="I71" i="51"/>
  <c r="H71" i="51"/>
  <c r="F71" i="51"/>
  <c r="E71" i="51"/>
  <c r="K70" i="51"/>
  <c r="K78" i="51" s="1"/>
  <c r="I70" i="51"/>
  <c r="H70" i="51"/>
  <c r="F70" i="51"/>
  <c r="E70" i="51"/>
  <c r="H69" i="51"/>
  <c r="F69" i="51"/>
  <c r="E69" i="51"/>
  <c r="F68" i="51"/>
  <c r="E68" i="51"/>
  <c r="F67" i="51"/>
  <c r="E67" i="51"/>
  <c r="F66" i="51"/>
  <c r="E66" i="51"/>
  <c r="F65" i="51"/>
  <c r="E65" i="51"/>
  <c r="F64" i="51"/>
  <c r="E64" i="51"/>
  <c r="F63" i="51"/>
  <c r="E63" i="51"/>
  <c r="F62" i="51"/>
  <c r="E62" i="51"/>
  <c r="N55" i="51"/>
  <c r="K51" i="51"/>
  <c r="N49" i="51"/>
  <c r="N48" i="51"/>
  <c r="N47" i="51"/>
  <c r="K46" i="51"/>
  <c r="N45" i="51"/>
  <c r="L36" i="51"/>
  <c r="J36" i="51"/>
  <c r="L35" i="51"/>
  <c r="K35" i="51"/>
  <c r="J35" i="51"/>
  <c r="K34" i="51"/>
  <c r="L33" i="51"/>
  <c r="K33" i="51"/>
  <c r="J33" i="51"/>
  <c r="K31" i="51"/>
  <c r="J31" i="51"/>
  <c r="J30" i="51"/>
  <c r="M23" i="51"/>
  <c r="M24" i="51" s="1"/>
  <c r="K20" i="51"/>
  <c r="C20" i="51"/>
  <c r="F19" i="51"/>
  <c r="E19" i="51"/>
  <c r="F18" i="51"/>
  <c r="E18" i="51"/>
  <c r="F17" i="51"/>
  <c r="E17" i="51"/>
  <c r="F16" i="51"/>
  <c r="E16" i="51"/>
  <c r="F15" i="51"/>
  <c r="E15" i="51"/>
  <c r="F14" i="51"/>
  <c r="E14" i="51"/>
  <c r="F13" i="51"/>
  <c r="E13" i="51"/>
  <c r="F12" i="51"/>
  <c r="E12" i="51"/>
  <c r="F11" i="51"/>
  <c r="E11" i="51"/>
  <c r="F10" i="51"/>
  <c r="E10" i="51"/>
  <c r="F9" i="51"/>
  <c r="E9" i="51"/>
  <c r="F8" i="51"/>
  <c r="E8" i="51"/>
  <c r="F7" i="51"/>
  <c r="E7" i="51"/>
  <c r="F6" i="51"/>
  <c r="E6" i="51"/>
  <c r="F5" i="51"/>
  <c r="E5" i="51"/>
  <c r="M91" i="48"/>
  <c r="M36" i="48"/>
  <c r="J36" i="48"/>
  <c r="L36" i="48"/>
  <c r="M31" i="51" l="1"/>
  <c r="M32" i="51" s="1"/>
  <c r="M33" i="51" s="1"/>
  <c r="M34" i="51" s="1"/>
  <c r="M35" i="51" s="1"/>
  <c r="M36" i="51" s="1"/>
  <c r="M91" i="51"/>
  <c r="M92" i="51" s="1"/>
  <c r="M25" i="51"/>
  <c r="M26" i="51" s="1"/>
  <c r="M27" i="51" s="1"/>
  <c r="M28" i="51" s="1"/>
  <c r="M29" i="51" s="1"/>
  <c r="G44" i="52"/>
  <c r="G45" i="52"/>
  <c r="F45" i="52"/>
  <c r="E20" i="51"/>
  <c r="E78" i="51"/>
  <c r="N46" i="51"/>
  <c r="L91" i="48"/>
  <c r="K106" i="48"/>
  <c r="G44" i="50"/>
  <c r="F44" i="50"/>
  <c r="J35" i="50"/>
  <c r="I35" i="50"/>
  <c r="J46" i="49"/>
  <c r="I46" i="49"/>
  <c r="G45" i="50" l="1"/>
  <c r="E34" i="49"/>
  <c r="F44" i="49"/>
  <c r="B5" i="49"/>
  <c r="B2" i="49"/>
  <c r="D45" i="49"/>
  <c r="D44" i="49" s="1"/>
  <c r="E40" i="49"/>
  <c r="F40" i="50"/>
  <c r="E40" i="50"/>
  <c r="D40" i="50"/>
  <c r="G38" i="50"/>
  <c r="F38" i="50"/>
  <c r="E38" i="50"/>
  <c r="D38" i="50"/>
  <c r="D36" i="50"/>
  <c r="D37" i="50" s="1"/>
  <c r="K35" i="50"/>
  <c r="G34" i="50"/>
  <c r="G36" i="50" s="1"/>
  <c r="G37" i="50" s="1"/>
  <c r="F34" i="50"/>
  <c r="F36" i="50" s="1"/>
  <c r="F37" i="50" s="1"/>
  <c r="E34" i="50"/>
  <c r="E36" i="50" s="1"/>
  <c r="E37" i="50" s="1"/>
  <c r="D34" i="50"/>
  <c r="G33" i="50"/>
  <c r="G40" i="50" s="1"/>
  <c r="F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3" i="50"/>
  <c r="B2" i="50"/>
  <c r="G38" i="49"/>
  <c r="G33" i="49"/>
  <c r="G40" i="49" s="1"/>
  <c r="D37" i="49"/>
  <c r="F38" i="49"/>
  <c r="F37" i="49"/>
  <c r="F45" i="49" s="1"/>
  <c r="G34" i="49"/>
  <c r="F34" i="49"/>
  <c r="E45" i="50" l="1"/>
  <c r="E44" i="50"/>
  <c r="D45" i="50"/>
  <c r="D44" i="50"/>
  <c r="F45" i="50"/>
  <c r="E10" i="45"/>
  <c r="E11" i="45"/>
  <c r="K50" i="48" l="1"/>
  <c r="D60" i="45"/>
  <c r="B32" i="49" l="1"/>
  <c r="E38" i="49"/>
  <c r="D38" i="49"/>
  <c r="K35" i="49"/>
  <c r="D34" i="49"/>
  <c r="D36" i="49" s="1"/>
  <c r="D40" i="49"/>
  <c r="F36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E36" i="49"/>
  <c r="E37" i="49" s="1"/>
  <c r="E45" i="49" s="1"/>
  <c r="E44" i="49" s="1"/>
  <c r="B17" i="49"/>
  <c r="B16" i="49"/>
  <c r="B15" i="49"/>
  <c r="B14" i="49"/>
  <c r="B13" i="49"/>
  <c r="B12" i="49"/>
  <c r="B11" i="49"/>
  <c r="B10" i="49"/>
  <c r="B9" i="49"/>
  <c r="B8" i="49"/>
  <c r="B7" i="49"/>
  <c r="B6" i="49"/>
  <c r="B4" i="49"/>
  <c r="B3" i="49"/>
  <c r="C114" i="48"/>
  <c r="J107" i="48"/>
  <c r="L90" i="48"/>
  <c r="K90" i="48"/>
  <c r="J90" i="48"/>
  <c r="L89" i="48"/>
  <c r="K89" i="48"/>
  <c r="L88" i="48"/>
  <c r="K88" i="48"/>
  <c r="M87" i="48"/>
  <c r="L86" i="48"/>
  <c r="K86" i="48"/>
  <c r="J86" i="48"/>
  <c r="M85" i="48"/>
  <c r="M80" i="48"/>
  <c r="M81" i="48" s="1"/>
  <c r="M82" i="48" s="1"/>
  <c r="M83" i="48" s="1"/>
  <c r="C77" i="48"/>
  <c r="K76" i="48"/>
  <c r="I76" i="48"/>
  <c r="H76" i="48"/>
  <c r="F76" i="48"/>
  <c r="E76" i="48"/>
  <c r="K75" i="48"/>
  <c r="I75" i="48"/>
  <c r="H75" i="48"/>
  <c r="F75" i="48"/>
  <c r="E75" i="48"/>
  <c r="K74" i="48"/>
  <c r="I74" i="48"/>
  <c r="H74" i="48"/>
  <c r="F74" i="48"/>
  <c r="E74" i="48"/>
  <c r="K73" i="48"/>
  <c r="I73" i="48"/>
  <c r="H73" i="48"/>
  <c r="F73" i="48"/>
  <c r="E73" i="48"/>
  <c r="K72" i="48"/>
  <c r="I72" i="48"/>
  <c r="H72" i="48"/>
  <c r="F72" i="48"/>
  <c r="E72" i="48"/>
  <c r="K71" i="48"/>
  <c r="I71" i="48"/>
  <c r="H71" i="48"/>
  <c r="F71" i="48"/>
  <c r="E71" i="48"/>
  <c r="K70" i="48"/>
  <c r="I70" i="48"/>
  <c r="H70" i="48"/>
  <c r="F70" i="48"/>
  <c r="E70" i="48"/>
  <c r="K69" i="48"/>
  <c r="I69" i="48"/>
  <c r="H69" i="48"/>
  <c r="F69" i="48"/>
  <c r="E69" i="48"/>
  <c r="H68" i="48"/>
  <c r="F68" i="48"/>
  <c r="E68" i="48"/>
  <c r="F67" i="48"/>
  <c r="E67" i="48"/>
  <c r="F66" i="48"/>
  <c r="E66" i="48"/>
  <c r="F65" i="48"/>
  <c r="E65" i="48"/>
  <c r="F64" i="48"/>
  <c r="E64" i="48"/>
  <c r="F63" i="48"/>
  <c r="E63" i="48"/>
  <c r="F62" i="48"/>
  <c r="E62" i="48"/>
  <c r="F61" i="48"/>
  <c r="E61" i="48"/>
  <c r="N54" i="48"/>
  <c r="N48" i="48"/>
  <c r="N47" i="48"/>
  <c r="N46" i="48"/>
  <c r="K45" i="48"/>
  <c r="N45" i="48" s="1"/>
  <c r="N44" i="48"/>
  <c r="L35" i="48"/>
  <c r="K35" i="48"/>
  <c r="J35" i="48"/>
  <c r="K34" i="48"/>
  <c r="L33" i="48"/>
  <c r="K33" i="48"/>
  <c r="J33" i="48"/>
  <c r="K31" i="48"/>
  <c r="J31" i="48"/>
  <c r="J30" i="48"/>
  <c r="M23" i="48"/>
  <c r="M24" i="48" s="1"/>
  <c r="M25" i="48" s="1"/>
  <c r="M26" i="48" s="1"/>
  <c r="M27" i="48" s="1"/>
  <c r="M28" i="48" s="1"/>
  <c r="M29" i="48" s="1"/>
  <c r="K20" i="48"/>
  <c r="C20" i="48"/>
  <c r="F19" i="48"/>
  <c r="E19" i="48"/>
  <c r="F18" i="48"/>
  <c r="E18" i="48"/>
  <c r="F17" i="48"/>
  <c r="E17" i="48"/>
  <c r="F16" i="48"/>
  <c r="E16" i="48"/>
  <c r="F15" i="48"/>
  <c r="E15" i="48"/>
  <c r="F14" i="48"/>
  <c r="E14" i="48"/>
  <c r="F13" i="48"/>
  <c r="E13" i="48"/>
  <c r="F12" i="48"/>
  <c r="E12" i="48"/>
  <c r="F11" i="48"/>
  <c r="E11" i="48"/>
  <c r="F10" i="48"/>
  <c r="E10" i="48"/>
  <c r="F9" i="48"/>
  <c r="E9" i="48"/>
  <c r="F8" i="48"/>
  <c r="E8" i="48"/>
  <c r="F7" i="48"/>
  <c r="E7" i="48"/>
  <c r="F6" i="48"/>
  <c r="E6" i="48"/>
  <c r="F5" i="48"/>
  <c r="E5" i="48"/>
  <c r="M31" i="48" l="1"/>
  <c r="M32" i="48" s="1"/>
  <c r="M33" i="48" s="1"/>
  <c r="M34" i="48" s="1"/>
  <c r="M35" i="48" s="1"/>
  <c r="K77" i="48"/>
  <c r="M88" i="48"/>
  <c r="E20" i="48"/>
  <c r="N55" i="48"/>
  <c r="M90" i="48"/>
  <c r="E77" i="48"/>
  <c r="F33" i="49"/>
  <c r="F40" i="49" s="1"/>
  <c r="G36" i="49"/>
  <c r="G37" i="49" s="1"/>
  <c r="G44" i="49" s="1"/>
  <c r="J55" i="48"/>
  <c r="L89" i="45"/>
  <c r="K89" i="45"/>
  <c r="M89" i="45" s="1"/>
  <c r="J89" i="45"/>
  <c r="K104" i="45"/>
  <c r="G47" i="46"/>
  <c r="F47" i="46"/>
  <c r="D47" i="46"/>
  <c r="K35" i="45"/>
  <c r="J35" i="45"/>
  <c r="L35" i="45"/>
  <c r="J35" i="46"/>
  <c r="I35" i="46"/>
  <c r="G45" i="49" l="1"/>
  <c r="E43" i="46"/>
  <c r="E44" i="46"/>
  <c r="E40" i="46"/>
  <c r="G38" i="46"/>
  <c r="F34" i="46"/>
  <c r="F31" i="46"/>
  <c r="F33" i="46"/>
  <c r="F40" i="46" s="1"/>
  <c r="F38" i="46"/>
  <c r="D34" i="46"/>
  <c r="E17" i="46"/>
  <c r="E34" i="46" s="1"/>
  <c r="E64" i="45" l="1"/>
  <c r="F64" i="45"/>
  <c r="N34" i="47" l="1"/>
  <c r="N19" i="47"/>
  <c r="M4" i="47"/>
  <c r="M5" i="47"/>
  <c r="M6" i="47"/>
  <c r="M7" i="47"/>
  <c r="M8" i="47"/>
  <c r="M9" i="47"/>
  <c r="M10" i="47"/>
  <c r="M11" i="47"/>
  <c r="M12" i="47"/>
  <c r="M13" i="47"/>
  <c r="M14" i="47"/>
  <c r="M15" i="47"/>
  <c r="M16" i="47"/>
  <c r="M17" i="47"/>
  <c r="M18" i="47"/>
  <c r="N16" i="47"/>
  <c r="N13" i="47"/>
  <c r="N8" i="47"/>
  <c r="L34" i="47"/>
  <c r="K34" i="47"/>
  <c r="M33" i="47"/>
  <c r="M32" i="47"/>
  <c r="M31" i="47"/>
  <c r="M30" i="47"/>
  <c r="M29" i="47"/>
  <c r="M28" i="47"/>
  <c r="M27" i="47"/>
  <c r="M26" i="47"/>
  <c r="M25" i="47"/>
  <c r="M24" i="47"/>
  <c r="M23" i="47"/>
  <c r="M22" i="47"/>
  <c r="M21" i="47"/>
  <c r="M20" i="47"/>
  <c r="M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18" i="47"/>
  <c r="H19" i="47"/>
  <c r="G34" i="47"/>
  <c r="F11" i="47"/>
  <c r="F7" i="47"/>
  <c r="F34" i="47" s="1"/>
  <c r="H5" i="47"/>
  <c r="H6" i="47"/>
  <c r="H8" i="47"/>
  <c r="H9" i="47"/>
  <c r="H10" i="47"/>
  <c r="H11" i="47"/>
  <c r="H12" i="47"/>
  <c r="H13" i="47"/>
  <c r="H14" i="47"/>
  <c r="H15" i="47"/>
  <c r="H16" i="47"/>
  <c r="H17" i="47"/>
  <c r="H4" i="47"/>
  <c r="C34" i="47"/>
  <c r="B34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19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4" i="47"/>
  <c r="G14" i="46"/>
  <c r="G34" i="46" s="1"/>
  <c r="H7" i="47" l="1"/>
  <c r="H34" i="47" s="1"/>
  <c r="M34" i="47"/>
  <c r="D34" i="47"/>
  <c r="E38" i="46"/>
  <c r="D38" i="46"/>
  <c r="K35" i="46"/>
  <c r="G36" i="46"/>
  <c r="G37" i="46" s="1"/>
  <c r="E36" i="46"/>
  <c r="E37" i="46" s="1"/>
  <c r="D36" i="46"/>
  <c r="D37" i="46" s="1"/>
  <c r="G33" i="46"/>
  <c r="G40" i="46" s="1"/>
  <c r="D33" i="46"/>
  <c r="D40" i="46" s="1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M86" i="45"/>
  <c r="D43" i="46" l="1"/>
  <c r="G43" i="46"/>
  <c r="H44" i="46"/>
  <c r="G44" i="46"/>
  <c r="H45" i="46"/>
  <c r="D44" i="46"/>
  <c r="F36" i="46"/>
  <c r="F37" i="46" s="1"/>
  <c r="F43" i="46" s="1"/>
  <c r="R135" i="45"/>
  <c r="C112" i="45"/>
  <c r="J105" i="45"/>
  <c r="L88" i="45"/>
  <c r="K88" i="45"/>
  <c r="L87" i="45"/>
  <c r="K87" i="45"/>
  <c r="M87" i="45" s="1"/>
  <c r="L85" i="45"/>
  <c r="K85" i="45"/>
  <c r="J85" i="45"/>
  <c r="M84" i="45"/>
  <c r="M79" i="45"/>
  <c r="M80" i="45" s="1"/>
  <c r="M81" i="45" s="1"/>
  <c r="M82" i="45" s="1"/>
  <c r="C76" i="45"/>
  <c r="K75" i="45"/>
  <c r="I75" i="45"/>
  <c r="H75" i="45"/>
  <c r="F75" i="45"/>
  <c r="E75" i="45"/>
  <c r="K74" i="45"/>
  <c r="I74" i="45"/>
  <c r="H74" i="45"/>
  <c r="F74" i="45"/>
  <c r="E74" i="45"/>
  <c r="K73" i="45"/>
  <c r="I73" i="45"/>
  <c r="H73" i="45"/>
  <c r="F73" i="45"/>
  <c r="E73" i="45"/>
  <c r="K72" i="45"/>
  <c r="I72" i="45"/>
  <c r="H72" i="45"/>
  <c r="F72" i="45"/>
  <c r="E72" i="45"/>
  <c r="K71" i="45"/>
  <c r="I71" i="45"/>
  <c r="H71" i="45"/>
  <c r="F71" i="45"/>
  <c r="E71" i="45"/>
  <c r="K70" i="45"/>
  <c r="I70" i="45"/>
  <c r="H70" i="45"/>
  <c r="F70" i="45"/>
  <c r="E70" i="45"/>
  <c r="K69" i="45"/>
  <c r="I69" i="45"/>
  <c r="H69" i="45"/>
  <c r="F69" i="45"/>
  <c r="E69" i="45"/>
  <c r="K68" i="45"/>
  <c r="I68" i="45"/>
  <c r="H68" i="45"/>
  <c r="F68" i="45"/>
  <c r="E68" i="45"/>
  <c r="H67" i="45"/>
  <c r="F67" i="45"/>
  <c r="E67" i="45"/>
  <c r="F66" i="45"/>
  <c r="E66" i="45"/>
  <c r="F65" i="45"/>
  <c r="E65" i="45"/>
  <c r="F63" i="45"/>
  <c r="E63" i="45"/>
  <c r="F62" i="45"/>
  <c r="E62" i="45"/>
  <c r="F61" i="45"/>
  <c r="E61" i="45"/>
  <c r="F60" i="45"/>
  <c r="E60" i="45"/>
  <c r="N53" i="45"/>
  <c r="N47" i="45"/>
  <c r="N46" i="45"/>
  <c r="N45" i="45"/>
  <c r="K44" i="45"/>
  <c r="N44" i="45" s="1"/>
  <c r="N43" i="45"/>
  <c r="K34" i="45"/>
  <c r="L33" i="45"/>
  <c r="K33" i="45"/>
  <c r="J33" i="45"/>
  <c r="K31" i="45"/>
  <c r="J31" i="45"/>
  <c r="M31" i="45" s="1"/>
  <c r="M32" i="45" s="1"/>
  <c r="M33" i="45" s="1"/>
  <c r="M34" i="45" s="1"/>
  <c r="M35" i="45" s="1"/>
  <c r="J30" i="45"/>
  <c r="M24" i="45"/>
  <c r="M25" i="45" s="1"/>
  <c r="M26" i="45" s="1"/>
  <c r="M27" i="45" s="1"/>
  <c r="M28" i="45" s="1"/>
  <c r="M29" i="45" s="1"/>
  <c r="M23" i="45"/>
  <c r="K20" i="45"/>
  <c r="C20" i="45"/>
  <c r="F19" i="45"/>
  <c r="E19" i="45"/>
  <c r="F18" i="45"/>
  <c r="E18" i="45"/>
  <c r="F17" i="45"/>
  <c r="E17" i="45"/>
  <c r="F16" i="45"/>
  <c r="E16" i="45"/>
  <c r="F15" i="45"/>
  <c r="E15" i="45"/>
  <c r="F14" i="45"/>
  <c r="E14" i="45"/>
  <c r="F13" i="45"/>
  <c r="E13" i="45"/>
  <c r="F12" i="45"/>
  <c r="E12" i="45"/>
  <c r="F11" i="45"/>
  <c r="F10" i="45"/>
  <c r="F9" i="45"/>
  <c r="E9" i="45"/>
  <c r="F8" i="45"/>
  <c r="E8" i="45"/>
  <c r="F7" i="45"/>
  <c r="E7" i="45"/>
  <c r="F6" i="45"/>
  <c r="E6" i="45"/>
  <c r="F5" i="45"/>
  <c r="E5" i="45"/>
  <c r="E20" i="45" s="1"/>
  <c r="K76" i="45" l="1"/>
  <c r="F44" i="46"/>
  <c r="E76" i="45"/>
  <c r="N54" i="45"/>
  <c r="J54" i="45"/>
  <c r="I48" i="44"/>
  <c r="K34" i="43"/>
  <c r="O44" i="43"/>
  <c r="K35" i="44"/>
  <c r="M34" i="43"/>
  <c r="G50" i="44" l="1"/>
  <c r="K87" i="43"/>
  <c r="M87" i="43"/>
  <c r="L35" i="44"/>
  <c r="L87" i="43"/>
  <c r="R133" i="43"/>
  <c r="O113" i="43"/>
  <c r="M86" i="43"/>
  <c r="M85" i="43"/>
  <c r="P123" i="43"/>
  <c r="P113" i="43"/>
  <c r="F46" i="44" l="1"/>
  <c r="E34" i="44"/>
  <c r="D38" i="44"/>
  <c r="H34" i="44"/>
  <c r="G34" i="44"/>
  <c r="D34" i="44"/>
  <c r="H40" i="44"/>
  <c r="D40" i="44"/>
  <c r="F72" i="41" l="1"/>
  <c r="F73" i="41"/>
  <c r="L18" i="44" l="1"/>
  <c r="K45" i="43" l="1"/>
  <c r="N69" i="41"/>
  <c r="E59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H38" i="44"/>
  <c r="G38" i="44"/>
  <c r="F38" i="44"/>
  <c r="E38" i="44"/>
  <c r="I38" i="44"/>
  <c r="I34" i="44"/>
  <c r="I36" i="44" s="1"/>
  <c r="I37" i="44" s="1"/>
  <c r="H36" i="44"/>
  <c r="H37" i="44" s="1"/>
  <c r="G36" i="44"/>
  <c r="G37" i="44" s="1"/>
  <c r="F34" i="44"/>
  <c r="F36" i="44" s="1"/>
  <c r="F37" i="44" s="1"/>
  <c r="D36" i="44"/>
  <c r="D37" i="44" s="1"/>
  <c r="I33" i="44"/>
  <c r="I40" i="44" s="1"/>
  <c r="H33" i="44"/>
  <c r="G33" i="44"/>
  <c r="G40" i="44" s="1"/>
  <c r="F33" i="44"/>
  <c r="D33" i="44"/>
  <c r="E36" i="44"/>
  <c r="E37" i="44" s="1"/>
  <c r="B2" i="44"/>
  <c r="C110" i="43"/>
  <c r="J103" i="43"/>
  <c r="L86" i="43"/>
  <c r="K86" i="43"/>
  <c r="L84" i="43"/>
  <c r="K84" i="43"/>
  <c r="J84" i="43"/>
  <c r="M83" i="43"/>
  <c r="M78" i="43"/>
  <c r="M79" i="43" s="1"/>
  <c r="M80" i="43" s="1"/>
  <c r="M81" i="43" s="1"/>
  <c r="C75" i="43"/>
  <c r="K74" i="43"/>
  <c r="I74" i="43"/>
  <c r="H74" i="43"/>
  <c r="F74" i="43"/>
  <c r="E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H66" i="43"/>
  <c r="F66" i="43"/>
  <c r="E66" i="43"/>
  <c r="F65" i="43"/>
  <c r="E65" i="43"/>
  <c r="F64" i="43"/>
  <c r="E64" i="43"/>
  <c r="F63" i="43"/>
  <c r="E63" i="43"/>
  <c r="F62" i="43"/>
  <c r="E62" i="43"/>
  <c r="F61" i="43"/>
  <c r="E61" i="43"/>
  <c r="K75" i="43"/>
  <c r="F60" i="43"/>
  <c r="E60" i="43"/>
  <c r="F59" i="43"/>
  <c r="N52" i="43"/>
  <c r="N46" i="43"/>
  <c r="N45" i="43"/>
  <c r="N44" i="43"/>
  <c r="K43" i="43"/>
  <c r="N43" i="43" s="1"/>
  <c r="N42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G45" i="44" l="1"/>
  <c r="G44" i="44"/>
  <c r="H44" i="44"/>
  <c r="H45" i="44"/>
  <c r="E45" i="44"/>
  <c r="D44" i="44"/>
  <c r="D45" i="44"/>
  <c r="N53" i="43"/>
  <c r="E75" i="43"/>
  <c r="I45" i="44"/>
  <c r="I44" i="44"/>
  <c r="F45" i="44"/>
  <c r="F44" i="44"/>
  <c r="E33" i="44"/>
  <c r="E40" i="44" s="1"/>
  <c r="E44" i="44" s="1"/>
  <c r="J53" i="43"/>
  <c r="D44" i="42"/>
  <c r="D45" i="42"/>
  <c r="D40" i="42"/>
  <c r="D34" i="42"/>
  <c r="D33" i="42"/>
  <c r="H45" i="42"/>
  <c r="H34" i="42"/>
  <c r="H33" i="42"/>
  <c r="H40" i="42"/>
  <c r="I44" i="42" l="1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J101" i="41" l="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E73" i="41"/>
  <c r="K72" i="41"/>
  <c r="I72" i="41"/>
  <c r="H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<sst xmlns="http://schemas.openxmlformats.org/spreadsheetml/2006/main" count="3908" uniqueCount="456">
  <si>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</si>
  <si>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</si>
  <si>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</si>
  <si>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</si>
  <si>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</si>
  <si>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</si>
  <si>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</si>
  <si>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</si>
  <si>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</si>
  <si>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</si>
  <si>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</si>
  <si>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</si>
  <si>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</si>
  <si>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</si>
  <si>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</si>
  <si>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</si>
  <si>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</si>
  <si>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</si>
  <si>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</si>
  <si>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</si>
  <si>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</si>
  <si>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</si>
  <si>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</si>
  <si>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</si>
  <si>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</si>
  <si>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</si>
  <si>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</si>
  <si>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</si>
  <si>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</si>
  <si>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</si>
  <si>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</si>
  <si>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</si>
  <si>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</si>
  <si>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</si>
  <si>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</si>
  <si>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</si>
  <si>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</si>
  <si>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</si>
  <si>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</si>
  <si>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</si>
  <si>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</si>
  <si>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</si>
  <si>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</si>
  <si>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</si>
  <si>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</si>
  <si>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</si>
  <si>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</si>
  <si>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</si>
  <si>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</si>
  <si>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</si>
  <si>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</si>
  <si>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</si>
  <si>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</si>
  <si>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</si>
  <si>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</si>
  <si>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</si>
  <si>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</si>
  <si>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</si>
  <si>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</si>
  <si>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</si>
  <si>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</si>
  <si>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</si>
  <si>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</si>
  <si>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</si>
  <si>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</si>
  <si>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</si>
  <si>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</si>
  <si>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</si>
  <si>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</si>
  <si>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</si>
  <si>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</si>
  <si>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</si>
  <si>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</si>
  <si>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</si>
  <si>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</si>
  <si>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</si>
  <si>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</si>
  <si>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</si>
  <si>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</si>
  <si>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</si>
  <si>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</si>
  <si>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</si>
  <si>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</si>
  <si>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</si>
  <si>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</si>
  <si>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</si>
  <si>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</si>
  <si>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</si>
  <si>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</si>
  <si>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</si>
  <si>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</si>
  <si>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</si>
  <si>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</si>
  <si>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</si>
  <si>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</si>
  <si>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</si>
  <si>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</si>
  <si>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</si>
  <si>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</si>
  <si>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</si>
  <si>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</si>
  <si>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</si>
  <si>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</si>
  <si>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</si>
  <si>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</si>
  <si>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</si>
  <si>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</si>
  <si>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</si>
  <si>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</si>
  <si>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</si>
  <si>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</si>
  <si>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</si>
  <si>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</si>
  <si>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</si>
  <si>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</si>
  <si>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</si>
  <si>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</si>
  <si>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</si>
  <si>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</si>
  <si>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</si>
  <si>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</si>
  <si>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</si>
  <si>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</si>
  <si>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</si>
  <si>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</si>
  <si>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</si>
  <si>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</si>
  <si>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</si>
  <si>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</si>
  <si>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</si>
  <si>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</si>
  <si>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</si>
  <si>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</si>
  <si>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</si>
  <si>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</si>
  <si>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</si>
  <si>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</si>
  <si>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</si>
  <si>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</si>
  <si>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</si>
  <si>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</si>
  <si>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</si>
  <si>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</si>
  <si>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</si>
  <si>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</si>
  <si>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</si>
  <si>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</si>
  <si>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</si>
  <si>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</si>
  <si>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</si>
  <si>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</si>
  <si>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</si>
  <si>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</si>
  <si>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</si>
  <si>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</si>
  <si>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</si>
  <si>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</si>
  <si>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</si>
  <si>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</si>
  <si>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</si>
  <si>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</si>
  <si>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</si>
  <si>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</si>
  <si>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</si>
  <si>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</si>
  <si>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</si>
  <si>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</si>
  <si>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</si>
  <si>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</si>
  <si>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</si>
  <si>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</si>
  <si>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</si>
  <si>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</si>
  <si>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</si>
  <si>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</si>
  <si>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</si>
  <si>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</si>
  <si>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</si>
  <si>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</si>
  <si>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</si>
  <si>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</si>
  <si>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</si>
  <si>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</si>
  <si>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</si>
  <si>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</si>
  <si>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</si>
  <si>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</si>
  <si>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</si>
  <si>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</si>
  <si>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</si>
  <si>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</si>
  <si>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</si>
  <si>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</si>
  <si>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</si>
  <si>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</si>
  <si>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</si>
  <si>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</si>
  <si>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</si>
  <si>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</si>
  <si>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</si>
  <si>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</si>
  <si>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</si>
  <si>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</si>
  <si>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</si>
  <si>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</si>
  <si>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</si>
  <si>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</si>
  <si>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</si>
  <si>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</si>
  <si>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</si>
  <si>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</si>
  <si>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</si>
  <si>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</si>
  <si>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</si>
  <si>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</si>
  <si>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</si>
  <si>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</si>
  <si>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</si>
  <si>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</si>
  <si>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</si>
  <si>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</si>
  <si>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</si>
  <si>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</si>
  <si>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</si>
  <si>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</si>
  <si>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</si>
  <si>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</si>
  <si>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</si>
  <si>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</si>
  <si>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</si>
  <si>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</si>
  <si>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</si>
  <si>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</si>
  <si>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</si>
  <si>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</si>
  <si>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</si>
  <si>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</si>
  <si>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</si>
  <si>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</si>
  <si>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</si>
  <si>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</si>
  <si>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</si>
  <si>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</si>
  <si>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</si>
  <si>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</si>
  <si>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</si>
  <si>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</si>
  <si>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</si>
  <si>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</si>
  <si>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</si>
  <si>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</si>
  <si>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</si>
  <si>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</si>
  <si>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</si>
  <si>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</si>
  <si>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</si>
  <si>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</si>
  <si>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</si>
  <si>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</si>
  <si>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</si>
  <si>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</si>
  <si>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</si>
  <si>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</si>
  <si>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</si>
  <si>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</si>
  <si>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</si>
  <si>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</si>
  <si>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</si>
  <si>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</si>
  <si>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</si>
  <si>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</si>
  <si>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</si>
  <si>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</si>
  <si>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</si>
  <si>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</si>
  <si>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</si>
  <si>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</si>
  <si>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</si>
  <si>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</si>
  <si>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</si>
  <si>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</si>
  <si>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</si>
  <si>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</si>
  <si>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</si>
  <si>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</si>
  <si>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</si>
  <si>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</si>
  <si>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</si>
  <si>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</si>
  <si>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</si>
  <si>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</si>
  <si>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</si>
  <si>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</si>
  <si>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</si>
  <si>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</si>
  <si>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</si>
  <si>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</si>
  <si>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</si>
  <si>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</si>
  <si>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</si>
  <si>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</si>
  <si>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</si>
  <si>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</si>
  <si>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</si>
  <si>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</si>
  <si>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</si>
  <si>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</si>
  <si>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</si>
  <si>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</si>
  <si>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</si>
  <si>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</si>
  <si>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</si>
  <si>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</si>
  <si>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</si>
  <si>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</si>
  <si>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</si>
  <si>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</si>
  <si>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</si>
  <si>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</si>
  <si>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</si>
  <si>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</si>
  <si>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</si>
  <si>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</si>
  <si>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</si>
  <si>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</si>
  <si>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</si>
  <si>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</si>
  <si>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</si>
  <si>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</si>
  <si>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</si>
  <si>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</si>
  <si>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</si>
  <si>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</si>
  <si>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</si>
  <si>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</si>
  <si>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</si>
  <si>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</si>
  <si>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</si>
  <si>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</si>
  <si>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</si>
  <si>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</si>
  <si>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</si>
  <si>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</si>
  <si>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</si>
  <si>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</si>
  <si>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</si>
  <si>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</si>
  <si>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</si>
  <si>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</si>
  <si>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</si>
  <si>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</si>
  <si>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</si>
  <si>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</si>
  <si>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</si>
  <si>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</si>
  <si>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</si>
  <si>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</si>
  <si>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</si>
  <si>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</si>
  <si>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</si>
  <si>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</si>
  <si>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</si>
  <si>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</si>
  <si>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</si>
  <si>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</si>
  <si>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</si>
  <si>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</si>
  <si>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</si>
  <si>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</si>
  <si>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</si>
  <si>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</si>
  <si>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</si>
  <si>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</si>
  <si>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</si>
  <si>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</si>
  <si>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</si>
  <si>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</si>
  <si>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</si>
  <si>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</si>
  <si>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</si>
  <si>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</si>
  <si>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</si>
  <si>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</si>
  <si>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</si>
  <si>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</si>
  <si>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</si>
  <si>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</si>
  <si>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</si>
  <si>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</si>
  <si>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</si>
  <si>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</si>
  <si>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</si>
  <si>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</si>
  <si>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</si>
  <si>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</si>
  <si>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</si>
  <si>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</si>
  <si>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</si>
  <si>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</si>
  <si>
    <t>Амирханов</t>
  </si>
  <si>
    <t>доставка</t>
  </si>
  <si>
    <t>113,36 со счета коно</t>
  </si>
  <si>
    <t>оплачено не на тот счет</t>
  </si>
  <si>
    <t>Оплачено</t>
  </si>
  <si>
    <t>АПР</t>
  </si>
  <si>
    <t>МАЙ</t>
  </si>
  <si>
    <t>ИЮН</t>
  </si>
  <si>
    <t>ИЮЛ</t>
  </si>
  <si>
    <t>АВГ</t>
  </si>
  <si>
    <t>СЕНТ</t>
  </si>
  <si>
    <t>НЕ ПЛАТИЛ</t>
  </si>
  <si>
    <t>ЗА ОКТЯБРЬ</t>
  </si>
  <si>
    <t>ЗА АВГУСТ</t>
  </si>
  <si>
    <t>ГАЛЕРЕЯ СЕНТЯБРЬ (ИП КОНОПЛЯНИК)</t>
  </si>
  <si>
    <t>ВЕСТ СЕНТЯБРЬ (ИП ЛОСИК)</t>
  </si>
  <si>
    <t>ЖИТКОВИЧИ СЕНТЯБРЬ</t>
  </si>
  <si>
    <t>НАЛ</t>
  </si>
  <si>
    <t>БЕЗНАЛ</t>
  </si>
  <si>
    <t>ОБЩЕЕ</t>
  </si>
  <si>
    <t>ДАТА</t>
  </si>
  <si>
    <t>ИТОГО</t>
  </si>
  <si>
    <t>РЕАЛЬНЫЕ СУММЫ</t>
  </si>
  <si>
    <t>ПО ЧЕКАМ(для налоговой)</t>
  </si>
  <si>
    <t>191,38 С ГАЛЕРЕИ СЧЕТА</t>
  </si>
  <si>
    <t>оплатили как разницу</t>
  </si>
  <si>
    <t>ГАЛЕРЕЯ ОКТЯБРЬ (ИП КОНОПЛЯНИК)</t>
  </si>
  <si>
    <t>ЗА ноябрь</t>
  </si>
  <si>
    <t>ЗА сент</t>
  </si>
  <si>
    <t>Люмекс</t>
  </si>
  <si>
    <t>Биолиния</t>
  </si>
  <si>
    <t>товар</t>
  </si>
  <si>
    <t>205 нал 95 на долги</t>
  </si>
  <si>
    <t>аванс карта 44</t>
  </si>
  <si>
    <t>95-44=51  51р-это пошло на долги</t>
  </si>
  <si>
    <t>долг сентября 108,82-51= 57,82</t>
  </si>
  <si>
    <t>за октябрь</t>
  </si>
  <si>
    <t>ВЕСТ октябрь (ИП ЛОСИК)</t>
  </si>
  <si>
    <t>эсткль</t>
  </si>
  <si>
    <t>ВЕСТ НОЯБРЬ (ИП ЛОСИК)</t>
  </si>
  <si>
    <t>ГАЛЕРЕЯ НОЯБРЬ (ИП КОНОПЛЯНИК)</t>
  </si>
  <si>
    <t>ГАЛЕРЕЯ декабрь (ИП КОНОПЛЯНИК)</t>
  </si>
  <si>
    <t>ВЕСТ декабрь (ИП ЛОСИК)</t>
  </si>
  <si>
    <t>За январь</t>
  </si>
  <si>
    <t>Лизап</t>
  </si>
  <si>
    <t>ЧЕПУРКО</t>
  </si>
  <si>
    <t>ДОПЛАТИТЬ</t>
  </si>
  <si>
    <t>лунинецкое ЖКХ</t>
  </si>
  <si>
    <t>БиоЛинияБЛР</t>
  </si>
  <si>
    <t>Симанкова</t>
  </si>
  <si>
    <t>к нг</t>
  </si>
  <si>
    <t>от оли</t>
  </si>
  <si>
    <t>юле 29-30 ноября досчитать</t>
  </si>
  <si>
    <t>ОЛЕСЯ НА 2 МАГАЗИНА</t>
  </si>
  <si>
    <t>ЖКХ</t>
  </si>
  <si>
    <t>]</t>
  </si>
  <si>
    <t>за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</si>
</sst>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_р_."/>
    <numFmt numFmtId="165" formatCode="#,##0.00_р_."/>
    <numFmt numFmtId="166" formatCode="0.0"/>
    <numFmt numFmtId="167" formatCode="#,##0.000_р_."/>
  </numFmts>
  <fonts count="32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9.9978637043366805E-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2" fillId="0" borderId="0"/>
  </cellStyleXfs>
  <cellXfs count="129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0" fillId="0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65" fontId="0" fillId="0" borderId="0" xfId="0" applyNumberFormat="1"/>
    <xf numFmtId="0" fontId="23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10" borderId="0" xfId="0" applyFill="1"/>
    <xf numFmtId="14" fontId="4" fillId="0" borderId="7" xfId="0" applyNumberFormat="1" applyFont="1" applyBorder="1"/>
    <xf numFmtId="0" fontId="25" fillId="0" borderId="31" xfId="0" applyFont="1" applyFill="1" applyBorder="1"/>
    <xf numFmtId="2" fontId="4" fillId="0" borderId="8" xfId="0" applyNumberFormat="1" applyFont="1" applyFill="1" applyBorder="1"/>
    <xf numFmtId="0" fontId="25" fillId="0" borderId="8" xfId="0" applyFont="1" applyFill="1" applyBorder="1"/>
    <xf numFmtId="2" fontId="4" fillId="0" borderId="2" xfId="0" applyNumberFormat="1" applyFont="1" applyBorder="1" applyProtection="1">
      <protection hidden="1"/>
    </xf>
    <xf numFmtId="0" fontId="0" fillId="0" borderId="1" xfId="0" applyFill="1" applyBorder="1" applyAlignment="1"/>
    <xf numFmtId="0" fontId="0" fillId="10" borderId="1" xfId="0" applyFill="1" applyBorder="1" applyAlignment="1"/>
    <xf numFmtId="16" fontId="0" fillId="10" borderId="1" xfId="0" applyNumberFormat="1" applyFill="1" applyBorder="1"/>
    <xf numFmtId="16" fontId="0" fillId="0" borderId="0" xfId="0" applyNumberFormat="1" applyFill="1"/>
    <xf numFmtId="4" fontId="0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4" fontId="0" fillId="2" borderId="54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1" xfId="0" applyFont="1" applyFill="1" applyBorder="1" applyProtection="1">
      <protection hidden="1"/>
    </xf>
    <xf numFmtId="166" fontId="0" fillId="0" borderId="47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0" fillId="0" borderId="73" xfId="0" applyFill="1" applyBorder="1" applyAlignment="1">
      <alignment horizontal="right"/>
    </xf>
    <xf numFmtId="0" fontId="0" fillId="0" borderId="27" xfId="0" applyFill="1" applyBorder="1"/>
    <xf numFmtId="0" fontId="0" fillId="13" borderId="23" xfId="0" applyFill="1" applyBorder="1"/>
    <xf numFmtId="2" fontId="0" fillId="12" borderId="24" xfId="0" applyNumberFormat="1" applyFill="1" applyBorder="1"/>
    <xf numFmtId="166" fontId="0" fillId="0" borderId="1" xfId="0" applyNumberFormat="1" applyFill="1" applyBorder="1" applyAlignment="1">
      <alignment horizontal="center" vertical="center"/>
    </xf>
    <xf numFmtId="0" fontId="3" fillId="0" borderId="107" xfId="0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4" fontId="3" fillId="0" borderId="14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2" fontId="0" fillId="0" borderId="0" xfId="0" applyNumberFormat="1" applyFill="1" applyBorder="1" applyAlignment="1">
      <alignment vertical="center"/>
    </xf>
    <xf numFmtId="4" fontId="0" fillId="6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/>
    <xf numFmtId="0" fontId="4" fillId="0" borderId="31" xfId="0" applyFont="1" applyFill="1" applyBorder="1"/>
    <xf numFmtId="0" fontId="25" fillId="6" borderId="11" xfId="0" applyFont="1" applyFill="1" applyBorder="1"/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/>
    <xf numFmtId="2" fontId="3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0" fillId="0" borderId="54" xfId="0" applyFill="1" applyBorder="1"/>
    <xf numFmtId="0" fontId="4" fillId="0" borderId="0" xfId="0" applyFont="1" applyBorder="1" applyAlignment="1">
      <alignment horizontal="center"/>
    </xf>
    <xf numFmtId="2" fontId="27" fillId="0" borderId="0" xfId="0" applyNumberFormat="1" applyFont="1" applyFill="1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167" fontId="2" fillId="0" borderId="0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/>
    </xf>
    <xf numFmtId="14" fontId="0" fillId="6" borderId="54" xfId="0" applyNumberFormat="1" applyFont="1" applyFill="1" applyBorder="1" applyAlignment="1">
      <alignment vertical="center"/>
    </xf>
    <xf numFmtId="16" fontId="0" fillId="6" borderId="54" xfId="0" applyNumberFormat="1" applyFill="1" applyBorder="1"/>
    <xf numFmtId="4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0" xfId="0" applyNumberFormat="1" applyFill="1" applyBorder="1"/>
    <xf numFmtId="16" fontId="0" fillId="6" borderId="0" xfId="0" applyNumberFormat="1" applyFill="1" applyBorder="1"/>
    <xf numFmtId="0" fontId="0" fillId="6" borderId="0" xfId="0" applyFill="1"/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0" fontId="0" fillId="0" borderId="45" xfId="0" applyFill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11" fillId="0" borderId="10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3" borderId="106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2" borderId="8" xfId="0" applyNumberFormat="1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2" borderId="1" xfId="0" applyFill="1" applyBorder="1" applyAlignment="1"/>
    <xf numFmtId="2" fontId="27" fillId="22" borderId="1" xfId="0" applyNumberFormat="1" applyFont="1" applyFill="1" applyBorder="1"/>
    <xf numFmtId="2" fontId="4" fillId="22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4" fontId="0" fillId="6" borderId="11" xfId="0" applyNumberFormat="1" applyFill="1" applyBorder="1"/>
    <xf numFmtId="14" fontId="0" fillId="6" borderId="94" xfId="0" applyNumberFormat="1" applyFill="1" applyBorder="1"/>
    <xf numFmtId="4" fontId="0" fillId="0" borderId="11" xfId="0" applyNumberFormat="1" applyFill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0" fontId="3" fillId="0" borderId="108" xfId="0" applyFont="1" applyFill="1" applyBorder="1" applyAlignment="1">
      <alignment horizontal="center" vertical="center"/>
    </xf>
    <xf numFmtId="166" fontId="0" fillId="0" borderId="96" xfId="0" applyNumberFormat="1" applyBorder="1" applyAlignment="1">
      <alignment horizontal="center"/>
    </xf>
    <xf numFmtId="16" fontId="3" fillId="0" borderId="0" xfId="0" applyNumberFormat="1" applyFont="1"/>
    <xf numFmtId="0" fontId="0" fillId="0" borderId="0" xfId="0" applyAlignment="1">
      <alignment horizontal="center"/>
    </xf>
    <xf numFmtId="0" fontId="0" fillId="0" borderId="32" xfId="0" applyFill="1" applyBorder="1" applyAlignment="1">
      <alignment horizontal="right"/>
    </xf>
    <xf numFmtId="166" fontId="0" fillId="0" borderId="7" xfId="0" applyNumberForma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8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ОБЩЕЕ!$L$53:$L$61</c:f>
              <c:numCache>
                <c:formatCode>#,##0.00</c:formatCode>
                <c:ptCount val="9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2-4DF3-BDF9-E1A026EE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2-4DF3-BDF9-E1A026EEE67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ОБЩЕЕ!$D$56:$D$67</c:f>
              <c:strCache>
                <c:ptCount val="12"/>
                <c:pt idx="0">
                  <c:v>31239,44</c:v>
                </c:pt>
                <c:pt idx="1">
                  <c:v>28986,99</c:v>
                </c:pt>
                <c:pt idx="2">
                  <c:v>31654,69</c:v>
                </c:pt>
                <c:pt idx="3">
                  <c:v>28891,40</c:v>
                </c:pt>
                <c:pt idx="4">
                  <c:v>28339,37</c:v>
                </c:pt>
                <c:pt idx="5">
                  <c:v>28933,90</c:v>
                </c:pt>
                <c:pt idx="6">
                  <c:v>23375,09</c:v>
                </c:pt>
                <c:pt idx="7">
                  <c:v>22761,37</c:v>
                </c:pt>
                <c:pt idx="8">
                  <c:v>23251,61</c:v>
                </c:pt>
                <c:pt idx="9">
                  <c:v>30633,54</c:v>
                </c:pt>
                <c:pt idx="10">
                  <c:v>28716,31</c:v>
                </c:pt>
                <c:pt idx="11">
                  <c:v>26800,16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ОБЩЕЕ!$C$56:$C$67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ОБЩЕЕ!$D$56:$D$67</c:f>
              <c:numCache>
                <c:formatCode>0.00</c:formatCode>
                <c:ptCount val="12"/>
                <c:pt idx="0" formatCode="General">
                  <c:v>31239.439999999995</c:v>
                </c:pt>
                <c:pt idx="1">
                  <c:v>28986.99</c:v>
                </c:pt>
                <c:pt idx="2" formatCode="General">
                  <c:v>31654.69</c:v>
                </c:pt>
                <c:pt idx="3">
                  <c:v>28891.4</c:v>
                </c:pt>
                <c:pt idx="4" formatCode="General">
                  <c:v>28339.37</c:v>
                </c:pt>
                <c:pt idx="5">
                  <c:v>28933.9</c:v>
                </c:pt>
                <c:pt idx="6">
                  <c:v>23375.089999999997</c:v>
                </c:pt>
                <c:pt idx="7">
                  <c:v>22761.37</c:v>
                </c:pt>
                <c:pt idx="8">
                  <c:v>23251.61</c:v>
                </c:pt>
                <c:pt idx="9">
                  <c:v>30633.54</c:v>
                </c:pt>
                <c:pt idx="10" formatCode="General">
                  <c:v>28716.309999999994</c:v>
                </c:pt>
                <c:pt idx="11" formatCode="General">
                  <c:v>26800.16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2-4A90-862D-A107515FD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cat>
          <c:val>
            <c:numRef>
              <c:f>ОБЩЕЕ!$L$53:$L$62</c:f>
              <c:numCache>
                <c:formatCode>#,##0.00</c:formatCode>
                <c:ptCount val="10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A5-ADD2-CBC2A5224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549-BC3D-57E8EC93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8-4549-BC3D-57E8EC935A1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ОБЩЕЕ!$D$57:$D$68</c:f>
              <c:strCache>
                <c:ptCount val="12"/>
                <c:pt idx="0">
                  <c:v>28986,99</c:v>
                </c:pt>
                <c:pt idx="1">
                  <c:v>31654,69</c:v>
                </c:pt>
                <c:pt idx="2">
                  <c:v>28891,40</c:v>
                </c:pt>
                <c:pt idx="3">
                  <c:v>28339,37</c:v>
                </c:pt>
                <c:pt idx="4">
                  <c:v>28933,90</c:v>
                </c:pt>
                <c:pt idx="5">
                  <c:v>23375,09</c:v>
                </c:pt>
                <c:pt idx="6">
                  <c:v>22761,37</c:v>
                </c:pt>
                <c:pt idx="7">
                  <c:v>23251,61</c:v>
                </c:pt>
                <c:pt idx="8">
                  <c:v>30633,54</c:v>
                </c:pt>
                <c:pt idx="9">
                  <c:v>28716,31</c:v>
                </c:pt>
                <c:pt idx="10">
                  <c:v>26800,16</c:v>
                </c:pt>
                <c:pt idx="11">
                  <c:v>25796,49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ОБЩЕЕ!$C$57:$C$68</c:f>
              <c:strCache>
                <c:ptCount val="12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</c:strCache>
            </c:strRef>
          </c:cat>
          <c:val>
            <c:numRef>
              <c:f>ОБЩЕЕ!$D$57:$D$68</c:f>
              <c:numCache>
                <c:formatCode>General</c:formatCode>
                <c:ptCount val="12"/>
                <c:pt idx="0" formatCode="0.00">
                  <c:v>28986.99</c:v>
                </c:pt>
                <c:pt idx="1">
                  <c:v>31654.69</c:v>
                </c:pt>
                <c:pt idx="2" formatCode="0.00">
                  <c:v>28891.4</c:v>
                </c:pt>
                <c:pt idx="3">
                  <c:v>28339.37</c:v>
                </c:pt>
                <c:pt idx="4" formatCode="0.00">
                  <c:v>28933.9</c:v>
                </c:pt>
                <c:pt idx="5" formatCode="0.00">
                  <c:v>23375.089999999997</c:v>
                </c:pt>
                <c:pt idx="6" formatCode="0.00">
                  <c:v>22761.37</c:v>
                </c:pt>
                <c:pt idx="7" formatCode="0.00">
                  <c:v>23251.61</c:v>
                </c:pt>
                <c:pt idx="8" formatCode="0.00">
                  <c:v>30633.54</c:v>
                </c:pt>
                <c:pt idx="9">
                  <c:v>28716.309999999994</c:v>
                </c:pt>
                <c:pt idx="10">
                  <c:v>26800.16</c:v>
                </c:pt>
                <c:pt idx="11" formatCode="0.00">
                  <c:v>25796.490000000005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553-8CDB-5AB370EE4C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ОБЩЕЕ!$K$54:$K$63</c:f>
              <c:strCache>
                <c:ptCount val="1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ОБЩЕЕ!$K$54:$K$63</c:f>
              <c:strCache>
                <c:ptCount val="1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</c:strCache>
            </c:strRef>
          </c:cat>
          <c:val>
            <c:numRef>
              <c:f>ОБЩЕЕ!$L$54:$L$63</c:f>
              <c:numCache>
                <c:formatCode>#,##0.00</c:formatCode>
                <c:ptCount val="10"/>
                <c:pt idx="0">
                  <c:v>8423.6400000000012</c:v>
                </c:pt>
                <c:pt idx="1">
                  <c:v>8639.7199999999993</c:v>
                </c:pt>
                <c:pt idx="2">
                  <c:v>12605.26</c:v>
                </c:pt>
                <c:pt idx="3" formatCode="0.00">
                  <c:v>11425.189999999999</c:v>
                </c:pt>
                <c:pt idx="4" formatCode="0.00">
                  <c:v>13612.520000000002</c:v>
                </c:pt>
                <c:pt idx="5" formatCode="0.00">
                  <c:v>14474.099999999999</c:v>
                </c:pt>
                <c:pt idx="6" formatCode="0.00">
                  <c:v>17170.439999999999</c:v>
                </c:pt>
                <c:pt idx="7" formatCode="General">
                  <c:v>17084.789999999997</c:v>
                </c:pt>
                <c:pt idx="8" formatCode="General">
                  <c:v>16010.099999999999</c:v>
                </c:pt>
                <c:pt idx="9" formatCode="0.00">
                  <c:v>18487.2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CA9-AFC0-6F485A4A1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22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C-477C-AEEF-30A23F33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5C-477C-AEEF-30A23F33BA4C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ОБЩЕЕ!$D$58:$D$69</c:f>
              <c:strCache>
                <c:ptCount val="12"/>
                <c:pt idx="0">
                  <c:v>31654,69</c:v>
                </c:pt>
                <c:pt idx="1">
                  <c:v>28891,40</c:v>
                </c:pt>
                <c:pt idx="2">
                  <c:v>28339,37</c:v>
                </c:pt>
                <c:pt idx="3">
                  <c:v>28933,90</c:v>
                </c:pt>
                <c:pt idx="4">
                  <c:v>23375,09</c:v>
                </c:pt>
                <c:pt idx="5">
                  <c:v>22761,37</c:v>
                </c:pt>
                <c:pt idx="6">
                  <c:v>23251,61</c:v>
                </c:pt>
                <c:pt idx="7">
                  <c:v>30633,54</c:v>
                </c:pt>
                <c:pt idx="8">
                  <c:v>28716,31</c:v>
                </c:pt>
                <c:pt idx="9">
                  <c:v>26800,16</c:v>
                </c:pt>
                <c:pt idx="10">
                  <c:v>25796,49</c:v>
                </c:pt>
                <c:pt idx="11">
                  <c:v>26221,17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ОБЩЕЕ!$C$58:$C$69</c:f>
              <c:strCache>
                <c:ptCount val="12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  <c:pt idx="11">
                  <c:v>ноябрь</c:v>
                </c:pt>
              </c:strCache>
            </c:strRef>
          </c:cat>
          <c:val>
            <c:numRef>
              <c:f>ОБЩЕЕ!$D$58:$D$69</c:f>
              <c:numCache>
                <c:formatCode>0.00</c:formatCode>
                <c:ptCount val="12"/>
                <c:pt idx="0" formatCode="General">
                  <c:v>31654.69</c:v>
                </c:pt>
                <c:pt idx="1">
                  <c:v>28891.4</c:v>
                </c:pt>
                <c:pt idx="2" formatCode="General">
                  <c:v>28339.37</c:v>
                </c:pt>
                <c:pt idx="3">
                  <c:v>28933.9</c:v>
                </c:pt>
                <c:pt idx="4">
                  <c:v>23375.089999999997</c:v>
                </c:pt>
                <c:pt idx="5">
                  <c:v>22761.37</c:v>
                </c:pt>
                <c:pt idx="6">
                  <c:v>23251.61</c:v>
                </c:pt>
                <c:pt idx="7">
                  <c:v>30633.54</c:v>
                </c:pt>
                <c:pt idx="8" formatCode="General">
                  <c:v>28716.309999999994</c:v>
                </c:pt>
                <c:pt idx="9" formatCode="General">
                  <c:v>26800.16</c:v>
                </c:pt>
                <c:pt idx="10">
                  <c:v>25796.490000000005</c:v>
                </c:pt>
                <c:pt idx="11" formatCode="General">
                  <c:v>26221.170000000002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E-4932-BA74-392F23F245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ОБЩЕЕ!$K$53:$K$64</c:f>
              <c:strCache>
                <c:ptCount val="12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  <c:pt idx="11">
                  <c:v>ноябрь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ОБЩЕЕ!$K$53:$K$64</c:f>
              <c:strCache>
                <c:ptCount val="12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  <c:pt idx="11">
                  <c:v>ноябрь</c:v>
                </c:pt>
              </c:strCache>
            </c:strRef>
          </c:cat>
          <c:val>
            <c:numRef>
              <c:f>ОБЩЕЕ!$L$53:$L$64</c:f>
              <c:numCache>
                <c:formatCode>#,##0.00</c:formatCode>
                <c:ptCount val="12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  <c:pt idx="10" formatCode="0.00">
                  <c:v>18487.2</c:v>
                </c:pt>
                <c:pt idx="11" formatCode="General">
                  <c:v>18961.969999999998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EF9-9BEE-75D3A23CB6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20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8-4C3D-84EF-4C9E9849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98-4C3D-84EF-4C9E984900B4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ОБЩЕЕ!$D$60:$D$70</c:f>
              <c:strCache>
                <c:ptCount val="11"/>
                <c:pt idx="0">
                  <c:v>28339,37</c:v>
                </c:pt>
                <c:pt idx="1">
                  <c:v>28933,90</c:v>
                </c:pt>
                <c:pt idx="2">
                  <c:v>23375,09</c:v>
                </c:pt>
                <c:pt idx="3">
                  <c:v>22761,37</c:v>
                </c:pt>
                <c:pt idx="4">
                  <c:v>23251,61</c:v>
                </c:pt>
                <c:pt idx="5">
                  <c:v>30633,54</c:v>
                </c:pt>
                <c:pt idx="6">
                  <c:v>28716,31</c:v>
                </c:pt>
                <c:pt idx="7">
                  <c:v>26800,16</c:v>
                </c:pt>
                <c:pt idx="8">
                  <c:v>25796,49</c:v>
                </c:pt>
                <c:pt idx="9">
                  <c:v>26221,17</c:v>
                </c:pt>
                <c:pt idx="10">
                  <c:v>25688,52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ОБЩЕЕ!$C$60:$C$70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ОБЩЕЕ!$D$60:$D$70</c:f>
              <c:numCache>
                <c:formatCode>0.00</c:formatCode>
                <c:ptCount val="11"/>
                <c:pt idx="0" formatCode="General">
                  <c:v>28339.37</c:v>
                </c:pt>
                <c:pt idx="1">
                  <c:v>28933.9</c:v>
                </c:pt>
                <c:pt idx="2">
                  <c:v>23375.089999999997</c:v>
                </c:pt>
                <c:pt idx="3">
                  <c:v>22761.37</c:v>
                </c:pt>
                <c:pt idx="4">
                  <c:v>23251.61</c:v>
                </c:pt>
                <c:pt idx="5">
                  <c:v>30633.54</c:v>
                </c:pt>
                <c:pt idx="6" formatCode="General">
                  <c:v>28716.309999999994</c:v>
                </c:pt>
                <c:pt idx="7" formatCode="General">
                  <c:v>26800.16</c:v>
                </c:pt>
                <c:pt idx="8">
                  <c:v>25796.490000000005</c:v>
                </c:pt>
                <c:pt idx="9" formatCode="General">
                  <c:v>26221.170000000002</c:v>
                </c:pt>
                <c:pt idx="10" formatCode="General">
                  <c:v>25688.519999999993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0-4018-84C8-F76F4D081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ОБЩЕЕ!$L$55:$L$65</c:f>
              <c:strCache>
                <c:ptCount val="11"/>
                <c:pt idx="0">
                  <c:v>8 639,72</c:v>
                </c:pt>
                <c:pt idx="1">
                  <c:v>12 605,26</c:v>
                </c:pt>
                <c:pt idx="2">
                  <c:v>11425,19</c:v>
                </c:pt>
                <c:pt idx="3">
                  <c:v>13612,52</c:v>
                </c:pt>
                <c:pt idx="4">
                  <c:v>14474,10</c:v>
                </c:pt>
                <c:pt idx="5">
                  <c:v>17170,44</c:v>
                </c:pt>
                <c:pt idx="6">
                  <c:v>17084,79</c:v>
                </c:pt>
                <c:pt idx="7">
                  <c:v>16010,1</c:v>
                </c:pt>
                <c:pt idx="8">
                  <c:v>18487,20</c:v>
                </c:pt>
                <c:pt idx="9">
                  <c:v>18961,97</c:v>
                </c:pt>
                <c:pt idx="10">
                  <c:v>20708,28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ОБЩЕЕ!$K$55:$K$65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ОБЩЕЕ!$L$55:$L$65</c:f>
              <c:numCache>
                <c:formatCode>#,##0.00</c:formatCode>
                <c:ptCount val="11"/>
                <c:pt idx="0">
                  <c:v>8639.7199999999993</c:v>
                </c:pt>
                <c:pt idx="1">
                  <c:v>12605.26</c:v>
                </c:pt>
                <c:pt idx="2" formatCode="0.00">
                  <c:v>11425.189999999999</c:v>
                </c:pt>
                <c:pt idx="3" formatCode="0.00">
                  <c:v>13612.520000000002</c:v>
                </c:pt>
                <c:pt idx="4" formatCode="0.00">
                  <c:v>14474.099999999999</c:v>
                </c:pt>
                <c:pt idx="5" formatCode="0.00">
                  <c:v>17170.439999999999</c:v>
                </c:pt>
                <c:pt idx="6" formatCode="General">
                  <c:v>17084.789999999997</c:v>
                </c:pt>
                <c:pt idx="7" formatCode="General">
                  <c:v>16010.099999999999</c:v>
                </c:pt>
                <c:pt idx="8" formatCode="0.00">
                  <c:v>18487.2</c:v>
                </c:pt>
                <c:pt idx="9" formatCode="General">
                  <c:v>18961.969999999998</c:v>
                </c:pt>
                <c:pt idx="10" formatCode="0.00">
                  <c:v>20708.280000000002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0-443C-8B0A-DF6571C362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23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E-43A8-847F-47AD2BE3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8E-43A8-847F-47AD2BE3D557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ОБЩЕЕ!$D$60:$D$70</c:f>
              <c:strCache>
                <c:ptCount val="11"/>
                <c:pt idx="0">
                  <c:v>28339,37</c:v>
                </c:pt>
                <c:pt idx="1">
                  <c:v>28933,90</c:v>
                </c:pt>
                <c:pt idx="2">
                  <c:v>23375,09</c:v>
                </c:pt>
                <c:pt idx="3">
                  <c:v>22761,37</c:v>
                </c:pt>
                <c:pt idx="4">
                  <c:v>23251,61</c:v>
                </c:pt>
                <c:pt idx="5">
                  <c:v>30633,54</c:v>
                </c:pt>
                <c:pt idx="6">
                  <c:v>28716,31</c:v>
                </c:pt>
                <c:pt idx="7">
                  <c:v>26800,16</c:v>
                </c:pt>
                <c:pt idx="8">
                  <c:v>25796,49</c:v>
                </c:pt>
                <c:pt idx="9">
                  <c:v>26221,17</c:v>
                </c:pt>
                <c:pt idx="10">
                  <c:v>25688,52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ОБЩЕЕ!$C$60:$C$70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ОБЩЕЕ!$D$60:$D$70</c:f>
              <c:numCache>
                <c:formatCode>0.00</c:formatCode>
                <c:ptCount val="11"/>
                <c:pt idx="0" formatCode="General">
                  <c:v>28339.37</c:v>
                </c:pt>
                <c:pt idx="1">
                  <c:v>28933.9</c:v>
                </c:pt>
                <c:pt idx="2">
                  <c:v>23375.089999999997</c:v>
                </c:pt>
                <c:pt idx="3">
                  <c:v>22761.37</c:v>
                </c:pt>
                <c:pt idx="4">
                  <c:v>23251.61</c:v>
                </c:pt>
                <c:pt idx="5">
                  <c:v>30633.54</c:v>
                </c:pt>
                <c:pt idx="6" formatCode="General">
                  <c:v>28716.309999999994</c:v>
                </c:pt>
                <c:pt idx="7" formatCode="General">
                  <c:v>26800.16</c:v>
                </c:pt>
                <c:pt idx="8">
                  <c:v>25796.490000000005</c:v>
                </c:pt>
                <c:pt idx="9" formatCode="General">
                  <c:v>26221.170000000002</c:v>
                </c:pt>
                <c:pt idx="10" formatCode="General">
                  <c:v>25688.519999999993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2-4274-ACED-7685A87C5E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ОБЩЕЕ!$L$55:$L$65</c:f>
              <c:strCache>
                <c:ptCount val="11"/>
                <c:pt idx="0">
                  <c:v>8 639,72</c:v>
                </c:pt>
                <c:pt idx="1">
                  <c:v>12 605,26</c:v>
                </c:pt>
                <c:pt idx="2">
                  <c:v>11425,19</c:v>
                </c:pt>
                <c:pt idx="3">
                  <c:v>13612,52</c:v>
                </c:pt>
                <c:pt idx="4">
                  <c:v>14474,10</c:v>
                </c:pt>
                <c:pt idx="5">
                  <c:v>17170,44</c:v>
                </c:pt>
                <c:pt idx="6">
                  <c:v>17084,79</c:v>
                </c:pt>
                <c:pt idx="7">
                  <c:v>16010,1</c:v>
                </c:pt>
                <c:pt idx="8">
                  <c:v>18487,20</c:v>
                </c:pt>
                <c:pt idx="9">
                  <c:v>18961,97</c:v>
                </c:pt>
                <c:pt idx="10">
                  <c:v>20708,28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ОБЩЕЕ!$K$55:$K$65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ОБЩЕЕ!$L$55:$L$65</c:f>
              <c:numCache>
                <c:formatCode>#,##0.00</c:formatCode>
                <c:ptCount val="11"/>
                <c:pt idx="0">
                  <c:v>8639.7199999999993</c:v>
                </c:pt>
                <c:pt idx="1">
                  <c:v>12605.26</c:v>
                </c:pt>
                <c:pt idx="2" formatCode="0.00">
                  <c:v>11425.189999999999</c:v>
                </c:pt>
                <c:pt idx="3" formatCode="0.00">
                  <c:v>13612.520000000002</c:v>
                </c:pt>
                <c:pt idx="4" formatCode="0.00">
                  <c:v>14474.099999999999</c:v>
                </c:pt>
                <c:pt idx="5" formatCode="0.00">
                  <c:v>17170.439999999999</c:v>
                </c:pt>
                <c:pt idx="6" formatCode="General">
                  <c:v>17084.789999999997</c:v>
                </c:pt>
                <c:pt idx="7" formatCode="General">
                  <c:v>16010.099999999999</c:v>
                </c:pt>
                <c:pt idx="8" formatCode="0.00">
                  <c:v>18487.2</c:v>
                </c:pt>
                <c:pt idx="9" formatCode="General">
                  <c:v>18961.969999999998</c:v>
                </c:pt>
                <c:pt idx="10" formatCode="0.00">
                  <c:v>20708.280000000002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4-486A-BDE6-BF49AD6DAB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23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110</xdr:row>
      <xdr:rowOff>29339</xdr:rowOff>
    </xdr:from>
    <xdr:to>
      <xdr:col>12</xdr:col>
      <xdr:colOff>870856</xdr:colOff>
      <xdr:row>127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54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77</xdr:row>
      <xdr:rowOff>22860</xdr:rowOff>
    </xdr:from>
    <xdr:to>
      <xdr:col>6</xdr:col>
      <xdr:colOff>1154205</xdr:colOff>
      <xdr:row>106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112</xdr:row>
      <xdr:rowOff>29339</xdr:rowOff>
    </xdr:from>
    <xdr:to>
      <xdr:col>12</xdr:col>
      <xdr:colOff>870856</xdr:colOff>
      <xdr:row>129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55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78</xdr:row>
      <xdr:rowOff>22860</xdr:rowOff>
    </xdr:from>
    <xdr:to>
      <xdr:col>6</xdr:col>
      <xdr:colOff>1154205</xdr:colOff>
      <xdr:row>108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115</xdr:row>
      <xdr:rowOff>29339</xdr:rowOff>
    </xdr:from>
    <xdr:to>
      <xdr:col>12</xdr:col>
      <xdr:colOff>870856</xdr:colOff>
      <xdr:row>132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56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79</xdr:row>
      <xdr:rowOff>22860</xdr:rowOff>
    </xdr:from>
    <xdr:to>
      <xdr:col>6</xdr:col>
      <xdr:colOff>1154205</xdr:colOff>
      <xdr:row>111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115</xdr:row>
      <xdr:rowOff>29339</xdr:rowOff>
    </xdr:from>
    <xdr:to>
      <xdr:col>12</xdr:col>
      <xdr:colOff>870856</xdr:colOff>
      <xdr:row>132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56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79</xdr:row>
      <xdr:rowOff>22860</xdr:rowOff>
    </xdr:from>
    <xdr:to>
      <xdr:col>6</xdr:col>
      <xdr:colOff>1154205</xdr:colOff>
      <xdr:row>111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106</xdr:row>
      <xdr:rowOff>29339</xdr:rowOff>
    </xdr:from>
    <xdr:to>
      <xdr:col>12</xdr:col>
      <xdr:colOff>870856</xdr:colOff>
      <xdr:row>123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52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75</xdr:row>
      <xdr:rowOff>22860</xdr:rowOff>
    </xdr:from>
    <xdr:to>
      <xdr:col>6</xdr:col>
      <xdr:colOff>1154205</xdr:colOff>
      <xdr:row>102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108</xdr:row>
      <xdr:rowOff>29339</xdr:rowOff>
    </xdr:from>
    <xdr:to>
      <xdr:col>12</xdr:col>
      <xdr:colOff>870856</xdr:colOff>
      <xdr:row>125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53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76</xdr:row>
      <xdr:rowOff>22860</xdr:rowOff>
    </xdr:from>
    <xdr:to>
      <xdr:col>6</xdr:col>
      <xdr:colOff>1154205</xdr:colOff>
      <xdr:row>104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7" zoomScale="85" zoomScaleNormal="85" zoomScaleSheetLayoutView="70" workbookViewId="0">
      <selection activeCell="C71" sqref="C7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1075" t="s">
        <v>9</v>
      </c>
      <c r="E1" s="1075"/>
      <c r="F1" s="108"/>
      <c r="G1" s="108"/>
      <c r="H1" s="107"/>
      <c r="I1" s="108"/>
      <c r="J1" s="108"/>
      <c r="K1" s="1075" t="s">
        <v>18</v>
      </c>
      <c r="L1" s="1075"/>
      <c r="M1" s="108"/>
      <c r="N1" s="108"/>
      <c r="O1" s="109"/>
      <c r="P1" s="107"/>
      <c r="Q1" s="108"/>
      <c r="R1" s="108"/>
      <c r="S1" s="108"/>
      <c r="T1" s="1075" t="s">
        <v>19</v>
      </c>
      <c r="U1" s="1075"/>
      <c r="V1" s="1075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1075" t="s">
        <v>20</v>
      </c>
      <c r="AH1" s="1075"/>
      <c r="AI1" s="1076"/>
      <c r="AJ1" s="107"/>
      <c r="AK1" s="108"/>
      <c r="AL1" s="1075" t="s">
        <v>194</v>
      </c>
      <c r="AM1" s="1075"/>
      <c r="AN1" s="1076"/>
      <c r="AO1" s="108" t="s">
        <v>21</v>
      </c>
      <c r="AP1" s="109"/>
      <c r="AQ1" s="107"/>
      <c r="AR1" s="1075" t="s">
        <v>162</v>
      </c>
      <c r="AS1" s="1075"/>
      <c r="AT1" s="1076"/>
      <c r="AU1" s="108"/>
      <c r="AV1" s="109"/>
      <c r="AW1" s="107"/>
      <c r="AX1" s="108"/>
      <c r="AY1" s="1075" t="s">
        <v>264</v>
      </c>
      <c r="AZ1" s="1075"/>
      <c r="BA1" s="1076"/>
      <c r="BB1" s="108"/>
      <c r="BC1" s="108"/>
      <c r="BD1" s="109"/>
      <c r="BE1" s="107"/>
      <c r="BF1" s="108"/>
      <c r="BG1" s="1075" t="s">
        <v>310</v>
      </c>
      <c r="BH1" s="1075"/>
      <c r="BI1" s="1076"/>
      <c r="BJ1" s="108"/>
      <c r="BK1" s="108"/>
      <c r="BL1" s="109"/>
      <c r="BM1" s="35"/>
      <c r="BN1" s="35"/>
      <c r="BO1" s="1075" t="s">
        <v>376</v>
      </c>
      <c r="BP1" s="1075"/>
      <c r="BQ1" s="1076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1079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1081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1079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1082"/>
      <c r="AM12" s="23">
        <v>487.05</v>
      </c>
      <c r="AN12" s="233">
        <v>631.9</v>
      </c>
      <c r="AO12" s="389" t="s">
        <v>147</v>
      </c>
      <c r="AP12" s="1078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1079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1082"/>
      <c r="AM13" s="22"/>
      <c r="AN13" s="226">
        <v>659.8</v>
      </c>
      <c r="AO13" s="116"/>
      <c r="AP13" s="1078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1082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1082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1082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1082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1082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1082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1080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1082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1080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1082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1080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1082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1080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1082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1080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1082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1080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1080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1077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1077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1077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1077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1077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1077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1088" t="s">
        <v>231</v>
      </c>
      <c r="BH35" s="1089"/>
      <c r="BI35" s="1089"/>
      <c r="BJ35" s="1089"/>
      <c r="BK35" s="1090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1091" t="s">
        <v>232</v>
      </c>
      <c r="BH36" s="1092"/>
      <c r="BI36" s="1092"/>
      <c r="BJ36" s="1092"/>
      <c r="BK36" s="1093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1094" t="s">
        <v>230</v>
      </c>
      <c r="BH37" s="1095"/>
      <c r="BI37" s="1095"/>
      <c r="BJ37" s="1095"/>
      <c r="BK37" s="1096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1084" t="s">
        <v>15</v>
      </c>
      <c r="C43" s="1085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1086" t="s">
        <v>79</v>
      </c>
      <c r="R44" s="1087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1083" t="s">
        <v>166</v>
      </c>
      <c r="D49" s="1083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K61" s="144" t="s">
        <v>20</v>
      </c>
      <c r="L61">
        <v>17084.789999999997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  <c r="K62" s="2" t="s">
        <v>148</v>
      </c>
      <c r="L62">
        <v>16010.099999999999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  <c r="K63" s="2" t="s">
        <v>162</v>
      </c>
      <c r="L63" s="8">
        <v>18487.2</v>
      </c>
    </row>
    <row r="64" spans="3:73">
      <c r="C64" s="2" t="s">
        <v>18</v>
      </c>
      <c r="D64" s="168">
        <v>23251.61</v>
      </c>
      <c r="E64" s="2"/>
      <c r="F64" s="2" t="s">
        <v>19</v>
      </c>
      <c r="K64" s="144" t="s">
        <v>163</v>
      </c>
      <c r="L64">
        <v>18961.969999999998</v>
      </c>
    </row>
    <row r="65" spans="3:12" ht="15.75" thickBot="1">
      <c r="C65" s="2" t="s">
        <v>19</v>
      </c>
      <c r="D65" s="706">
        <v>30633.54</v>
      </c>
      <c r="E65" s="2"/>
      <c r="K65" s="144" t="s">
        <v>192</v>
      </c>
      <c r="L65" s="774">
        <v>20708.280000000002</v>
      </c>
    </row>
    <row r="66" spans="3:12" ht="15.75" thickTop="1">
      <c r="C66" s="2" t="s">
        <v>20</v>
      </c>
      <c r="D66">
        <v>28716.309999999994</v>
      </c>
      <c r="E66" s="2"/>
      <c r="I66" s="1"/>
      <c r="J66" s="12"/>
      <c r="K66" s="363"/>
    </row>
    <row r="67" spans="3:12">
      <c r="C67" s="2" t="s">
        <v>148</v>
      </c>
      <c r="D67">
        <v>26800.16</v>
      </c>
      <c r="E67" s="2"/>
      <c r="I67" s="12"/>
      <c r="J67" s="12"/>
      <c r="K67" s="363"/>
    </row>
    <row r="68" spans="3:12">
      <c r="C68" s="2" t="s">
        <v>162</v>
      </c>
      <c r="D68" s="8">
        <v>25796.490000000005</v>
      </c>
      <c r="E68" s="2"/>
    </row>
    <row r="69" spans="3:12" ht="15.75" thickBot="1">
      <c r="C69" s="2" t="s">
        <v>163</v>
      </c>
      <c r="D69">
        <v>26221.170000000002</v>
      </c>
      <c r="E69" s="2"/>
      <c r="H69" s="12"/>
      <c r="I69" s="12"/>
    </row>
    <row r="70" spans="3:12" ht="15.75" thickBot="1">
      <c r="C70" s="2" t="s">
        <v>192</v>
      </c>
      <c r="D70">
        <v>25688.519999999993</v>
      </c>
      <c r="E70" s="2"/>
      <c r="H70" s="292">
        <v>26221.170000000002</v>
      </c>
      <c r="I70" s="292">
        <v>18961.969999999998</v>
      </c>
    </row>
    <row r="71" spans="3:12">
      <c r="E71" s="2"/>
    </row>
    <row r="72" spans="3:12">
      <c r="E72" s="2"/>
    </row>
    <row r="73" spans="3:12">
      <c r="E73" s="2"/>
    </row>
    <row r="74" spans="3:12">
      <c r="E74" s="2"/>
    </row>
    <row r="75" spans="3:12">
      <c r="E75" s="2"/>
    </row>
    <row r="76" spans="3:12">
      <c r="E76" s="2"/>
    </row>
    <row r="77" spans="3:12">
      <c r="E77" s="2"/>
    </row>
    <row r="78" spans="3:12">
      <c r="E78" s="2"/>
    </row>
    <row r="79" spans="3:12">
      <c r="E79" s="2"/>
    </row>
    <row r="80" spans="3:12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79" priority="39">
      <formula>$B4=7</formula>
    </cfRule>
    <cfRule type="expression" dxfId="78" priority="40">
      <formula>$B4=6</formula>
    </cfRule>
  </conditionalFormatting>
  <conditionalFormatting sqref="P4:U34">
    <cfRule type="expression" dxfId="77" priority="35">
      <formula>$B4=7</formula>
    </cfRule>
    <cfRule type="expression" dxfId="76" priority="36">
      <formula>$B4=6</formula>
    </cfRule>
  </conditionalFormatting>
  <conditionalFormatting sqref="I4:N34">
    <cfRule type="expression" dxfId="75" priority="37">
      <formula>$B4=7</formula>
    </cfRule>
    <cfRule type="expression" dxfId="74" priority="38">
      <formula>$B4=6</formula>
    </cfRule>
  </conditionalFormatting>
  <conditionalFormatting sqref="AC4:AH34">
    <cfRule type="expression" dxfId="73" priority="33">
      <formula>$B4=7</formula>
    </cfRule>
    <cfRule type="expression" dxfId="72" priority="34">
      <formula>$B4=6</formula>
    </cfRule>
  </conditionalFormatting>
  <conditionalFormatting sqref="AJ3:AN3 AM12:AN27 AM30:AN33 AM28 AL4:AN11 AJ4:AK33">
    <cfRule type="expression" dxfId="71" priority="31">
      <formula>$B3=7</formula>
    </cfRule>
    <cfRule type="expression" dxfId="70" priority="32">
      <formula>$B3=6</formula>
    </cfRule>
  </conditionalFormatting>
  <conditionalFormatting sqref="AL31">
    <cfRule type="expression" dxfId="69" priority="29">
      <formula>$B31=7</formula>
    </cfRule>
    <cfRule type="expression" dxfId="68" priority="30">
      <formula>$B31=6</formula>
    </cfRule>
  </conditionalFormatting>
  <conditionalFormatting sqref="AN28">
    <cfRule type="expression" dxfId="67" priority="27">
      <formula>$B28=7</formula>
    </cfRule>
    <cfRule type="expression" dxfId="66" priority="28">
      <formula>$B28=6</formula>
    </cfRule>
  </conditionalFormatting>
  <conditionalFormatting sqref="AL30">
    <cfRule type="expression" dxfId="65" priority="25">
      <formula>$B30=7</formula>
    </cfRule>
    <cfRule type="expression" dxfId="64" priority="26">
      <formula>$B30=6</formula>
    </cfRule>
  </conditionalFormatting>
  <conditionalFormatting sqref="AQ3:AU3 AT31:AU32 AT12:AU27 AU30 AU33 AS4:AU11 AQ4:AR33">
    <cfRule type="expression" dxfId="63" priority="23">
      <formula>$B3=7</formula>
    </cfRule>
    <cfRule type="expression" dxfId="62" priority="24">
      <formula>$B3=6</formula>
    </cfRule>
  </conditionalFormatting>
  <conditionalFormatting sqref="AS31">
    <cfRule type="expression" dxfId="61" priority="21">
      <formula>$B31=7</formula>
    </cfRule>
    <cfRule type="expression" dxfId="60" priority="22">
      <formula>$B31=6</formula>
    </cfRule>
  </conditionalFormatting>
  <conditionalFormatting sqref="AS30">
    <cfRule type="expression" dxfId="59" priority="19">
      <formula>$B30=7</formula>
    </cfRule>
    <cfRule type="expression" dxfId="58" priority="20">
      <formula>$B30=6</formula>
    </cfRule>
  </conditionalFormatting>
  <conditionalFormatting sqref="AS14:AS15">
    <cfRule type="expression" dxfId="57" priority="17">
      <formula>$B14=7</formula>
    </cfRule>
    <cfRule type="expression" dxfId="56" priority="18">
      <formula>$B14=6</formula>
    </cfRule>
  </conditionalFormatting>
  <conditionalFormatting sqref="AS21:AS22">
    <cfRule type="expression" dxfId="55" priority="15">
      <formula>$B21=7</formula>
    </cfRule>
    <cfRule type="expression" dxfId="54" priority="16">
      <formula>$B21=6</formula>
    </cfRule>
  </conditionalFormatting>
  <conditionalFormatting sqref="AS28:AS29">
    <cfRule type="expression" dxfId="53" priority="13">
      <formula>$B28=7</formula>
    </cfRule>
    <cfRule type="expression" dxfId="52" priority="14">
      <formula>$B28=6</formula>
    </cfRule>
  </conditionalFormatting>
  <conditionalFormatting sqref="AT28:AT29">
    <cfRule type="expression" dxfId="51" priority="11">
      <formula>$B28=7</formula>
    </cfRule>
    <cfRule type="expression" dxfId="50" priority="12">
      <formula>$B28=6</formula>
    </cfRule>
  </conditionalFormatting>
  <conditionalFormatting sqref="AU28:AU29">
    <cfRule type="expression" dxfId="49" priority="9">
      <formula>$B28=7</formula>
    </cfRule>
    <cfRule type="expression" dxfId="48" priority="10">
      <formula>$B28=6</formula>
    </cfRule>
  </conditionalFormatting>
  <conditionalFormatting sqref="AT30">
    <cfRule type="expression" dxfId="47" priority="7">
      <formula>$B30=7</formula>
    </cfRule>
    <cfRule type="expression" dxfId="46" priority="8">
      <formula>$B30=6</formula>
    </cfRule>
  </conditionalFormatting>
  <conditionalFormatting sqref="BA33:BB33 AW33:AX33 AW30:BB32 AW27:BA29 AW3:BB22 AW24:BB26 AW23:BA23">
    <cfRule type="expression" dxfId="45" priority="5">
      <formula>$B3=7</formula>
    </cfRule>
    <cfRule type="expression" dxfId="44" priority="6">
      <formula>$B3=6</formula>
    </cfRule>
  </conditionalFormatting>
  <conditionalFormatting sqref="BJ33:BK33 BH27:BJ29 BF3:BK3 BH23:BJ23 BH4:BK22 BH24:BK26 BF4:BG33 BH30:BK32">
    <cfRule type="expression" dxfId="43" priority="3">
      <formula>$B3=7</formula>
    </cfRule>
    <cfRule type="expression" dxfId="42" priority="4">
      <formula>$B3=6</formula>
    </cfRule>
  </conditionalFormatting>
  <conditionalFormatting sqref="BQ33:BR33 BO27:BQ29 BM3:BR3 BO23:BQ23 BO24:BR26 BO30:BR32 BM4:BN33 BO4:BR22">
    <cfRule type="expression" dxfId="41" priority="1">
      <formula>$B2=7</formula>
    </cfRule>
    <cfRule type="expression" dxfId="4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1" sqref="A21:XFD21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200" t="s">
        <v>352</v>
      </c>
      <c r="D46" s="1200"/>
      <c r="E46" s="1200"/>
      <c r="F46" s="1200"/>
      <c r="G46" s="1200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3" priority="1">
      <formula>$B2=7</formula>
    </cfRule>
    <cfRule type="expression" dxfId="3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58"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358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234" t="s">
        <v>34</v>
      </c>
      <c r="J4" s="1234"/>
      <c r="K4" s="781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244"/>
      <c r="J5" s="1245"/>
      <c r="K5" s="481">
        <v>7130</v>
      </c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 ht="45">
      <c r="A6" s="325" t="s">
        <v>219</v>
      </c>
      <c r="B6" s="276" t="s">
        <v>155</v>
      </c>
      <c r="C6" s="275">
        <v>153.37</v>
      </c>
      <c r="D6" s="275">
        <v>153.37</v>
      </c>
      <c r="E6" s="576" t="s">
        <v>402</v>
      </c>
      <c r="F6" s="162" t="str">
        <f t="shared" ref="F6:F19" si="2">IF(C6=0,"",IF(C6-D6=0,"оплачено","ОЖИДАЕТСЯ оплата"))</f>
        <v>оплачено</v>
      </c>
      <c r="G6" s="162" t="s">
        <v>361</v>
      </c>
      <c r="H6" s="717"/>
      <c r="I6" s="1244" t="s">
        <v>27</v>
      </c>
      <c r="J6" s="1245"/>
      <c r="K6" s="481">
        <v>648.25</v>
      </c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ref="E7:E19" si="3">IF(C7-D7=0,"",C7-D7)</f>
        <v/>
      </c>
      <c r="F7" s="162" t="str">
        <f t="shared" si="2"/>
        <v>оплачено</v>
      </c>
      <c r="G7" s="162" t="s">
        <v>131</v>
      </c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3"/>
        <v/>
      </c>
      <c r="F8" s="162" t="str">
        <f t="shared" si="2"/>
        <v>оплачено</v>
      </c>
      <c r="G8" s="162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3"/>
        <v/>
      </c>
      <c r="F9" s="162" t="str">
        <f t="shared" si="2"/>
        <v>оплачено</v>
      </c>
      <c r="G9" s="162"/>
      <c r="H9" s="717"/>
      <c r="I9" s="1244"/>
      <c r="J9" s="1245"/>
      <c r="K9" s="481"/>
      <c r="L9" s="1248"/>
      <c r="M9" s="1249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3"/>
        <v/>
      </c>
      <c r="F10" s="162" t="str">
        <f t="shared" si="2"/>
        <v>оплачено</v>
      </c>
      <c r="G10" s="162"/>
      <c r="H10" s="717"/>
      <c r="I10" s="1244"/>
      <c r="J10" s="1245"/>
      <c r="K10" s="481"/>
      <c r="L10" s="1248"/>
      <c r="M10" s="1249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3"/>
        <v/>
      </c>
      <c r="F11" s="162" t="str">
        <f t="shared" si="2"/>
        <v/>
      </c>
      <c r="G11" s="162"/>
      <c r="H11" s="717"/>
      <c r="I11" s="1244"/>
      <c r="J11" s="1245"/>
      <c r="K11" s="481"/>
      <c r="L11" s="1183"/>
      <c r="M11" s="1241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3"/>
        <v/>
      </c>
      <c r="F12" s="162" t="str">
        <f t="shared" si="2"/>
        <v/>
      </c>
      <c r="G12" s="162"/>
      <c r="H12" s="717"/>
      <c r="I12" s="1244"/>
      <c r="J12" s="1245"/>
      <c r="K12" s="481"/>
      <c r="L12" s="1183"/>
      <c r="M12" s="1241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3"/>
        <v/>
      </c>
      <c r="F13" s="162" t="str">
        <f t="shared" si="2"/>
        <v/>
      </c>
      <c r="G13" s="162"/>
      <c r="H13" s="717"/>
      <c r="I13" s="1244"/>
      <c r="J13" s="1245"/>
      <c r="K13" s="481"/>
      <c r="L13" s="1183"/>
      <c r="M13" s="1241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3"/>
        <v/>
      </c>
      <c r="F14" s="162" t="str">
        <f t="shared" si="2"/>
        <v/>
      </c>
      <c r="G14" s="162"/>
      <c r="H14" s="717"/>
      <c r="I14" s="1244"/>
      <c r="J14" s="1245"/>
      <c r="K14" s="481"/>
      <c r="L14" s="1183"/>
      <c r="M14" s="1241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3"/>
        <v/>
      </c>
      <c r="F15" s="162" t="str">
        <f t="shared" si="2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3"/>
        <v/>
      </c>
      <c r="F16" s="162" t="str">
        <f t="shared" si="2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3"/>
        <v/>
      </c>
      <c r="F17" s="162" t="str">
        <f t="shared" si="2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3"/>
        <v/>
      </c>
      <c r="F18" s="162" t="str">
        <f t="shared" si="2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3"/>
        <v/>
      </c>
      <c r="F19" s="162" t="str">
        <f t="shared" si="2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3300.09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SUM(K4:K19)</f>
        <v>7778.25</v>
      </c>
      <c r="L20" s="1242"/>
      <c r="M20" s="1243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750" t="s">
        <v>21</v>
      </c>
      <c r="K22" s="750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152" t="s">
        <v>36</v>
      </c>
      <c r="I36" s="1154" t="s">
        <v>178</v>
      </c>
      <c r="J36" s="1155"/>
      <c r="K36" s="1156"/>
      <c r="L36" s="1160" t="s">
        <v>159</v>
      </c>
      <c r="M36" s="1160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153"/>
      <c r="I37" s="1157"/>
      <c r="J37" s="1158"/>
      <c r="K37" s="1159"/>
      <c r="L37" s="1162"/>
      <c r="M37" s="1162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231" t="s">
        <v>47</v>
      </c>
      <c r="J38" s="1231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229" t="s">
        <v>51</v>
      </c>
      <c r="J39" s="1229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229" t="s">
        <v>52</v>
      </c>
      <c r="J40" s="1229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229" t="s">
        <v>49</v>
      </c>
      <c r="J41" s="1229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230" t="s">
        <v>59</v>
      </c>
      <c r="J42" s="1230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218" t="s">
        <v>68</v>
      </c>
      <c r="J43" s="1219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218" t="s">
        <v>81</v>
      </c>
      <c r="J46" s="1219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218" t="s">
        <v>181</v>
      </c>
      <c r="J47" s="1219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1146" t="s">
        <v>61</v>
      </c>
      <c r="J48" s="1146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46" t="s">
        <v>298</v>
      </c>
      <c r="J49" s="1146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46" t="s">
        <v>299</v>
      </c>
      <c r="J50" s="1146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46" t="s">
        <v>300</v>
      </c>
      <c r="J51" s="1146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146" t="s">
        <v>325</v>
      </c>
      <c r="J52" s="1146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150" t="s">
        <v>374</v>
      </c>
      <c r="J53" s="1151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257" t="s">
        <v>179</v>
      </c>
      <c r="I54" s="1237"/>
      <c r="J54" s="361">
        <f>SUM(K38:K53)</f>
        <v>5504.01</v>
      </c>
      <c r="K54" s="1147" t="s">
        <v>180</v>
      </c>
      <c r="L54" s="1147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210"/>
      <c r="I55" s="1210"/>
      <c r="J55" s="1210"/>
      <c r="K55" s="1210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211" t="s">
        <v>375</v>
      </c>
      <c r="B56" s="1211"/>
      <c r="C56" s="1211"/>
      <c r="D56" s="1211"/>
      <c r="E56" s="1211"/>
      <c r="F56" s="1211"/>
      <c r="G56" s="1211"/>
      <c r="H56" s="1211"/>
      <c r="I56" s="1211"/>
      <c r="J56" s="1211"/>
      <c r="K56" s="1211"/>
      <c r="L56" s="1211"/>
      <c r="M56" s="1211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212"/>
      <c r="B57" s="1212"/>
      <c r="C57" s="1212"/>
      <c r="D57" s="1212"/>
      <c r="E57" s="1212"/>
      <c r="F57" s="1212"/>
      <c r="G57" s="1212"/>
      <c r="H57" s="1212"/>
      <c r="I57" s="1212"/>
      <c r="J57" s="1212"/>
      <c r="K57" s="1212"/>
      <c r="L57" s="1212"/>
      <c r="M57" s="1212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220" t="s">
        <v>346</v>
      </c>
      <c r="B58" s="1166"/>
      <c r="C58" s="1166"/>
      <c r="D58" s="1166"/>
      <c r="E58" s="1166"/>
      <c r="F58" s="1166"/>
      <c r="G58" s="1167"/>
      <c r="H58" s="1250" t="s">
        <v>345</v>
      </c>
      <c r="I58" s="1251"/>
      <c r="J58" s="1251"/>
      <c r="K58" s="1251"/>
      <c r="L58" s="1251"/>
      <c r="M58" s="1252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234" t="s">
        <v>34</v>
      </c>
      <c r="J59" s="1234"/>
      <c r="K59" s="755" t="s">
        <v>35</v>
      </c>
      <c r="L59" s="1253" t="s">
        <v>173</v>
      </c>
      <c r="M59" s="1254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244" t="str">
        <f>IF(T4="","",T4)</f>
        <v/>
      </c>
      <c r="J60" s="1245"/>
      <c r="K60" s="481" t="str">
        <f>IF(U4="","",U4)</f>
        <v/>
      </c>
      <c r="L60" s="1246"/>
      <c r="M60" s="1247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244" t="str">
        <f t="shared" ref="I61:I75" si="10">IF(T5="","",T5)</f>
        <v/>
      </c>
      <c r="J61" s="1245"/>
      <c r="K61" s="481" t="str">
        <f t="shared" ref="K61:K75" si="11">IF(U5="","",U5)</f>
        <v/>
      </c>
      <c r="L61" s="1246"/>
      <c r="M61" s="1247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244" t="str">
        <f t="shared" si="10"/>
        <v/>
      </c>
      <c r="J62" s="1245"/>
      <c r="K62" s="481" t="str">
        <f t="shared" si="11"/>
        <v/>
      </c>
      <c r="L62" s="1248"/>
      <c r="M62" s="1249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244" t="str">
        <f t="shared" si="10"/>
        <v/>
      </c>
      <c r="J63" s="1245"/>
      <c r="K63" s="481" t="str">
        <f t="shared" si="11"/>
        <v/>
      </c>
      <c r="L63" s="1248"/>
      <c r="M63" s="1249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244" t="str">
        <f t="shared" si="10"/>
        <v/>
      </c>
      <c r="J64" s="1245"/>
      <c r="K64" s="481" t="str">
        <f t="shared" si="11"/>
        <v/>
      </c>
      <c r="L64" s="1248"/>
      <c r="M64" s="1249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244" t="str">
        <f t="shared" si="10"/>
        <v/>
      </c>
      <c r="J65" s="1245"/>
      <c r="K65" s="481" t="str">
        <f t="shared" si="11"/>
        <v/>
      </c>
      <c r="L65" s="1248"/>
      <c r="M65" s="1249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244" t="str">
        <f t="shared" si="10"/>
        <v/>
      </c>
      <c r="J66" s="1245"/>
      <c r="K66" s="481" t="str">
        <f t="shared" si="11"/>
        <v/>
      </c>
      <c r="L66" s="1183"/>
      <c r="M66" s="1241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244" t="str">
        <f t="shared" si="10"/>
        <v/>
      </c>
      <c r="J67" s="1245"/>
      <c r="K67" s="481" t="str">
        <f t="shared" si="11"/>
        <v/>
      </c>
      <c r="L67" s="1183"/>
      <c r="M67" s="1241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244" t="str">
        <f t="shared" si="10"/>
        <v/>
      </c>
      <c r="J68" s="1245"/>
      <c r="K68" s="481" t="str">
        <f t="shared" si="11"/>
        <v/>
      </c>
      <c r="L68" s="1183"/>
      <c r="M68" s="1241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244" t="str">
        <f t="shared" si="10"/>
        <v/>
      </c>
      <c r="J69" s="1245"/>
      <c r="K69" s="481" t="str">
        <f t="shared" si="11"/>
        <v/>
      </c>
      <c r="L69" s="1183"/>
      <c r="M69" s="1241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244" t="str">
        <f t="shared" si="10"/>
        <v/>
      </c>
      <c r="J70" s="1245"/>
      <c r="K70" s="481" t="str">
        <f t="shared" si="11"/>
        <v/>
      </c>
      <c r="L70" s="1248"/>
      <c r="M70" s="1249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244" t="str">
        <f t="shared" si="10"/>
        <v/>
      </c>
      <c r="J71" s="1245"/>
      <c r="K71" s="481" t="str">
        <f t="shared" si="11"/>
        <v/>
      </c>
      <c r="L71" s="1183"/>
      <c r="M71" s="1241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244" t="str">
        <f t="shared" si="10"/>
        <v/>
      </c>
      <c r="J72" s="1245"/>
      <c r="K72" s="481" t="str">
        <f t="shared" si="11"/>
        <v/>
      </c>
      <c r="L72" s="1183"/>
      <c r="M72" s="1241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244" t="str">
        <f t="shared" si="10"/>
        <v/>
      </c>
      <c r="J73" s="1245"/>
      <c r="K73" s="481" t="str">
        <f t="shared" si="11"/>
        <v/>
      </c>
      <c r="L73" s="1183"/>
      <c r="M73" s="1241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244" t="str">
        <f t="shared" si="10"/>
        <v/>
      </c>
      <c r="J74" s="1245"/>
      <c r="K74" s="481" t="str">
        <f t="shared" si="11"/>
        <v/>
      </c>
      <c r="L74" s="1183"/>
      <c r="M74" s="1241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244" t="str">
        <f t="shared" si="10"/>
        <v/>
      </c>
      <c r="J75" s="1245"/>
      <c r="K75" s="481" t="str">
        <f t="shared" si="11"/>
        <v/>
      </c>
      <c r="L75" s="1183"/>
      <c r="M75" s="1241"/>
      <c r="N75" s="1"/>
      <c r="O75" s="366"/>
      <c r="P75" s="1"/>
    </row>
    <row r="76" spans="1:21" ht="15.75" thickBot="1">
      <c r="A76" s="1221" t="s">
        <v>259</v>
      </c>
      <c r="B76" s="1222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238" t="s">
        <v>259</v>
      </c>
      <c r="I76" s="1239"/>
      <c r="J76" s="1240"/>
      <c r="K76" s="716">
        <f>SUM(K60:K75)</f>
        <v>0</v>
      </c>
      <c r="L76" s="1242"/>
      <c r="M76" s="1243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168" t="s">
        <v>16</v>
      </c>
      <c r="I77" s="1170" t="s">
        <v>17</v>
      </c>
      <c r="J77" s="1170" t="s">
        <v>21</v>
      </c>
      <c r="K77" s="1170"/>
      <c r="L77" s="1172" t="s">
        <v>93</v>
      </c>
      <c r="M77" s="1174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69"/>
      <c r="I78" s="1171"/>
      <c r="J78" s="750" t="s">
        <v>21</v>
      </c>
      <c r="K78" s="750" t="s">
        <v>25</v>
      </c>
      <c r="L78" s="1173"/>
      <c r="M78" s="1175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152" t="s">
        <v>36</v>
      </c>
      <c r="I87" s="1154" t="s">
        <v>178</v>
      </c>
      <c r="J87" s="1155"/>
      <c r="K87" s="1156"/>
      <c r="L87" s="1160" t="s">
        <v>159</v>
      </c>
      <c r="M87" s="1161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153"/>
      <c r="I88" s="1157"/>
      <c r="J88" s="1158"/>
      <c r="K88" s="1159"/>
      <c r="L88" s="1162"/>
      <c r="M88" s="1163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164" t="s">
        <v>47</v>
      </c>
      <c r="J89" s="1164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1149" t="s">
        <v>51</v>
      </c>
      <c r="J90" s="1149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1149" t="s">
        <v>52</v>
      </c>
      <c r="J91" s="1149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1149" t="s">
        <v>49</v>
      </c>
      <c r="J92" s="1149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217" t="s">
        <v>59</v>
      </c>
      <c r="J93" s="1217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218" t="s">
        <v>68</v>
      </c>
      <c r="J94" s="1219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1150" t="s">
        <v>174</v>
      </c>
      <c r="J95" s="1151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218" t="s">
        <v>81</v>
      </c>
      <c r="J97" s="1219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218" t="s">
        <v>53</v>
      </c>
      <c r="J98" s="1219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230" t="s">
        <v>300</v>
      </c>
      <c r="J99" s="1230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230" t="s">
        <v>325</v>
      </c>
      <c r="J100" s="1230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150" t="s">
        <v>374</v>
      </c>
      <c r="J101" s="1151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236" t="s">
        <v>179</v>
      </c>
      <c r="I102" s="1237"/>
      <c r="J102" s="361">
        <f>SUM(K89:K101)</f>
        <v>2496.08</v>
      </c>
      <c r="K102" s="1147" t="s">
        <v>180</v>
      </c>
      <c r="L102" s="1147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211" t="s">
        <v>369</v>
      </c>
      <c r="B104" s="1211"/>
      <c r="C104" s="1211"/>
      <c r="D104" s="1211"/>
      <c r="E104" s="1211"/>
      <c r="F104" s="1211"/>
      <c r="G104" s="1211"/>
      <c r="H104" s="1211"/>
      <c r="I104" s="1211"/>
      <c r="J104" s="1211"/>
      <c r="K104" s="1211"/>
      <c r="L104" s="1211"/>
      <c r="M104" s="1211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212"/>
      <c r="B105" s="1212"/>
      <c r="C105" s="1212"/>
      <c r="D105" s="1212"/>
      <c r="E105" s="1212"/>
      <c r="F105" s="1212"/>
      <c r="G105" s="1212"/>
      <c r="H105" s="1212"/>
      <c r="I105" s="1212"/>
      <c r="J105" s="1212"/>
      <c r="K105" s="1212"/>
      <c r="L105" s="1212"/>
      <c r="M105" s="1212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255" t="s">
        <v>360</v>
      </c>
      <c r="B106" s="1227"/>
      <c r="C106" s="1227"/>
      <c r="D106" s="1227"/>
      <c r="E106" s="1227"/>
      <c r="F106" s="1256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144" t="s">
        <v>371</v>
      </c>
      <c r="B107" s="1145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248" t="s">
        <v>40</v>
      </c>
      <c r="B108" s="1224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258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258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200" t="s">
        <v>352</v>
      </c>
      <c r="D47" s="1200"/>
      <c r="E47" s="1200"/>
      <c r="F47" s="1200"/>
      <c r="G47" s="1200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31" priority="1">
      <formula>$B2=7</formula>
    </cfRule>
    <cfRule type="expression" dxfId="30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zoomScale="70" zoomScaleNormal="70" zoomScaleSheetLayoutView="70" zoomScalePageLayoutView="70" workbookViewId="0">
      <selection activeCell="B69" sqref="B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377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234" t="s">
        <v>34</v>
      </c>
      <c r="J4" s="1234"/>
      <c r="K4" s="806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244" t="s">
        <v>98</v>
      </c>
      <c r="J5" s="1245"/>
      <c r="K5" s="481">
        <f>183.15+216</f>
        <v>399.15</v>
      </c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244" t="s">
        <v>98</v>
      </c>
      <c r="J6" s="1245"/>
      <c r="K6" s="481">
        <v>322</v>
      </c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244" t="s">
        <v>389</v>
      </c>
      <c r="J7" s="1245"/>
      <c r="K7" s="481">
        <v>177</v>
      </c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244" t="s">
        <v>390</v>
      </c>
      <c r="J8" s="1245"/>
      <c r="K8" s="481">
        <v>132</v>
      </c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244"/>
      <c r="J9" s="1245"/>
      <c r="K9" s="481"/>
      <c r="L9" s="1248"/>
      <c r="M9" s="1249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244"/>
      <c r="J11" s="1245"/>
      <c r="K11" s="481"/>
      <c r="L11" s="1183"/>
      <c r="M11" s="124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244"/>
      <c r="J12" s="1245"/>
      <c r="K12" s="481"/>
      <c r="L12" s="1183"/>
      <c r="M12" s="124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244"/>
      <c r="J13" s="1245"/>
      <c r="K13" s="481"/>
      <c r="L13" s="1183"/>
      <c r="M13" s="1241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244"/>
      <c r="J14" s="1245"/>
      <c r="K14" s="481"/>
      <c r="L14" s="1183"/>
      <c r="M14" s="1241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917.21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1030.1500000000001</v>
      </c>
      <c r="L20" s="1242"/>
      <c r="M20" s="1243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802" t="s">
        <v>21</v>
      </c>
      <c r="K22" s="802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152" t="s">
        <v>36</v>
      </c>
      <c r="I34" s="1154" t="s">
        <v>178</v>
      </c>
      <c r="J34" s="1155"/>
      <c r="K34" s="1156"/>
      <c r="L34" s="1160" t="s">
        <v>159</v>
      </c>
      <c r="M34" s="1160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153"/>
      <c r="I35" s="1157"/>
      <c r="J35" s="1158"/>
      <c r="K35" s="1159"/>
      <c r="L35" s="1162"/>
      <c r="M35" s="1162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231" t="s">
        <v>47</v>
      </c>
      <c r="J36" s="1231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229" t="s">
        <v>51</v>
      </c>
      <c r="J37" s="1229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229" t="s">
        <v>52</v>
      </c>
      <c r="J38" s="1229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229" t="s">
        <v>49</v>
      </c>
      <c r="J39" s="1229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230" t="s">
        <v>59</v>
      </c>
      <c r="J40" s="1230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218" t="s">
        <v>68</v>
      </c>
      <c r="J41" s="1219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218" t="s">
        <v>81</v>
      </c>
      <c r="J44" s="1219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218" t="s">
        <v>181</v>
      </c>
      <c r="J45" s="1219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1146" t="s">
        <v>61</v>
      </c>
      <c r="J46" s="1146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46" t="s">
        <v>298</v>
      </c>
      <c r="J47" s="1146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46" t="s">
        <v>299</v>
      </c>
      <c r="J48" s="1146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46" t="s">
        <v>300</v>
      </c>
      <c r="J49" s="1146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46" t="s">
        <v>325</v>
      </c>
      <c r="J50" s="1146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50" t="s">
        <v>374</v>
      </c>
      <c r="J51" s="1151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257" t="s">
        <v>179</v>
      </c>
      <c r="I52" s="1237"/>
      <c r="J52" s="361">
        <f>SUM(K36:K51)</f>
        <v>5703.84</v>
      </c>
      <c r="K52" s="1147" t="s">
        <v>180</v>
      </c>
      <c r="L52" s="1147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210"/>
      <c r="I53" s="1210"/>
      <c r="J53" s="1210"/>
      <c r="K53" s="121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211" t="s">
        <v>378</v>
      </c>
      <c r="B54" s="1211"/>
      <c r="C54" s="1211"/>
      <c r="D54" s="1211"/>
      <c r="E54" s="1211"/>
      <c r="F54" s="1211"/>
      <c r="G54" s="1211"/>
      <c r="H54" s="1211"/>
      <c r="I54" s="1211"/>
      <c r="J54" s="1211"/>
      <c r="K54" s="1211"/>
      <c r="L54" s="1211"/>
      <c r="M54" s="1211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212"/>
      <c r="B55" s="1212"/>
      <c r="C55" s="1212"/>
      <c r="D55" s="1212"/>
      <c r="E55" s="1212"/>
      <c r="F55" s="1212"/>
      <c r="G55" s="1212"/>
      <c r="H55" s="1212"/>
      <c r="I55" s="1212"/>
      <c r="J55" s="1212"/>
      <c r="K55" s="1212"/>
      <c r="L55" s="1212"/>
      <c r="M55" s="1212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220" t="s">
        <v>346</v>
      </c>
      <c r="B56" s="1166"/>
      <c r="C56" s="1166"/>
      <c r="D56" s="1166"/>
      <c r="E56" s="1166"/>
      <c r="F56" s="1166"/>
      <c r="G56" s="1167"/>
      <c r="H56" s="1250" t="s">
        <v>345</v>
      </c>
      <c r="I56" s="1251"/>
      <c r="J56" s="1251"/>
      <c r="K56" s="1251"/>
      <c r="L56" s="1251"/>
      <c r="M56" s="1252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234" t="s">
        <v>34</v>
      </c>
      <c r="J57" s="1234"/>
      <c r="K57" s="806" t="s">
        <v>35</v>
      </c>
      <c r="L57" s="1253" t="s">
        <v>173</v>
      </c>
      <c r="M57" s="1254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244" t="s">
        <v>98</v>
      </c>
      <c r="J58" s="1245"/>
      <c r="K58" s="481">
        <v>327.64999999999998</v>
      </c>
      <c r="L58" s="1246"/>
      <c r="M58" s="1247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244" t="s">
        <v>383</v>
      </c>
      <c r="J59" s="1245"/>
      <c r="K59" s="481">
        <f>513.5/2</f>
        <v>256.75</v>
      </c>
      <c r="L59" s="1246"/>
      <c r="M59" s="1247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244" t="s">
        <v>349</v>
      </c>
      <c r="J60" s="1245"/>
      <c r="K60" s="481">
        <f>683.5/2</f>
        <v>341.75</v>
      </c>
      <c r="L60" s="1248"/>
      <c r="M60" s="1249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244" t="s">
        <v>27</v>
      </c>
      <c r="J61" s="1245"/>
      <c r="K61" s="481">
        <f>535/2</f>
        <v>267.5</v>
      </c>
      <c r="L61" s="1248"/>
      <c r="M61" s="1249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244" t="s">
        <v>384</v>
      </c>
      <c r="J62" s="1245"/>
      <c r="K62" s="481">
        <f>2085/2</f>
        <v>1042.5</v>
      </c>
      <c r="L62" s="1248"/>
      <c r="M62" s="1249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244" t="s">
        <v>286</v>
      </c>
      <c r="J63" s="1245"/>
      <c r="K63" s="481">
        <f>208/2</f>
        <v>104</v>
      </c>
      <c r="L63" s="1248"/>
      <c r="M63" s="1249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244" t="s">
        <v>98</v>
      </c>
      <c r="J64" s="1245"/>
      <c r="K64" s="481">
        <f>281.71+216</f>
        <v>497.71</v>
      </c>
      <c r="L64" s="1183"/>
      <c r="M64" s="1241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244"/>
      <c r="J65" s="1245"/>
      <c r="K65" s="481"/>
      <c r="L65" s="1183"/>
      <c r="M65" s="1241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244" t="str">
        <f t="shared" si="7"/>
        <v/>
      </c>
      <c r="J66" s="1245"/>
      <c r="K66" s="481" t="str">
        <f t="shared" ref="K66:K73" si="8">IF(U12="","",U12)</f>
        <v/>
      </c>
      <c r="L66" s="1183"/>
      <c r="M66" s="1241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244" t="str">
        <f t="shared" si="7"/>
        <v/>
      </c>
      <c r="J67" s="1245"/>
      <c r="K67" s="481" t="str">
        <f t="shared" si="8"/>
        <v/>
      </c>
      <c r="L67" s="1183"/>
      <c r="M67" s="1241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244" t="str">
        <f t="shared" si="7"/>
        <v/>
      </c>
      <c r="J68" s="1245"/>
      <c r="K68" s="481" t="str">
        <f t="shared" si="8"/>
        <v/>
      </c>
      <c r="L68" s="1248"/>
      <c r="M68" s="1249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244" t="str">
        <f t="shared" si="7"/>
        <v/>
      </c>
      <c r="J69" s="1245"/>
      <c r="K69" s="481" t="str">
        <f t="shared" si="8"/>
        <v/>
      </c>
      <c r="L69" s="1183"/>
      <c r="M69" s="1241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244" t="str">
        <f t="shared" si="7"/>
        <v/>
      </c>
      <c r="J70" s="1245"/>
      <c r="K70" s="481" t="str">
        <f t="shared" si="8"/>
        <v/>
      </c>
      <c r="L70" s="1183"/>
      <c r="M70" s="1241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244" t="str">
        <f t="shared" si="7"/>
        <v/>
      </c>
      <c r="J71" s="1245"/>
      <c r="K71" s="481" t="str">
        <f t="shared" si="8"/>
        <v/>
      </c>
      <c r="L71" s="1183"/>
      <c r="M71" s="1241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244" t="str">
        <f t="shared" si="7"/>
        <v/>
      </c>
      <c r="J72" s="1245"/>
      <c r="K72" s="481" t="str">
        <f t="shared" si="8"/>
        <v/>
      </c>
      <c r="L72" s="1183"/>
      <c r="M72" s="1241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244" t="str">
        <f t="shared" si="7"/>
        <v/>
      </c>
      <c r="J73" s="1245"/>
      <c r="K73" s="481" t="str">
        <f t="shared" si="8"/>
        <v/>
      </c>
      <c r="L73" s="1183"/>
      <c r="M73" s="1241"/>
      <c r="N73" s="1"/>
      <c r="O73" s="84"/>
      <c r="P73"/>
    </row>
    <row r="74" spans="1:21" ht="15.75" thickBot="1">
      <c r="A74" s="1221" t="s">
        <v>259</v>
      </c>
      <c r="B74" s="1222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238" t="s">
        <v>259</v>
      </c>
      <c r="I74" s="1239"/>
      <c r="J74" s="1240"/>
      <c r="K74" s="716">
        <f>SUM(K58:K73)</f>
        <v>2837.86</v>
      </c>
      <c r="L74" s="1242"/>
      <c r="M74" s="1243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68" t="s">
        <v>16</v>
      </c>
      <c r="I75" s="1170" t="s">
        <v>17</v>
      </c>
      <c r="J75" s="1170" t="s">
        <v>21</v>
      </c>
      <c r="K75" s="1170"/>
      <c r="L75" s="1172" t="s">
        <v>93</v>
      </c>
      <c r="M75" s="1174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69"/>
      <c r="I76" s="1171"/>
      <c r="J76" s="802" t="s">
        <v>21</v>
      </c>
      <c r="K76" s="802" t="s">
        <v>25</v>
      </c>
      <c r="L76" s="1173"/>
      <c r="M76" s="1175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152" t="s">
        <v>36</v>
      </c>
      <c r="I86" s="1154" t="s">
        <v>178</v>
      </c>
      <c r="J86" s="1155"/>
      <c r="K86" s="1156"/>
      <c r="L86" s="1160" t="s">
        <v>159</v>
      </c>
      <c r="M86" s="1161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153"/>
      <c r="I87" s="1157"/>
      <c r="J87" s="1158"/>
      <c r="K87" s="1159"/>
      <c r="L87" s="1162"/>
      <c r="M87" s="1163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164" t="s">
        <v>47</v>
      </c>
      <c r="J88" s="1164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149" t="s">
        <v>51</v>
      </c>
      <c r="J89" s="1149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149" t="s">
        <v>52</v>
      </c>
      <c r="J90" s="1149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1149" t="s">
        <v>49</v>
      </c>
      <c r="J91" s="1149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217" t="s">
        <v>59</v>
      </c>
      <c r="J92" s="1217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218" t="s">
        <v>68</v>
      </c>
      <c r="J93" s="1219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218" t="s">
        <v>174</v>
      </c>
      <c r="J94" s="1219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218" t="s">
        <v>81</v>
      </c>
      <c r="J96" s="1219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218" t="s">
        <v>53</v>
      </c>
      <c r="J97" s="1219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230" t="s">
        <v>300</v>
      </c>
      <c r="J98" s="1230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230" t="s">
        <v>325</v>
      </c>
      <c r="J99" s="1230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50" t="s">
        <v>374</v>
      </c>
      <c r="J100" s="1151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236" t="s">
        <v>179</v>
      </c>
      <c r="I101" s="1237"/>
      <c r="J101" s="361">
        <f>SUM(K88:K100)</f>
        <v>2880.94</v>
      </c>
      <c r="K101" s="1147" t="s">
        <v>180</v>
      </c>
      <c r="L101" s="1147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211" t="s">
        <v>379</v>
      </c>
      <c r="B103" s="1211"/>
      <c r="C103" s="1211"/>
      <c r="D103" s="1211"/>
      <c r="E103" s="1211"/>
      <c r="F103" s="1211"/>
      <c r="G103" s="1211"/>
      <c r="H103" s="1211"/>
      <c r="I103" s="1211"/>
      <c r="J103" s="1211"/>
      <c r="K103" s="1211"/>
      <c r="L103" s="1211"/>
      <c r="M103" s="1211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212"/>
      <c r="B104" s="1212"/>
      <c r="C104" s="1212"/>
      <c r="D104" s="1212"/>
      <c r="E104" s="1212"/>
      <c r="F104" s="1212"/>
      <c r="G104" s="1212"/>
      <c r="H104" s="1212"/>
      <c r="I104" s="1212"/>
      <c r="J104" s="1212"/>
      <c r="K104" s="1212"/>
      <c r="L104" s="1212"/>
      <c r="M104" s="1212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255" t="s">
        <v>43</v>
      </c>
      <c r="B105" s="1227"/>
      <c r="C105" s="1227"/>
      <c r="D105" s="1227"/>
      <c r="E105" s="1227"/>
      <c r="F105" s="1256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144" t="s">
        <v>371</v>
      </c>
      <c r="B106" s="1145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248" t="s">
        <v>40</v>
      </c>
      <c r="B107" s="1224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91"/>
      <c r="D47" s="1191"/>
      <c r="E47" s="1191"/>
      <c r="F47" s="1191"/>
      <c r="G47" s="1191"/>
      <c r="H47" s="1191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29" priority="1">
      <formula>$B2=7</formula>
    </cfRule>
    <cfRule type="expression" dxfId="28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4"/>
  <sheetViews>
    <sheetView view="pageBreakPreview" topLeftCell="A52" zoomScale="70" zoomScaleNormal="85" zoomScaleSheetLayoutView="70" zoomScalePageLayoutView="70" workbookViewId="0">
      <selection activeCell="F73" sqref="F7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377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234" t="s">
        <v>34</v>
      </c>
      <c r="J4" s="1234"/>
      <c r="K4" s="940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44"/>
      <c r="J6" s="1245"/>
      <c r="K6" s="481"/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>
        <v>44060</v>
      </c>
      <c r="B7" s="161" t="s">
        <v>399</v>
      </c>
      <c r="C7" s="275">
        <v>448.4</v>
      </c>
      <c r="D7" s="275">
        <v>448.4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44067</v>
      </c>
      <c r="B8" s="161" t="s">
        <v>257</v>
      </c>
      <c r="C8" s="275">
        <v>235.5</v>
      </c>
      <c r="D8" s="275">
        <v>235.5</v>
      </c>
      <c r="E8" s="576" t="str">
        <f t="shared" si="0"/>
        <v/>
      </c>
      <c r="F8" s="162" t="str">
        <f t="shared" si="1"/>
        <v>оплачено</v>
      </c>
      <c r="G8" s="162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44066</v>
      </c>
      <c r="B9" s="161" t="s">
        <v>155</v>
      </c>
      <c r="C9" s="275">
        <v>231.35</v>
      </c>
      <c r="D9" s="275">
        <v>231.35</v>
      </c>
      <c r="E9" s="576" t="str">
        <f t="shared" si="0"/>
        <v/>
      </c>
      <c r="F9" s="162" t="str">
        <f t="shared" si="1"/>
        <v>оплачено</v>
      </c>
      <c r="G9" s="162"/>
      <c r="H9" s="717"/>
      <c r="I9" s="1244"/>
      <c r="J9" s="1245"/>
      <c r="K9" s="481"/>
      <c r="L9" s="1248"/>
      <c r="M9" s="1249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44"/>
      <c r="J11" s="1245"/>
      <c r="K11" s="481"/>
      <c r="L11" s="1183"/>
      <c r="M11" s="124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44"/>
      <c r="J12" s="1245"/>
      <c r="K12" s="481"/>
      <c r="L12" s="1183"/>
      <c r="M12" s="124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1389.37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934" t="s">
        <v>21</v>
      </c>
      <c r="K22" s="934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>
        <v>440</v>
      </c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>
        <v>12</v>
      </c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>
        <v>606</v>
      </c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>
        <v>728.5</v>
      </c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>
        <v>13.5</v>
      </c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>
        <v>296</v>
      </c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>
        <v>5</v>
      </c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>
        <v>116.3</v>
      </c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>
        <v>201</v>
      </c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>
        <v>12</v>
      </c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>
        <v>150.5</v>
      </c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20</v>
      </c>
      <c r="I34" s="661">
        <v>28716.309999999994</v>
      </c>
      <c r="J34" s="648">
        <v>4480.1000000000004</v>
      </c>
      <c r="K34" s="649">
        <f>741.01+462.85</f>
        <v>1203.8600000000001</v>
      </c>
      <c r="L34" s="649">
        <v>40057.5</v>
      </c>
      <c r="M34" s="772">
        <f>M33-I34-J34-K34+L34</f>
        <v>74782.260000000009</v>
      </c>
      <c r="N34" s="1"/>
      <c r="O34" s="448">
        <v>108</v>
      </c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52" t="s">
        <v>36</v>
      </c>
      <c r="I35" s="1154" t="s">
        <v>178</v>
      </c>
      <c r="J35" s="1155"/>
      <c r="K35" s="1156"/>
      <c r="L35" s="1160" t="s">
        <v>159</v>
      </c>
      <c r="M35" s="1160"/>
      <c r="N35" s="786" t="s">
        <v>370</v>
      </c>
      <c r="O35" s="448">
        <v>86</v>
      </c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53"/>
      <c r="I36" s="1157"/>
      <c r="J36" s="1158"/>
      <c r="K36" s="1159"/>
      <c r="L36" s="1162"/>
      <c r="M36" s="1162"/>
      <c r="N36" s="787" t="s">
        <v>189</v>
      </c>
      <c r="O36" s="448">
        <v>304</v>
      </c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231" t="s">
        <v>47</v>
      </c>
      <c r="J37" s="1231"/>
      <c r="K37" s="940">
        <v>328.13</v>
      </c>
      <c r="L37" s="282">
        <v>44027</v>
      </c>
      <c r="M37" s="1" t="s">
        <v>41</v>
      </c>
      <c r="N37" s="788">
        <v>132</v>
      </c>
      <c r="O37" s="448">
        <v>6</v>
      </c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229" t="s">
        <v>51</v>
      </c>
      <c r="J38" s="1229"/>
      <c r="K38" s="939">
        <v>71.83</v>
      </c>
      <c r="L38" s="282">
        <v>44027</v>
      </c>
      <c r="M38" s="1" t="s">
        <v>41</v>
      </c>
      <c r="N38" s="789">
        <v>40</v>
      </c>
      <c r="O38" s="448">
        <v>315</v>
      </c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229" t="s">
        <v>52</v>
      </c>
      <c r="J39" s="1229"/>
      <c r="K39" s="939">
        <v>5.63</v>
      </c>
      <c r="L39" s="282">
        <v>44027</v>
      </c>
      <c r="M39" s="1" t="s">
        <v>41</v>
      </c>
      <c r="N39" s="789">
        <v>3</v>
      </c>
      <c r="O39" s="448">
        <v>1.6</v>
      </c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783" t="s">
        <v>367</v>
      </c>
      <c r="I40" s="1229" t="s">
        <v>49</v>
      </c>
      <c r="J40" s="1229"/>
      <c r="K40" s="939">
        <v>314</v>
      </c>
      <c r="L40" s="783" t="s">
        <v>367</v>
      </c>
      <c r="M40" s="1" t="s">
        <v>380</v>
      </c>
      <c r="N40" s="788">
        <v>200</v>
      </c>
      <c r="O40" s="448">
        <v>563</v>
      </c>
      <c r="P40" s="947"/>
      <c r="Q40" s="366"/>
      <c r="R40" s="93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230" t="s">
        <v>59</v>
      </c>
      <c r="J41" s="1230"/>
      <c r="K41" s="941">
        <v>616.54</v>
      </c>
      <c r="L41" s="302" t="s">
        <v>177</v>
      </c>
      <c r="M41" s="1" t="s">
        <v>41</v>
      </c>
      <c r="N41" s="790">
        <v>102.73</v>
      </c>
      <c r="O41" s="448">
        <v>34.200000000000003</v>
      </c>
      <c r="P41" s="685"/>
      <c r="Q41" s="449"/>
      <c r="R41" s="567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218" t="s">
        <v>68</v>
      </c>
      <c r="J42" s="1219"/>
      <c r="K42" s="939">
        <v>182.35</v>
      </c>
      <c r="L42" s="282">
        <v>44032</v>
      </c>
      <c r="M42" s="1" t="s">
        <v>41</v>
      </c>
      <c r="N42" s="790">
        <f>K42/2</f>
        <v>91.174999999999997</v>
      </c>
      <c r="O42" s="448">
        <v>101.5</v>
      </c>
      <c r="P42" s="682"/>
      <c r="Q42" s="936"/>
      <c r="R42" s="93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174</v>
      </c>
      <c r="J43" s="938"/>
      <c r="K43" s="476">
        <f>337.71+180.88</f>
        <v>518.58999999999992</v>
      </c>
      <c r="L43" s="282">
        <v>44027</v>
      </c>
      <c r="M43" s="1" t="s">
        <v>41</v>
      </c>
      <c r="N43" s="791">
        <f>K43</f>
        <v>518.58999999999992</v>
      </c>
      <c r="O43" s="12">
        <v>380</v>
      </c>
      <c r="P43" s="682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937" t="s">
        <v>176</v>
      </c>
      <c r="J44" s="938"/>
      <c r="K44" s="939">
        <v>434.07</v>
      </c>
      <c r="L44" s="282">
        <v>44032</v>
      </c>
      <c r="M44" s="1" t="s">
        <v>41</v>
      </c>
      <c r="N44" s="789">
        <f>K44</f>
        <v>434.07</v>
      </c>
      <c r="O44" s="127">
        <f>SUM(O23:O43)</f>
        <v>4480.1000000000004</v>
      </c>
      <c r="P44" s="449"/>
      <c r="Q44" s="93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218" t="s">
        <v>81</v>
      </c>
      <c r="J45" s="1219"/>
      <c r="K45" s="939">
        <f>737.52*2</f>
        <v>1475.04</v>
      </c>
      <c r="L45" s="282">
        <v>44027</v>
      </c>
      <c r="M45" s="1" t="s">
        <v>41</v>
      </c>
      <c r="N45" s="789">
        <f>K45/2</f>
        <v>737.52</v>
      </c>
      <c r="O45" s="145"/>
      <c r="P45" s="84"/>
      <c r="Q45" s="84"/>
      <c r="R45" s="84"/>
      <c r="S45" s="84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367</v>
      </c>
      <c r="I46" s="1218" t="s">
        <v>181</v>
      </c>
      <c r="J46" s="1219"/>
      <c r="K46" s="939">
        <v>10</v>
      </c>
      <c r="L46" s="282">
        <v>44027</v>
      </c>
      <c r="M46" s="1" t="s">
        <v>41</v>
      </c>
      <c r="N46" s="791">
        <f>K46</f>
        <v>10</v>
      </c>
      <c r="O46" s="127"/>
      <c r="P46" s="145"/>
      <c r="Q46" s="93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146" t="s">
        <v>61</v>
      </c>
      <c r="J47" s="1146"/>
      <c r="K47" s="93">
        <v>1153.3599999999999</v>
      </c>
      <c r="L47" s="282">
        <v>44032</v>
      </c>
      <c r="M47" s="1" t="s">
        <v>41</v>
      </c>
      <c r="N47" s="789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46" t="s">
        <v>298</v>
      </c>
      <c r="J48" s="1146"/>
      <c r="K48" s="93">
        <v>73</v>
      </c>
      <c r="L48" s="282">
        <v>44032</v>
      </c>
      <c r="M48" s="1" t="s">
        <v>41</v>
      </c>
      <c r="N48" s="788">
        <v>40</v>
      </c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46" t="s">
        <v>299</v>
      </c>
      <c r="J49" s="1146"/>
      <c r="K49" s="93">
        <v>50</v>
      </c>
      <c r="L49" s="282">
        <v>44027</v>
      </c>
      <c r="M49" s="1" t="s">
        <v>41</v>
      </c>
      <c r="N49" s="789">
        <v>50</v>
      </c>
      <c r="P49" s="145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46" t="s">
        <v>300</v>
      </c>
      <c r="J50" s="1146"/>
      <c r="K50" s="93">
        <v>150</v>
      </c>
      <c r="L50" s="282">
        <v>44042</v>
      </c>
      <c r="M50" s="1" t="s">
        <v>41</v>
      </c>
      <c r="N50" s="789">
        <v>150</v>
      </c>
      <c r="O50" s="12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46" t="s">
        <v>325</v>
      </c>
      <c r="J51" s="1146"/>
      <c r="K51" s="93">
        <v>18</v>
      </c>
      <c r="L51" s="282">
        <v>44027</v>
      </c>
      <c r="M51" s="1" t="s">
        <v>41</v>
      </c>
      <c r="N51" s="790">
        <v>9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150" t="s">
        <v>374</v>
      </c>
      <c r="J52" s="1151"/>
      <c r="K52" s="93">
        <v>905.15</v>
      </c>
      <c r="L52" s="282">
        <v>44042</v>
      </c>
      <c r="M52" s="1" t="s">
        <v>104</v>
      </c>
      <c r="N52" s="810">
        <f>K52</f>
        <v>905.15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 ht="15.75" thickBot="1">
      <c r="A53" s="341"/>
      <c r="B53" s="330"/>
      <c r="C53" s="331"/>
      <c r="D53" s="342"/>
      <c r="E53" s="330"/>
      <c r="F53" s="331"/>
      <c r="G53" s="331"/>
      <c r="H53" s="1257" t="s">
        <v>179</v>
      </c>
      <c r="I53" s="1237"/>
      <c r="J53" s="361">
        <f>SUM(K37:K52)</f>
        <v>6305.69</v>
      </c>
      <c r="K53" s="1147" t="s">
        <v>180</v>
      </c>
      <c r="L53" s="1147"/>
      <c r="M53" s="785">
        <v>0</v>
      </c>
      <c r="N53" s="792">
        <f>SUM(N37:N52)</f>
        <v>3423.2350000000001</v>
      </c>
      <c r="P53" s="449"/>
      <c r="Q53" s="365"/>
      <c r="R53" s="366"/>
      <c r="S53" s="366"/>
      <c r="T53" s="294"/>
      <c r="U53" s="366"/>
      <c r="V53" s="366"/>
      <c r="W53" s="366"/>
      <c r="X53" s="366"/>
      <c r="Y53" s="366"/>
    </row>
    <row r="54" spans="1:25" ht="15.75" thickTop="1">
      <c r="A54" s="366"/>
      <c r="B54" s="366"/>
      <c r="C54" s="366"/>
      <c r="D54" s="366"/>
      <c r="E54" s="366"/>
      <c r="F54" s="366"/>
      <c r="G54" s="366"/>
      <c r="H54" s="1210"/>
      <c r="I54" s="1210"/>
      <c r="J54" s="1210"/>
      <c r="K54" s="1210"/>
      <c r="L54" s="366"/>
      <c r="M54" s="442"/>
      <c r="N54" s="1"/>
      <c r="P54" s="449"/>
      <c r="Q54" s="365"/>
      <c r="R54" s="366"/>
      <c r="S54" s="366"/>
      <c r="T54" s="366"/>
      <c r="U54" s="366"/>
      <c r="V54" s="366"/>
      <c r="W54" s="366"/>
      <c r="X54" s="366"/>
      <c r="Y54" s="366"/>
    </row>
    <row r="55" spans="1:25" ht="15" customHeight="1">
      <c r="A55" s="1211" t="s">
        <v>378</v>
      </c>
      <c r="B55" s="1211"/>
      <c r="C55" s="1211"/>
      <c r="D55" s="1211"/>
      <c r="E55" s="1211"/>
      <c r="F55" s="1211"/>
      <c r="G55" s="1211"/>
      <c r="H55" s="1211"/>
      <c r="I55" s="1211"/>
      <c r="J55" s="1211"/>
      <c r="K55" s="1211"/>
      <c r="L55" s="1211"/>
      <c r="M55" s="1211"/>
      <c r="N55" s="1"/>
      <c r="O55" s="150"/>
      <c r="P55" s="449"/>
      <c r="Q55" s="365"/>
      <c r="R55" s="366"/>
      <c r="S55" s="366"/>
      <c r="T55" s="366"/>
      <c r="U55" s="366"/>
      <c r="V55" s="366"/>
      <c r="W55" s="366"/>
      <c r="X55" s="366"/>
    </row>
    <row r="56" spans="1:25" ht="15.75" customHeight="1" thickBot="1">
      <c r="A56" s="1212"/>
      <c r="B56" s="1212"/>
      <c r="C56" s="1212"/>
      <c r="D56" s="1212"/>
      <c r="E56" s="1212"/>
      <c r="F56" s="1212"/>
      <c r="G56" s="1212"/>
      <c r="H56" s="1212"/>
      <c r="I56" s="1212"/>
      <c r="J56" s="1212"/>
      <c r="K56" s="1212"/>
      <c r="L56" s="1212"/>
      <c r="M56" s="1212"/>
      <c r="N56" s="1"/>
      <c r="P56" s="449"/>
      <c r="Q56" s="365"/>
      <c r="R56" s="365"/>
      <c r="S56" s="936"/>
      <c r="T56" s="366"/>
      <c r="U56" s="366"/>
      <c r="V56" s="366"/>
      <c r="W56" s="366"/>
      <c r="X56" s="366"/>
    </row>
    <row r="57" spans="1:25" ht="15.75" thickTop="1">
      <c r="A57" s="1220" t="s">
        <v>346</v>
      </c>
      <c r="B57" s="1166"/>
      <c r="C57" s="1166"/>
      <c r="D57" s="1166"/>
      <c r="E57" s="1166"/>
      <c r="F57" s="1166"/>
      <c r="G57" s="1167"/>
      <c r="H57" s="1250" t="s">
        <v>345</v>
      </c>
      <c r="I57" s="1251"/>
      <c r="J57" s="1251"/>
      <c r="K57" s="1251"/>
      <c r="L57" s="1251"/>
      <c r="M57" s="1252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4" t="s">
        <v>2</v>
      </c>
      <c r="B58" s="929" t="s">
        <v>34</v>
      </c>
      <c r="C58" s="36" t="s">
        <v>35</v>
      </c>
      <c r="D58" s="36" t="s">
        <v>38</v>
      </c>
      <c r="E58" s="36" t="s">
        <v>42</v>
      </c>
      <c r="F58" s="929" t="s">
        <v>36</v>
      </c>
      <c r="G58" s="100" t="s">
        <v>173</v>
      </c>
      <c r="H58" s="715" t="s">
        <v>2</v>
      </c>
      <c r="I58" s="1234" t="s">
        <v>34</v>
      </c>
      <c r="J58" s="1234"/>
      <c r="K58" s="940" t="s">
        <v>35</v>
      </c>
      <c r="L58" s="1253" t="s">
        <v>173</v>
      </c>
      <c r="M58" s="1254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5">
        <v>44047</v>
      </c>
      <c r="B59" s="161" t="s">
        <v>396</v>
      </c>
      <c r="C59" s="275">
        <v>524.33000000000004</v>
      </c>
      <c r="D59" s="275">
        <v>524.33000000000004</v>
      </c>
      <c r="E59" s="576" t="str">
        <f>IF(C59-D59=0,"",C59-D59)</f>
        <v/>
      </c>
      <c r="F59" s="162" t="str">
        <f t="shared" ref="F59:F74" si="3">IF(C59=0,"",IF(C59-D59=0,"оплачено","ОЖИДАЕТСЯ оплата"))</f>
        <v>оплачено</v>
      </c>
      <c r="G59" s="162"/>
      <c r="H59" s="325"/>
      <c r="I59" s="1244"/>
      <c r="J59" s="1245"/>
      <c r="K59" s="481"/>
      <c r="L59" s="1246"/>
      <c r="M59" s="1247"/>
      <c r="N59" s="1"/>
      <c r="P59" s="449"/>
      <c r="Q59" s="366"/>
      <c r="S59" s="366"/>
      <c r="T59" s="84"/>
      <c r="U59" s="366"/>
      <c r="W59" s="366"/>
      <c r="X59" s="366"/>
    </row>
    <row r="60" spans="1:25">
      <c r="A60" s="325">
        <v>44046</v>
      </c>
      <c r="B60" s="464" t="s">
        <v>397</v>
      </c>
      <c r="C60" s="275">
        <v>206.29</v>
      </c>
      <c r="D60" s="275">
        <v>206.29</v>
      </c>
      <c r="E60" s="576" t="str">
        <f t="shared" ref="E60:E74" si="4">IF(C60-D60=0,"",C60-D60)</f>
        <v/>
      </c>
      <c r="F60" s="162" t="str">
        <f t="shared" si="3"/>
        <v>оплачено</v>
      </c>
      <c r="G60" s="162"/>
      <c r="H60" s="717"/>
      <c r="I60" s="1244"/>
      <c r="J60" s="1245"/>
      <c r="K60" s="481"/>
      <c r="L60" s="1246"/>
      <c r="M60" s="1247"/>
      <c r="N60" s="1"/>
      <c r="P60" s="449"/>
      <c r="Q60" s="366"/>
      <c r="S60" s="366"/>
      <c r="T60" s="366"/>
      <c r="U60" s="366"/>
      <c r="W60" s="366"/>
      <c r="X60" s="366"/>
    </row>
    <row r="61" spans="1:25">
      <c r="A61" s="325">
        <v>44046</v>
      </c>
      <c r="B61" s="920" t="s">
        <v>256</v>
      </c>
      <c r="C61" s="275">
        <v>179.7</v>
      </c>
      <c r="D61" s="275">
        <v>179.7</v>
      </c>
      <c r="E61" s="576" t="str">
        <f t="shared" si="4"/>
        <v/>
      </c>
      <c r="F61" s="162" t="str">
        <f t="shared" si="3"/>
        <v>оплачено</v>
      </c>
      <c r="G61" s="162"/>
      <c r="H61" s="717"/>
      <c r="I61" s="1244"/>
      <c r="J61" s="1245"/>
      <c r="K61" s="481"/>
      <c r="L61" s="1248"/>
      <c r="M61" s="1249"/>
      <c r="N61" s="1"/>
      <c r="P61" s="449"/>
      <c r="T61" s="366"/>
      <c r="U61" s="366"/>
    </row>
    <row r="62" spans="1:25">
      <c r="A62" s="325">
        <v>44060</v>
      </c>
      <c r="B62" s="161" t="s">
        <v>336</v>
      </c>
      <c r="C62" s="275">
        <v>203.75</v>
      </c>
      <c r="D62" s="275">
        <v>203.75</v>
      </c>
      <c r="E62" s="576" t="str">
        <f t="shared" si="4"/>
        <v/>
      </c>
      <c r="F62" s="162" t="str">
        <f t="shared" si="3"/>
        <v>оплачено</v>
      </c>
      <c r="G62" s="162"/>
      <c r="H62" s="717"/>
      <c r="I62" s="1244"/>
      <c r="J62" s="1245"/>
      <c r="K62" s="481"/>
      <c r="L62" s="1248"/>
      <c r="M62" s="1249"/>
      <c r="N62" s="1"/>
      <c r="P62" s="449"/>
      <c r="U62" s="366"/>
    </row>
    <row r="63" spans="1:25">
      <c r="A63" s="325">
        <v>44061</v>
      </c>
      <c r="B63" s="161" t="s">
        <v>396</v>
      </c>
      <c r="C63" s="949">
        <v>692.37</v>
      </c>
      <c r="D63" s="948">
        <v>692.37</v>
      </c>
      <c r="E63" s="576" t="str">
        <f t="shared" si="4"/>
        <v/>
      </c>
      <c r="F63" s="162" t="str">
        <f t="shared" si="3"/>
        <v>оплачено</v>
      </c>
      <c r="G63" s="162"/>
      <c r="H63" s="717"/>
      <c r="I63" s="1244"/>
      <c r="J63" s="1245"/>
      <c r="K63" s="481"/>
      <c r="L63" s="1248"/>
      <c r="M63" s="1249"/>
      <c r="N63" s="1"/>
      <c r="P63" s="571"/>
      <c r="U63" s="366"/>
    </row>
    <row r="64" spans="1:25">
      <c r="A64" s="325">
        <v>44067</v>
      </c>
      <c r="B64" s="161" t="s">
        <v>257</v>
      </c>
      <c r="C64" s="275">
        <v>126.36</v>
      </c>
      <c r="D64" s="275">
        <v>126.36</v>
      </c>
      <c r="E64" s="576" t="str">
        <f t="shared" si="4"/>
        <v/>
      </c>
      <c r="F64" s="162" t="str">
        <f t="shared" si="3"/>
        <v>оплачено</v>
      </c>
      <c r="G64" s="162"/>
      <c r="H64" s="717"/>
      <c r="I64" s="1244"/>
      <c r="J64" s="1245"/>
      <c r="K64" s="481"/>
      <c r="L64" s="1248"/>
      <c r="M64" s="1249"/>
      <c r="N64" s="1"/>
      <c r="P64" s="86"/>
      <c r="U64" s="366"/>
    </row>
    <row r="65" spans="1:21" ht="14.45" customHeight="1">
      <c r="A65" s="325">
        <v>44066</v>
      </c>
      <c r="B65" s="161" t="s">
        <v>155</v>
      </c>
      <c r="C65" s="951">
        <v>587.72</v>
      </c>
      <c r="D65" s="731">
        <v>587.72</v>
      </c>
      <c r="E65" s="576" t="str">
        <f t="shared" si="4"/>
        <v/>
      </c>
      <c r="F65" s="162" t="str">
        <f t="shared" si="3"/>
        <v>оплачено</v>
      </c>
      <c r="G65" s="162"/>
      <c r="H65" s="717"/>
      <c r="I65" s="1244"/>
      <c r="J65" s="1245"/>
      <c r="K65" s="481"/>
      <c r="L65" s="1183"/>
      <c r="M65" s="1241"/>
      <c r="N65" s="1"/>
      <c r="P65" s="86"/>
    </row>
    <row r="66" spans="1:21" ht="14.45" customHeight="1">
      <c r="A66" s="325">
        <v>44069</v>
      </c>
      <c r="B66" s="161" t="s">
        <v>212</v>
      </c>
      <c r="C66" s="275">
        <v>431.8</v>
      </c>
      <c r="D66" s="275">
        <v>431.8</v>
      </c>
      <c r="E66" s="576" t="str">
        <f t="shared" si="4"/>
        <v/>
      </c>
      <c r="F66" s="162" t="str">
        <f t="shared" si="3"/>
        <v>оплачено</v>
      </c>
      <c r="G66" s="162" t="s">
        <v>398</v>
      </c>
      <c r="H66" s="717" t="str">
        <f t="shared" ref="H66:I74" si="5">IF(S11="","",S11)</f>
        <v/>
      </c>
      <c r="I66" s="1244"/>
      <c r="J66" s="1245"/>
      <c r="K66" s="481"/>
      <c r="L66" s="1183"/>
      <c r="M66" s="1241"/>
      <c r="N66" s="1"/>
    </row>
    <row r="67" spans="1:21" ht="14.45" customHeight="1">
      <c r="A67" s="325">
        <v>44074</v>
      </c>
      <c r="B67" s="161" t="s">
        <v>336</v>
      </c>
      <c r="C67" s="275">
        <v>332.5</v>
      </c>
      <c r="D67" s="275">
        <v>332.5</v>
      </c>
      <c r="E67" s="576" t="str">
        <f t="shared" si="4"/>
        <v/>
      </c>
      <c r="F67" s="162" t="str">
        <f t="shared" si="3"/>
        <v>оплачено</v>
      </c>
      <c r="G67" s="162" t="s">
        <v>398</v>
      </c>
      <c r="H67" s="717" t="str">
        <f t="shared" si="5"/>
        <v/>
      </c>
      <c r="I67" s="1244" t="str">
        <f t="shared" si="5"/>
        <v/>
      </c>
      <c r="J67" s="1245"/>
      <c r="K67" s="481" t="str">
        <f t="shared" ref="K67:K74" si="6">IF(U12="","",U12)</f>
        <v/>
      </c>
      <c r="L67" s="1183"/>
      <c r="M67" s="1241"/>
      <c r="N67" s="1"/>
      <c r="O67" s="366"/>
    </row>
    <row r="68" spans="1:21">
      <c r="A68" s="325">
        <v>44067</v>
      </c>
      <c r="B68" s="161" t="s">
        <v>222</v>
      </c>
      <c r="C68" s="275">
        <v>225.56</v>
      </c>
      <c r="D68" s="275">
        <v>225.56</v>
      </c>
      <c r="E68" s="576" t="str">
        <f t="shared" si="4"/>
        <v/>
      </c>
      <c r="F68" s="162" t="str">
        <f t="shared" si="3"/>
        <v>оплачено</v>
      </c>
      <c r="G68" s="162"/>
      <c r="H68" s="717" t="str">
        <f t="shared" si="5"/>
        <v/>
      </c>
      <c r="I68" s="1244" t="str">
        <f t="shared" si="5"/>
        <v/>
      </c>
      <c r="J68" s="1245"/>
      <c r="K68" s="481" t="str">
        <f t="shared" si="6"/>
        <v/>
      </c>
      <c r="L68" s="1183"/>
      <c r="M68" s="1241"/>
      <c r="N68" s="1"/>
      <c r="O68" s="366"/>
    </row>
    <row r="69" spans="1:21" s="86" customFormat="1">
      <c r="A69" s="325">
        <v>44056</v>
      </c>
      <c r="B69" s="161" t="s">
        <v>222</v>
      </c>
      <c r="C69" s="275">
        <v>159.25</v>
      </c>
      <c r="D69" s="275">
        <v>159.25</v>
      </c>
      <c r="E69" s="576" t="str">
        <f t="shared" si="4"/>
        <v/>
      </c>
      <c r="F69" s="162" t="str">
        <f t="shared" si="3"/>
        <v>оплачено</v>
      </c>
      <c r="G69" s="162"/>
      <c r="H69" s="717" t="str">
        <f t="shared" si="5"/>
        <v/>
      </c>
      <c r="I69" s="1244" t="str">
        <f t="shared" si="5"/>
        <v/>
      </c>
      <c r="J69" s="1245"/>
      <c r="K69" s="481" t="str">
        <f t="shared" si="6"/>
        <v/>
      </c>
      <c r="L69" s="1248"/>
      <c r="M69" s="1249"/>
      <c r="N69" s="366"/>
      <c r="O69" s="84"/>
      <c r="P69" s="1"/>
      <c r="Q69" s="35"/>
      <c r="T69" s="35"/>
      <c r="U69" s="35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244" t="str">
        <f t="shared" si="5"/>
        <v/>
      </c>
      <c r="J70" s="1245"/>
      <c r="K70" s="481" t="str">
        <f t="shared" si="6"/>
        <v/>
      </c>
      <c r="L70" s="1183"/>
      <c r="M70" s="1241"/>
      <c r="N70" s="1"/>
      <c r="O70" s="366"/>
      <c r="P70" s="1"/>
      <c r="T70" s="8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244" t="str">
        <f t="shared" si="5"/>
        <v/>
      </c>
      <c r="J71" s="1245"/>
      <c r="K71" s="481" t="str">
        <f t="shared" si="6"/>
        <v/>
      </c>
      <c r="L71" s="1183"/>
      <c r="M71" s="1241"/>
      <c r="N71" s="1"/>
      <c r="O71" s="84"/>
      <c r="P71" s="366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244" t="str">
        <f t="shared" si="5"/>
        <v/>
      </c>
      <c r="J72" s="1245"/>
      <c r="K72" s="481" t="str">
        <f t="shared" si="6"/>
        <v/>
      </c>
      <c r="L72" s="1183"/>
      <c r="M72" s="1241"/>
      <c r="N72" s="1"/>
      <c r="O72" s="84"/>
      <c r="P72" s="150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244" t="str">
        <f t="shared" si="5"/>
        <v/>
      </c>
      <c r="J73" s="1245"/>
      <c r="K73" s="481" t="str">
        <f t="shared" si="6"/>
        <v/>
      </c>
      <c r="L73" s="1183"/>
      <c r="M73" s="1241"/>
      <c r="N73" s="1"/>
      <c r="O73" s="366"/>
      <c r="P73" s="1"/>
      <c r="Q73" s="8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244" t="str">
        <f t="shared" si="5"/>
        <v/>
      </c>
      <c r="J74" s="1245"/>
      <c r="K74" s="481" t="str">
        <f t="shared" si="6"/>
        <v/>
      </c>
      <c r="L74" s="1183"/>
      <c r="M74" s="1241"/>
      <c r="N74" s="1"/>
      <c r="O74" s="84"/>
    </row>
    <row r="75" spans="1:21" ht="15.75" thickBot="1">
      <c r="A75" s="1221" t="s">
        <v>259</v>
      </c>
      <c r="B75" s="1222"/>
      <c r="C75" s="358">
        <f>SUM(C59:C74)</f>
        <v>3669.63</v>
      </c>
      <c r="D75" s="358"/>
      <c r="E75" s="576">
        <f>SUM(E59:E74)</f>
        <v>0</v>
      </c>
      <c r="F75" s="162"/>
      <c r="G75" s="451"/>
      <c r="H75" s="1238" t="s">
        <v>259</v>
      </c>
      <c r="I75" s="1239"/>
      <c r="J75" s="1240"/>
      <c r="K75" s="716">
        <f>SUM(K59:K74)</f>
        <v>0</v>
      </c>
      <c r="L75" s="1242"/>
      <c r="M75" s="1243"/>
      <c r="N75" s="1"/>
      <c r="O75" s="366"/>
      <c r="P75" s="84"/>
      <c r="U75" s="86"/>
    </row>
    <row r="76" spans="1:21" ht="15.75" thickTop="1">
      <c r="A76" s="351"/>
      <c r="B76" s="352"/>
      <c r="C76" s="353"/>
      <c r="D76" s="353"/>
      <c r="E76" s="354"/>
      <c r="F76" s="352"/>
      <c r="G76" s="376"/>
      <c r="H76" s="1168" t="s">
        <v>16</v>
      </c>
      <c r="I76" s="1170" t="s">
        <v>17</v>
      </c>
      <c r="J76" s="1170" t="s">
        <v>21</v>
      </c>
      <c r="K76" s="1170"/>
      <c r="L76" s="1172" t="s">
        <v>93</v>
      </c>
      <c r="M76" s="1174" t="s">
        <v>95</v>
      </c>
      <c r="N76" s="1"/>
      <c r="O76" s="84"/>
      <c r="P76" s="84"/>
    </row>
    <row r="77" spans="1:21" ht="24">
      <c r="A77" s="355"/>
      <c r="B77" s="201"/>
      <c r="C77" s="201"/>
      <c r="D77" s="201"/>
      <c r="E77" s="216"/>
      <c r="F77" s="201"/>
      <c r="G77" s="201"/>
      <c r="H77" s="1169"/>
      <c r="I77" s="1171"/>
      <c r="J77" s="934" t="s">
        <v>21</v>
      </c>
      <c r="K77" s="934" t="s">
        <v>25</v>
      </c>
      <c r="L77" s="1173"/>
      <c r="M77" s="1175"/>
      <c r="N77" s="1"/>
      <c r="O77" s="366"/>
      <c r="P77" s="84"/>
    </row>
    <row r="78" spans="1:21">
      <c r="A78" s="338"/>
      <c r="B78" s="199"/>
      <c r="C78" s="288"/>
      <c r="D78" s="232"/>
      <c r="E78" s="84"/>
      <c r="F78" s="199"/>
      <c r="G78" s="199"/>
      <c r="H78" s="347" t="s">
        <v>163</v>
      </c>
      <c r="I78" s="94">
        <v>2420.3999999999996</v>
      </c>
      <c r="J78" s="94">
        <v>115.5</v>
      </c>
      <c r="K78" s="935">
        <v>132.61000000000001</v>
      </c>
      <c r="L78" s="96">
        <v>22665.5</v>
      </c>
      <c r="M78" s="104">
        <f>L78-I78-J78-K78</f>
        <v>19996.989999999998</v>
      </c>
      <c r="N78" s="150"/>
      <c r="O78" s="449"/>
      <c r="P78" s="439"/>
      <c r="R78" s="86"/>
    </row>
    <row r="79" spans="1:21">
      <c r="A79" s="339"/>
      <c r="B79" s="199"/>
      <c r="C79" s="199"/>
      <c r="D79" s="273"/>
      <c r="E79" s="366"/>
      <c r="F79" s="84"/>
      <c r="G79" s="366"/>
      <c r="H79" s="347" t="s">
        <v>192</v>
      </c>
      <c r="I79" s="94">
        <v>7629.69</v>
      </c>
      <c r="J79" s="94">
        <v>352.29</v>
      </c>
      <c r="K79" s="94">
        <v>193.85000000000002</v>
      </c>
      <c r="L79" s="96">
        <v>10342</v>
      </c>
      <c r="M79" s="104">
        <f>M78-I79-J79-K79+L79</f>
        <v>22163.159999999996</v>
      </c>
      <c r="N79" s="1"/>
      <c r="O79" s="449"/>
      <c r="P79" s="439"/>
      <c r="R79" s="86"/>
    </row>
    <row r="80" spans="1:21">
      <c r="A80" s="339"/>
      <c r="B80" s="366"/>
      <c r="C80" s="199"/>
      <c r="D80" s="273"/>
      <c r="E80" s="366"/>
      <c r="F80" s="366"/>
      <c r="G80" s="366"/>
      <c r="H80" s="347" t="s">
        <v>199</v>
      </c>
      <c r="I80" s="298">
        <v>8423.6400000000012</v>
      </c>
      <c r="J80" s="94">
        <v>921.3</v>
      </c>
      <c r="K80" s="299">
        <v>312.46000000000004</v>
      </c>
      <c r="L80" s="299">
        <v>16668</v>
      </c>
      <c r="M80" s="104">
        <f>M79-I80-J80-K80+L80</f>
        <v>29173.759999999995</v>
      </c>
      <c r="N80" s="1"/>
      <c r="O80" s="449"/>
      <c r="P80" s="436"/>
      <c r="R80" s="86"/>
    </row>
    <row r="81" spans="1:26">
      <c r="A81" s="339"/>
      <c r="B81" s="1"/>
      <c r="C81" s="284"/>
      <c r="D81" s="273"/>
      <c r="E81" s="366"/>
      <c r="F81" s="366"/>
      <c r="G81" s="84"/>
      <c r="H81" s="347" t="s">
        <v>209</v>
      </c>
      <c r="I81" s="299">
        <v>8639.7199999999993</v>
      </c>
      <c r="J81" s="300">
        <v>749.49</v>
      </c>
      <c r="K81" s="552">
        <v>435.1</v>
      </c>
      <c r="L81" s="299">
        <v>17824.919999999998</v>
      </c>
      <c r="M81" s="104">
        <f>M80-I81-J81-K81+L81</f>
        <v>37174.369999999995</v>
      </c>
      <c r="N81" s="92" t="s">
        <v>313</v>
      </c>
      <c r="O81" s="658"/>
      <c r="P81" s="763"/>
      <c r="R81" s="86"/>
    </row>
    <row r="82" spans="1:26">
      <c r="A82" s="339"/>
      <c r="B82" s="199"/>
      <c r="C82" s="1"/>
      <c r="D82" s="273"/>
      <c r="E82" s="366"/>
      <c r="F82" s="366"/>
      <c r="G82" s="366"/>
      <c r="H82" s="348" t="s">
        <v>210</v>
      </c>
      <c r="I82" s="300">
        <v>12605.26</v>
      </c>
      <c r="J82" s="299">
        <v>600.5</v>
      </c>
      <c r="K82" s="300">
        <v>491.64</v>
      </c>
      <c r="L82" s="299">
        <v>15183.9</v>
      </c>
      <c r="M82" s="104">
        <v>36025.39</v>
      </c>
      <c r="N82" s="657">
        <v>38660.869999999995</v>
      </c>
      <c r="O82" s="145"/>
      <c r="P82" s="437"/>
      <c r="Q82" s="86"/>
      <c r="R82" s="86"/>
    </row>
    <row r="83" spans="1:26">
      <c r="A83" s="339"/>
      <c r="B83" s="199"/>
      <c r="C83" s="1"/>
      <c r="D83" s="273"/>
      <c r="E83" s="366"/>
      <c r="F83" s="366"/>
      <c r="G83" s="366"/>
      <c r="H83" s="379" t="s">
        <v>211</v>
      </c>
      <c r="I83" s="728">
        <v>11425.189999999999</v>
      </c>
      <c r="J83" s="438">
        <v>232.2</v>
      </c>
      <c r="K83" s="733">
        <v>262</v>
      </c>
      <c r="L83" s="644">
        <v>11864.4</v>
      </c>
      <c r="M83" s="104">
        <f>M82-I83-J83-K83+L83</f>
        <v>35970.400000000001</v>
      </c>
      <c r="N83" s="1"/>
      <c r="O83" s="366"/>
      <c r="P83" s="437"/>
      <c r="Q83" s="86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9</v>
      </c>
      <c r="I84" s="728">
        <v>13612.520000000002</v>
      </c>
      <c r="J84" s="438">
        <f>19+42+25.5+33+4+25+7.5+18+170+1+9+37.5+2+1.4</f>
        <v>394.9</v>
      </c>
      <c r="K84" s="733">
        <f>112.8+296.38+33.5</f>
        <v>442.68</v>
      </c>
      <c r="L84" s="645">
        <f>14352+1353+311+316+73+278</f>
        <v>16683</v>
      </c>
      <c r="M84" s="777">
        <v>37929.35</v>
      </c>
      <c r="N84" s="761" t="s">
        <v>355</v>
      </c>
      <c r="O84" s="762"/>
      <c r="P84" s="437"/>
      <c r="Q84" s="742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18</v>
      </c>
      <c r="I85" s="728">
        <v>14474.099999999999</v>
      </c>
      <c r="J85" s="438">
        <v>947.5</v>
      </c>
      <c r="K85" s="733">
        <v>526.15</v>
      </c>
      <c r="L85" s="645">
        <v>19238.8</v>
      </c>
      <c r="M85" s="104">
        <f>M84-I85-J85-K85+L85</f>
        <v>41220.399999999994</v>
      </c>
      <c r="N85" s="84"/>
      <c r="O85" s="366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79" t="s">
        <v>19</v>
      </c>
      <c r="I86" s="660">
        <v>17170.439999999999</v>
      </c>
      <c r="J86" s="432">
        <v>3911.3</v>
      </c>
      <c r="K86" s="687">
        <f>21.5+122.1+41.6+353.89+95.92+8.2</f>
        <v>643.20999999999992</v>
      </c>
      <c r="L86" s="660">
        <f>660+513.5+514+683.5+535+212+2085+763+334+208+378+75+60+44+972+347+1461+81+303+363+12+44+73+133+667+281+234+225+789+767+1661+682+2828+477.5+365+873.5+390+553</f>
        <v>21647</v>
      </c>
      <c r="M86" s="104">
        <f>M85-I86-J86-K86+L86</f>
        <v>41142.449999999997</v>
      </c>
      <c r="N86" s="84"/>
      <c r="O86" s="366"/>
      <c r="P86" s="437"/>
      <c r="Q86" s="742"/>
      <c r="R86" s="86"/>
      <c r="V86" s="1"/>
    </row>
    <row r="87" spans="1:26" ht="15.75" thickBot="1">
      <c r="A87" s="339"/>
      <c r="B87" s="199"/>
      <c r="C87" s="1"/>
      <c r="D87" s="273"/>
      <c r="E87" s="366"/>
      <c r="F87" s="366"/>
      <c r="G87" s="366"/>
      <c r="H87" s="646" t="s">
        <v>20</v>
      </c>
      <c r="I87" s="661">
        <v>17084.789999999997</v>
      </c>
      <c r="J87" s="648">
        <v>1384.5</v>
      </c>
      <c r="K87" s="734">
        <f>231.74+381.32</f>
        <v>613.05999999999995</v>
      </c>
      <c r="L87" s="661">
        <f>861.5+275+194+301.5+390+1883.5+794+563+1402.5+380+670+229.5+35+275+150.5+18+76+68+310+1078+448+706+130+132+120+2048+130.5+296+608+1835+355+214.5+280+60+684+606</f>
        <v>18608</v>
      </c>
      <c r="M87" s="104">
        <f>M86-I87-J87-K87+L87</f>
        <v>40668.1</v>
      </c>
      <c r="N87" s="84"/>
      <c r="O87" s="366"/>
      <c r="P87" s="437"/>
      <c r="Q87" s="742"/>
      <c r="R87" s="86"/>
      <c r="V87" s="1"/>
    </row>
    <row r="88" spans="1:26" ht="14.25" customHeight="1" thickTop="1">
      <c r="A88" s="339"/>
      <c r="B88" s="199"/>
      <c r="C88" s="1"/>
      <c r="D88" s="273"/>
      <c r="E88" s="84"/>
      <c r="F88" s="366"/>
      <c r="G88" s="366"/>
      <c r="H88" s="1152" t="s">
        <v>36</v>
      </c>
      <c r="I88" s="1154" t="s">
        <v>178</v>
      </c>
      <c r="J88" s="1155"/>
      <c r="K88" s="1156"/>
      <c r="L88" s="1160" t="s">
        <v>159</v>
      </c>
      <c r="M88" s="1161"/>
      <c r="N88" s="1"/>
      <c r="O88" s="366"/>
      <c r="P88" s="437"/>
      <c r="Q88" s="86"/>
      <c r="R88" s="86"/>
      <c r="V88" s="1"/>
    </row>
    <row r="89" spans="1:26">
      <c r="A89" s="339"/>
      <c r="B89" s="199"/>
      <c r="C89" s="284"/>
      <c r="D89" s="273"/>
      <c r="E89" s="284"/>
      <c r="F89" s="366"/>
      <c r="G89" s="378"/>
      <c r="H89" s="1153"/>
      <c r="I89" s="1157"/>
      <c r="J89" s="1158"/>
      <c r="K89" s="1159"/>
      <c r="L89" s="1162"/>
      <c r="M89" s="1163"/>
      <c r="N89" s="1"/>
      <c r="O89" s="84"/>
      <c r="P89" s="685"/>
      <c r="Q89" s="86"/>
      <c r="R89" s="366"/>
      <c r="S89" s="1"/>
      <c r="V89" s="1"/>
      <c r="W89" s="1"/>
      <c r="X89" s="1"/>
      <c r="Y89" s="1"/>
    </row>
    <row r="90" spans="1:26">
      <c r="A90" s="339"/>
      <c r="B90" s="199"/>
      <c r="C90" s="199"/>
      <c r="D90" s="273"/>
      <c r="E90" s="199"/>
      <c r="F90" s="366"/>
      <c r="G90" s="378"/>
      <c r="H90" s="529" t="s">
        <v>250</v>
      </c>
      <c r="I90" s="1164" t="s">
        <v>47</v>
      </c>
      <c r="J90" s="1164"/>
      <c r="K90" s="940">
        <v>131.25</v>
      </c>
      <c r="L90" s="282">
        <v>44058</v>
      </c>
      <c r="M90" s="44" t="s">
        <v>104</v>
      </c>
      <c r="O90" s="366"/>
      <c r="P90" s="685"/>
      <c r="Q90" s="86"/>
      <c r="R90" s="366"/>
      <c r="S90" s="1"/>
      <c r="T90" s="1"/>
      <c r="V90" s="282"/>
      <c r="W90" s="1"/>
      <c r="X90" s="1"/>
      <c r="Y90" s="1"/>
    </row>
    <row r="91" spans="1:26">
      <c r="A91" s="339"/>
      <c r="B91" s="366"/>
      <c r="C91" s="274"/>
      <c r="D91" s="273"/>
      <c r="E91" s="274"/>
      <c r="F91" s="366"/>
      <c r="G91" s="366"/>
      <c r="H91" s="529" t="s">
        <v>250</v>
      </c>
      <c r="I91" s="1149" t="s">
        <v>51</v>
      </c>
      <c r="J91" s="1149"/>
      <c r="K91" s="939">
        <v>21.35</v>
      </c>
      <c r="L91" s="282">
        <v>44058</v>
      </c>
      <c r="M91" s="44" t="s">
        <v>104</v>
      </c>
      <c r="O91" s="366"/>
      <c r="P91" s="685"/>
      <c r="Q91" s="571"/>
      <c r="R91" s="86"/>
      <c r="S91" s="1"/>
      <c r="T91" s="1"/>
      <c r="V91" s="282"/>
      <c r="W91" s="1"/>
      <c r="X91" s="1"/>
      <c r="Y91" s="1"/>
    </row>
    <row r="92" spans="1:26">
      <c r="A92" s="340"/>
      <c r="B92" s="366"/>
      <c r="C92" s="366"/>
      <c r="D92" s="273"/>
      <c r="E92" s="199"/>
      <c r="F92" s="366"/>
      <c r="G92" s="366"/>
      <c r="H92" s="529" t="s">
        <v>250</v>
      </c>
      <c r="I92" s="1149" t="s">
        <v>52</v>
      </c>
      <c r="J92" s="1149"/>
      <c r="K92" s="939">
        <v>2.25</v>
      </c>
      <c r="L92" s="282">
        <v>44058</v>
      </c>
      <c r="M92" s="44" t="s">
        <v>104</v>
      </c>
      <c r="O92" s="366"/>
      <c r="P92" s="685"/>
      <c r="Q92" s="86"/>
      <c r="R92" s="936"/>
      <c r="S92" s="1"/>
      <c r="T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783" t="s">
        <v>367</v>
      </c>
      <c r="I93" s="1149" t="s">
        <v>49</v>
      </c>
      <c r="J93" s="1149"/>
      <c r="K93" s="939">
        <v>44.5</v>
      </c>
      <c r="L93" s="783" t="s">
        <v>367</v>
      </c>
      <c r="M93" s="44" t="s">
        <v>160</v>
      </c>
      <c r="N93" s="35" t="s">
        <v>387</v>
      </c>
      <c r="O93" s="84"/>
      <c r="P93" s="685"/>
      <c r="Q93" s="366"/>
      <c r="R93" s="8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366"/>
      <c r="C94" s="366"/>
      <c r="D94" s="273"/>
      <c r="E94" s="366"/>
      <c r="F94" s="366"/>
      <c r="G94" s="366"/>
      <c r="H94" s="529" t="s">
        <v>250</v>
      </c>
      <c r="I94" s="1217" t="s">
        <v>59</v>
      </c>
      <c r="J94" s="1217"/>
      <c r="K94" s="941">
        <v>682.74</v>
      </c>
      <c r="L94" s="302" t="s">
        <v>177</v>
      </c>
      <c r="M94" s="44" t="s">
        <v>104</v>
      </c>
      <c r="N94" s="506"/>
      <c r="O94" s="84" t="s">
        <v>388</v>
      </c>
      <c r="P94" s="685"/>
      <c r="Q94" s="480"/>
      <c r="R94" s="936"/>
      <c r="S94" s="1"/>
      <c r="T94" s="282"/>
      <c r="U94" s="1"/>
      <c r="V94" s="1"/>
      <c r="W94" s="282"/>
      <c r="X94" s="282"/>
      <c r="Y94" s="1"/>
      <c r="Z94" s="1"/>
    </row>
    <row r="95" spans="1:26">
      <c r="A95" s="340"/>
      <c r="B95" s="199"/>
      <c r="C95" s="199"/>
      <c r="D95" s="273"/>
      <c r="E95" s="199"/>
      <c r="F95" s="366"/>
      <c r="G95" s="366"/>
      <c r="H95" s="529" t="s">
        <v>250</v>
      </c>
      <c r="I95" s="1218" t="s">
        <v>68</v>
      </c>
      <c r="J95" s="1219"/>
      <c r="K95" s="939">
        <v>51.43</v>
      </c>
      <c r="L95" s="282">
        <v>44063</v>
      </c>
      <c r="M95" s="44" t="s">
        <v>104</v>
      </c>
      <c r="O95" s="366"/>
      <c r="P95" s="437"/>
      <c r="Q95" s="366"/>
      <c r="R95" s="93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529" t="s">
        <v>250</v>
      </c>
      <c r="I96" s="1218" t="s">
        <v>174</v>
      </c>
      <c r="J96" s="1219"/>
      <c r="K96" s="939">
        <v>257.08999999999997</v>
      </c>
      <c r="L96" s="282">
        <v>44058</v>
      </c>
      <c r="M96" s="44" t="s">
        <v>104</v>
      </c>
      <c r="O96" s="84"/>
      <c r="P96" s="86"/>
      <c r="Q96" s="366"/>
      <c r="R96" s="945"/>
      <c r="S96" s="945"/>
      <c r="T96" s="282"/>
      <c r="U96" s="282"/>
      <c r="V96" s="282"/>
      <c r="W96" s="1"/>
      <c r="X96" s="1"/>
      <c r="Y96" s="1"/>
      <c r="Z96" s="1"/>
    </row>
    <row r="97" spans="1:26">
      <c r="A97" s="340"/>
      <c r="B97" s="199"/>
      <c r="C97" s="366"/>
      <c r="D97" s="273"/>
      <c r="E97" s="199"/>
      <c r="F97" s="366"/>
      <c r="G97" s="366"/>
      <c r="H97" s="946" t="s">
        <v>258</v>
      </c>
      <c r="I97" s="931" t="s">
        <v>176</v>
      </c>
      <c r="J97" s="932"/>
      <c r="K97" s="939" t="s">
        <v>258</v>
      </c>
      <c r="L97" s="282">
        <v>44063</v>
      </c>
      <c r="M97" s="44" t="s">
        <v>104</v>
      </c>
      <c r="O97" s="84">
        <v>72</v>
      </c>
      <c r="P97" s="86">
        <v>29</v>
      </c>
      <c r="Q97" s="366"/>
      <c r="R97" s="485">
        <v>861.5</v>
      </c>
      <c r="S97" s="150"/>
      <c r="T97" s="1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218" t="s">
        <v>81</v>
      </c>
      <c r="J98" s="1219"/>
      <c r="K98" s="939">
        <v>788.15</v>
      </c>
      <c r="L98" s="282">
        <v>44053</v>
      </c>
      <c r="M98" s="44" t="s">
        <v>104</v>
      </c>
      <c r="O98" s="84">
        <v>8</v>
      </c>
      <c r="P98" s="86">
        <v>110</v>
      </c>
      <c r="Q98" s="485"/>
      <c r="R98" s="365">
        <v>275</v>
      </c>
      <c r="S98" s="150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367</v>
      </c>
      <c r="I99" s="1218" t="s">
        <v>53</v>
      </c>
      <c r="J99" s="1219"/>
      <c r="K99" s="455">
        <v>10</v>
      </c>
      <c r="L99" s="282">
        <v>44058</v>
      </c>
      <c r="M99" s="44" t="s">
        <v>104</v>
      </c>
      <c r="N99" s="506"/>
      <c r="O99" s="84">
        <v>87.5</v>
      </c>
      <c r="P99" s="86">
        <v>15</v>
      </c>
      <c r="Q99" s="936"/>
      <c r="R99" s="86">
        <v>194</v>
      </c>
      <c r="S99" s="1"/>
      <c r="T99" s="282"/>
      <c r="U99" s="282"/>
      <c r="V99" s="282"/>
      <c r="W99" s="282"/>
      <c r="X99" s="282"/>
      <c r="Y99" s="366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230" t="s">
        <v>300</v>
      </c>
      <c r="J100" s="1230"/>
      <c r="K100" s="676">
        <v>100</v>
      </c>
      <c r="L100" s="282">
        <v>44073</v>
      </c>
      <c r="M100" s="44" t="s">
        <v>104</v>
      </c>
      <c r="O100" s="84">
        <v>5</v>
      </c>
      <c r="P100" s="86">
        <v>13</v>
      </c>
      <c r="Q100" s="936"/>
      <c r="R100" s="86">
        <v>301.5</v>
      </c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230" t="s">
        <v>325</v>
      </c>
      <c r="J101" s="1230"/>
      <c r="K101" s="676">
        <v>9</v>
      </c>
      <c r="L101" s="282">
        <v>44058</v>
      </c>
      <c r="M101" s="44" t="s">
        <v>104</v>
      </c>
      <c r="O101" s="84">
        <v>39</v>
      </c>
      <c r="P101" s="86">
        <v>5</v>
      </c>
      <c r="Q101" s="936"/>
      <c r="R101" s="86">
        <v>390</v>
      </c>
      <c r="S101" s="366"/>
      <c r="T101" s="282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250</v>
      </c>
      <c r="I102" s="1150" t="s">
        <v>374</v>
      </c>
      <c r="J102" s="1151"/>
      <c r="K102" s="676">
        <v>1015.9</v>
      </c>
      <c r="L102" s="282">
        <v>44073</v>
      </c>
      <c r="M102" s="44" t="s">
        <v>104</v>
      </c>
      <c r="O102" s="84">
        <v>6</v>
      </c>
      <c r="P102" s="86">
        <v>41</v>
      </c>
      <c r="Q102" s="936"/>
      <c r="R102" s="86">
        <v>1883.5</v>
      </c>
      <c r="S102" s="366"/>
      <c r="T102" s="282"/>
      <c r="U102" s="282"/>
      <c r="V102" s="282"/>
      <c r="W102" s="282"/>
      <c r="X102" s="282"/>
      <c r="Y102" s="1"/>
      <c r="Z102" s="1"/>
    </row>
    <row r="103" spans="1:26" ht="15.75" thickBot="1">
      <c r="A103" s="341"/>
      <c r="B103" s="330"/>
      <c r="C103" s="331"/>
      <c r="D103" s="342"/>
      <c r="E103" s="330"/>
      <c r="F103" s="331"/>
      <c r="G103" s="331"/>
      <c r="H103" s="1236" t="s">
        <v>179</v>
      </c>
      <c r="I103" s="1237"/>
      <c r="J103" s="361">
        <f>SUM(K90:K102)</f>
        <v>3113.66</v>
      </c>
      <c r="K103" s="1147" t="s">
        <v>180</v>
      </c>
      <c r="L103" s="1147"/>
      <c r="M103" s="535">
        <v>0</v>
      </c>
      <c r="O103" s="84">
        <v>208</v>
      </c>
      <c r="P103" s="86">
        <v>49</v>
      </c>
      <c r="Q103" s="936"/>
      <c r="R103" s="365">
        <v>794</v>
      </c>
      <c r="S103" s="366"/>
      <c r="T103" s="282"/>
      <c r="U103" s="282"/>
      <c r="V103" s="1"/>
      <c r="W103" s="282"/>
      <c r="X103" s="282"/>
      <c r="Y103" s="1"/>
      <c r="Z103" s="1"/>
    </row>
    <row r="104" spans="1:26" ht="15.75" thickTop="1">
      <c r="C104" s="507"/>
      <c r="D104" s="507"/>
      <c r="O104" s="84">
        <v>204</v>
      </c>
      <c r="P104" s="86">
        <v>20</v>
      </c>
      <c r="Q104" s="936"/>
      <c r="R104" s="365">
        <v>563</v>
      </c>
      <c r="S104" s="366"/>
      <c r="T104" s="282"/>
      <c r="U104" s="282"/>
      <c r="V104" s="1"/>
      <c r="W104" s="282"/>
      <c r="X104" s="282"/>
      <c r="Y104" s="1"/>
      <c r="Z104" s="1"/>
    </row>
    <row r="105" spans="1:26" ht="15" customHeight="1">
      <c r="A105" s="1211" t="s">
        <v>379</v>
      </c>
      <c r="B105" s="1211"/>
      <c r="C105" s="1211"/>
      <c r="D105" s="1211"/>
      <c r="E105" s="1211"/>
      <c r="F105" s="1211"/>
      <c r="G105" s="1211"/>
      <c r="H105" s="1211"/>
      <c r="I105" s="1211"/>
      <c r="J105" s="1211"/>
      <c r="K105" s="1211"/>
      <c r="L105" s="1211"/>
      <c r="M105" s="1211"/>
      <c r="O105" s="84">
        <v>133</v>
      </c>
      <c r="P105" s="86">
        <v>229.3</v>
      </c>
      <c r="Q105" s="936"/>
      <c r="R105" s="366">
        <v>1402.5</v>
      </c>
      <c r="S105" s="1"/>
      <c r="T105" s="282"/>
      <c r="U105" s="282"/>
      <c r="V105" s="1"/>
      <c r="W105" s="1"/>
      <c r="X105" s="1"/>
      <c r="Y105" s="1"/>
      <c r="Z105" s="1"/>
    </row>
    <row r="106" spans="1:26" ht="15.75" customHeight="1" thickBot="1">
      <c r="A106" s="1212"/>
      <c r="B106" s="1212"/>
      <c r="C106" s="1212"/>
      <c r="D106" s="1212"/>
      <c r="E106" s="1212"/>
      <c r="F106" s="1212"/>
      <c r="G106" s="1212"/>
      <c r="H106" s="1212"/>
      <c r="I106" s="1212"/>
      <c r="J106" s="1212"/>
      <c r="K106" s="1212"/>
      <c r="L106" s="1212"/>
      <c r="M106" s="1212"/>
      <c r="O106" s="84">
        <v>1</v>
      </c>
      <c r="P106" s="86">
        <v>50</v>
      </c>
      <c r="Q106" s="936"/>
      <c r="R106" s="366">
        <v>380</v>
      </c>
      <c r="S106" s="1"/>
      <c r="T106" s="1"/>
      <c r="U106" s="282"/>
      <c r="V106" s="1"/>
      <c r="W106" s="1"/>
      <c r="X106" s="1"/>
      <c r="Y106" s="1"/>
      <c r="Z106" s="1"/>
    </row>
    <row r="107" spans="1:26" ht="15.75" thickTop="1">
      <c r="A107" s="1255" t="s">
        <v>43</v>
      </c>
      <c r="B107" s="1227"/>
      <c r="C107" s="1227"/>
      <c r="D107" s="1227"/>
      <c r="E107" s="1227"/>
      <c r="F107" s="1256"/>
      <c r="G107" s="323"/>
      <c r="O107" s="84">
        <v>53</v>
      </c>
      <c r="P107" s="86">
        <v>33.5</v>
      </c>
      <c r="Q107" s="686"/>
      <c r="R107" s="366">
        <v>670</v>
      </c>
      <c r="S107" s="1"/>
      <c r="T107" s="1"/>
      <c r="U107" s="282"/>
      <c r="V107" s="1"/>
      <c r="W107" s="1"/>
      <c r="X107" s="1"/>
      <c r="Y107" s="1"/>
      <c r="Z107" s="1"/>
    </row>
    <row r="108" spans="1:26">
      <c r="A108" s="1144" t="s">
        <v>371</v>
      </c>
      <c r="B108" s="1145"/>
      <c r="C108" s="930" t="s">
        <v>35</v>
      </c>
      <c r="D108" s="930" t="s">
        <v>38</v>
      </c>
      <c r="E108" s="930" t="s">
        <v>42</v>
      </c>
      <c r="F108" s="930" t="s">
        <v>44</v>
      </c>
      <c r="G108" s="1"/>
      <c r="O108" s="84">
        <v>19</v>
      </c>
      <c r="P108" s="86">
        <v>315</v>
      </c>
      <c r="Q108" s="936"/>
      <c r="R108" s="366">
        <v>229.5</v>
      </c>
      <c r="S108" s="1"/>
      <c r="T108" s="1"/>
      <c r="U108" s="1"/>
      <c r="W108" s="1"/>
      <c r="X108" s="1"/>
      <c r="Y108" s="1"/>
      <c r="Z108" s="1"/>
    </row>
    <row r="109" spans="1:26">
      <c r="A109" s="1248" t="s">
        <v>40</v>
      </c>
      <c r="B109" s="1224"/>
      <c r="C109" s="482">
        <v>1153.3599999999999</v>
      </c>
      <c r="D109" s="482">
        <v>1153.3599999999999</v>
      </c>
      <c r="E109" s="482">
        <v>1153.3599999999999</v>
      </c>
      <c r="F109" s="3" t="s">
        <v>401</v>
      </c>
      <c r="G109" s="1"/>
      <c r="O109" s="84">
        <v>276</v>
      </c>
      <c r="P109" s="86">
        <v>10</v>
      </c>
      <c r="Q109" s="936"/>
      <c r="R109" s="366">
        <v>35</v>
      </c>
      <c r="S109" s="1"/>
      <c r="T109" s="1"/>
      <c r="U109" s="1"/>
      <c r="W109" s="1"/>
      <c r="X109" s="1"/>
      <c r="Y109" s="1"/>
      <c r="Z109" s="1"/>
    </row>
    <row r="110" spans="1:26">
      <c r="A110" s="340"/>
      <c r="B110" s="366"/>
      <c r="C110" s="514">
        <f>SUM(C109:C109)</f>
        <v>1153.3599999999999</v>
      </c>
      <c r="D110" s="366"/>
      <c r="E110" s="84"/>
      <c r="F110" s="366"/>
      <c r="G110" s="1"/>
      <c r="K110" s="506"/>
      <c r="O110" s="84">
        <v>24</v>
      </c>
      <c r="P110" s="86">
        <v>25</v>
      </c>
      <c r="Q110" s="936"/>
      <c r="R110" s="366">
        <v>275</v>
      </c>
      <c r="T110" s="1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>
        <v>24</v>
      </c>
      <c r="P111" s="86">
        <v>333</v>
      </c>
      <c r="Q111" s="936"/>
      <c r="R111" s="366">
        <v>150.5</v>
      </c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M112" s="506"/>
      <c r="O112" s="84">
        <v>225</v>
      </c>
      <c r="P112" s="86">
        <v>441</v>
      </c>
      <c r="Q112" s="936"/>
      <c r="R112" s="366">
        <v>18</v>
      </c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>
        <f>SUM(O97:O112)</f>
        <v>1384.5</v>
      </c>
      <c r="P113" s="86">
        <f>62.5+11.5</f>
        <v>74</v>
      </c>
      <c r="Q113" s="936"/>
      <c r="R113" s="366">
        <v>76</v>
      </c>
      <c r="U113" s="1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>
        <v>243</v>
      </c>
      <c r="Q114" s="936"/>
      <c r="R114" s="366">
        <v>68</v>
      </c>
    </row>
    <row r="115" spans="1:26">
      <c r="A115" s="43"/>
      <c r="B115" s="1"/>
      <c r="C115" s="366"/>
      <c r="D115" s="1"/>
      <c r="E115" s="1"/>
      <c r="F115" s="1"/>
      <c r="G115" s="1"/>
      <c r="M115" s="1"/>
      <c r="O115" s="84"/>
      <c r="P115" s="86">
        <v>195</v>
      </c>
      <c r="Q115" s="936"/>
      <c r="R115" s="366">
        <v>310</v>
      </c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>
        <v>1258</v>
      </c>
      <c r="Q116" s="936"/>
      <c r="R116" s="366">
        <v>1078</v>
      </c>
    </row>
    <row r="117" spans="1:26">
      <c r="A117" s="43"/>
      <c r="B117" s="1"/>
      <c r="C117" s="366"/>
      <c r="D117" s="1"/>
      <c r="E117" s="1"/>
      <c r="F117" s="1"/>
      <c r="G117" s="1"/>
      <c r="M117" s="366"/>
      <c r="O117" s="84"/>
      <c r="P117" s="86">
        <v>210</v>
      </c>
      <c r="Q117" s="936"/>
      <c r="R117" s="366">
        <v>448</v>
      </c>
    </row>
    <row r="118" spans="1:26">
      <c r="A118" s="43"/>
      <c r="B118" s="1"/>
      <c r="C118" s="366"/>
      <c r="D118" s="1"/>
      <c r="E118" s="1"/>
      <c r="F118" s="1"/>
      <c r="G118" s="1"/>
      <c r="M118" s="366"/>
      <c r="O118" s="84"/>
      <c r="P118" s="86">
        <v>8</v>
      </c>
      <c r="Q118" s="936"/>
      <c r="R118" s="366">
        <v>706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>
        <v>6</v>
      </c>
      <c r="Q119" s="936"/>
      <c r="R119" s="366">
        <v>130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>
        <v>160</v>
      </c>
      <c r="Q120" s="936"/>
      <c r="R120" s="366">
        <v>132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>
        <v>35</v>
      </c>
      <c r="Q121" s="86"/>
      <c r="R121" s="366">
        <v>120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>
        <v>3.5</v>
      </c>
      <c r="Q122" s="86"/>
      <c r="R122" s="366">
        <v>2048</v>
      </c>
    </row>
    <row r="123" spans="1:26">
      <c r="A123" s="43"/>
      <c r="B123" s="1"/>
      <c r="C123" s="366"/>
      <c r="D123" s="1"/>
      <c r="E123" s="1"/>
      <c r="F123" s="1"/>
      <c r="G123" s="1"/>
      <c r="O123" s="84"/>
      <c r="P123" s="86">
        <f>SUM(P97:P122)</f>
        <v>3911.3</v>
      </c>
      <c r="Q123" s="86"/>
      <c r="R123" s="366">
        <v>130.5</v>
      </c>
    </row>
    <row r="124" spans="1:26">
      <c r="A124" s="43"/>
      <c r="B124" s="1"/>
      <c r="C124" s="366"/>
      <c r="D124" s="1"/>
      <c r="E124" s="1"/>
      <c r="F124" s="1"/>
      <c r="G124" s="1"/>
      <c r="O124" s="84"/>
      <c r="P124" s="86"/>
      <c r="Q124" s="86"/>
      <c r="R124" s="366">
        <v>296</v>
      </c>
    </row>
    <row r="125" spans="1:26">
      <c r="C125" s="447"/>
      <c r="O125" s="84"/>
      <c r="P125" s="86"/>
      <c r="Q125" s="86"/>
      <c r="R125" s="366">
        <v>608</v>
      </c>
    </row>
    <row r="126" spans="1:26">
      <c r="A126" s="12"/>
      <c r="C126" s="447"/>
      <c r="O126" s="84"/>
      <c r="P126" s="86"/>
      <c r="Q126" s="86"/>
      <c r="R126" s="366">
        <v>1835</v>
      </c>
    </row>
    <row r="127" spans="1:26">
      <c r="C127" s="447"/>
      <c r="R127" s="366">
        <v>355</v>
      </c>
    </row>
    <row r="128" spans="1:26" s="1" customFormat="1" ht="12.75" customHeight="1">
      <c r="A128" s="449"/>
      <c r="B128" s="199"/>
      <c r="D128" s="273"/>
      <c r="E128" s="366"/>
      <c r="F128" s="366"/>
      <c r="G128" s="366"/>
      <c r="H128" s="565"/>
      <c r="I128" s="942"/>
      <c r="J128" s="437"/>
      <c r="K128" s="643"/>
      <c r="L128" s="643"/>
      <c r="M128" s="436"/>
      <c r="O128" s="127"/>
      <c r="P128" s="84"/>
      <c r="Q128" s="145"/>
      <c r="R128" s="84">
        <v>214.5</v>
      </c>
      <c r="S128" s="84"/>
      <c r="T128" s="366"/>
      <c r="U128" s="366"/>
      <c r="V128" s="366"/>
      <c r="W128" s="366"/>
      <c r="X128" s="366"/>
      <c r="Y128" s="366"/>
      <c r="Z128" s="366"/>
    </row>
    <row r="129" spans="3:18">
      <c r="C129" s="447"/>
      <c r="R129" s="366">
        <v>280</v>
      </c>
    </row>
    <row r="130" spans="3:18">
      <c r="C130" s="447"/>
      <c r="R130" s="366">
        <v>60</v>
      </c>
    </row>
    <row r="131" spans="3:18">
      <c r="C131" s="447"/>
      <c r="R131" s="366">
        <v>684</v>
      </c>
    </row>
    <row r="132" spans="3:18">
      <c r="C132" s="447"/>
      <c r="R132" s="366">
        <v>606</v>
      </c>
    </row>
    <row r="133" spans="3:18">
      <c r="C133" s="447"/>
      <c r="R133" s="950">
        <f>SUM(R97:R132)</f>
        <v>18608</v>
      </c>
    </row>
    <row r="134" spans="3:18">
      <c r="C134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5:H36"/>
    <mergeCell ref="I35:K36"/>
    <mergeCell ref="L35:M36"/>
    <mergeCell ref="I37:J37"/>
    <mergeCell ref="I38:J38"/>
    <mergeCell ref="I39:J39"/>
    <mergeCell ref="A20:B20"/>
    <mergeCell ref="H20:J20"/>
    <mergeCell ref="L20:M20"/>
    <mergeCell ref="H21:H22"/>
    <mergeCell ref="I21:I22"/>
    <mergeCell ref="J21:K21"/>
    <mergeCell ref="L21:L22"/>
    <mergeCell ref="M21:M22"/>
    <mergeCell ref="I48:J48"/>
    <mergeCell ref="I49:J49"/>
    <mergeCell ref="I50:J50"/>
    <mergeCell ref="I51:J51"/>
    <mergeCell ref="I52:J52"/>
    <mergeCell ref="H53:I53"/>
    <mergeCell ref="I40:J40"/>
    <mergeCell ref="I41:J41"/>
    <mergeCell ref="I42:J42"/>
    <mergeCell ref="I45:J45"/>
    <mergeCell ref="I46:J46"/>
    <mergeCell ref="I47:J47"/>
    <mergeCell ref="I59:J59"/>
    <mergeCell ref="L59:M59"/>
    <mergeCell ref="I60:J60"/>
    <mergeCell ref="L60:M60"/>
    <mergeCell ref="I61:J61"/>
    <mergeCell ref="L61:M61"/>
    <mergeCell ref="K53:L53"/>
    <mergeCell ref="H54:K54"/>
    <mergeCell ref="A55:M56"/>
    <mergeCell ref="A57:G57"/>
    <mergeCell ref="H57:M57"/>
    <mergeCell ref="I58:J58"/>
    <mergeCell ref="L58:M58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71:J71"/>
    <mergeCell ref="L71:M71"/>
    <mergeCell ref="I72:J72"/>
    <mergeCell ref="L72:M72"/>
    <mergeCell ref="I73:J73"/>
    <mergeCell ref="L73:M73"/>
    <mergeCell ref="I68:J68"/>
    <mergeCell ref="L68:M68"/>
    <mergeCell ref="I69:J69"/>
    <mergeCell ref="L69:M69"/>
    <mergeCell ref="I70:J70"/>
    <mergeCell ref="L70:M70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3:J93"/>
    <mergeCell ref="I94:J94"/>
    <mergeCell ref="I95:J95"/>
    <mergeCell ref="I96:J96"/>
    <mergeCell ref="I98:J98"/>
    <mergeCell ref="I99:J99"/>
    <mergeCell ref="H88:H89"/>
    <mergeCell ref="I88:K89"/>
    <mergeCell ref="L88:M89"/>
    <mergeCell ref="I90:J90"/>
    <mergeCell ref="I91:J91"/>
    <mergeCell ref="I92:J92"/>
    <mergeCell ref="A107:F107"/>
    <mergeCell ref="A108:B108"/>
    <mergeCell ref="A109:B109"/>
    <mergeCell ref="I100:J100"/>
    <mergeCell ref="I101:J101"/>
    <mergeCell ref="I102:J102"/>
    <mergeCell ref="H103:I103"/>
    <mergeCell ref="K103:L103"/>
    <mergeCell ref="A105:M106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I49" sqref="I4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8.85546875" style="35" customWidth="1"/>
    <col min="5" max="6" width="19" style="35" customWidth="1"/>
    <col min="7" max="7" width="18.14062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 t="s">
        <v>400</v>
      </c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>
        <v>136</v>
      </c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>
        <v>129.22</v>
      </c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>
        <v>138</v>
      </c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>
        <v>93.4</v>
      </c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>
        <v>27.5</v>
      </c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>
        <v>194.75</v>
      </c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>
        <v>93.9</v>
      </c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>
        <v>58</v>
      </c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>
        <v>384.4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>
        <v>121.5</v>
      </c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>
        <v>824.89</v>
      </c>
      <c r="E14" s="778"/>
      <c r="F14" s="741"/>
      <c r="G14" s="913">
        <v>230.5</v>
      </c>
      <c r="H14" s="913"/>
      <c r="I14" s="227"/>
      <c r="J14" s="226"/>
      <c r="K14" s="765">
        <v>105.5</v>
      </c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96">
        <v>1078.7</v>
      </c>
      <c r="F15" s="741"/>
      <c r="G15" s="913">
        <v>794.75</v>
      </c>
      <c r="H15" s="913"/>
      <c r="I15" s="227"/>
      <c r="J15" s="930"/>
      <c r="K15" s="14">
        <v>158.5</v>
      </c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96">
        <v>763</v>
      </c>
      <c r="F16" s="741"/>
      <c r="G16" s="913"/>
      <c r="H16" s="913">
        <v>970.4</v>
      </c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>
        <v>795.9</v>
      </c>
      <c r="E17" s="778"/>
      <c r="F17" s="741"/>
      <c r="G17" s="913"/>
      <c r="H17" s="913">
        <v>587.4</v>
      </c>
      <c r="I17" s="227"/>
      <c r="J17" s="14"/>
      <c r="K17" s="765">
        <v>211.1</v>
      </c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>
        <v>918.8</v>
      </c>
      <c r="E18" s="778"/>
      <c r="F18" s="741"/>
      <c r="G18" s="913"/>
      <c r="H18" s="913">
        <v>430.5</v>
      </c>
      <c r="I18" s="227"/>
      <c r="J18" s="226"/>
      <c r="K18" s="765"/>
      <c r="L18" s="464">
        <f>113+45</f>
        <v>158</v>
      </c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22"/>
      <c r="E19" s="22">
        <v>1125.3</v>
      </c>
      <c r="F19" s="741"/>
      <c r="G19" s="913">
        <v>583.9</v>
      </c>
      <c r="H19" s="913"/>
      <c r="I19" s="227"/>
      <c r="J19" s="14"/>
      <c r="K19" s="765">
        <v>76.900000000000006</v>
      </c>
      <c r="L19" s="464">
        <v>161</v>
      </c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22"/>
      <c r="E20" s="22">
        <v>1309.4000000000001</v>
      </c>
      <c r="F20" s="741"/>
      <c r="G20" s="913"/>
      <c r="H20" s="913">
        <v>579</v>
      </c>
      <c r="I20" s="227"/>
      <c r="J20" s="22"/>
      <c r="K20" s="766">
        <v>71</v>
      </c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22">
        <v>1012.7</v>
      </c>
      <c r="E21" s="22"/>
      <c r="F21" s="741"/>
      <c r="G21" s="913"/>
      <c r="H21" s="913">
        <v>743.8</v>
      </c>
      <c r="I21" s="227"/>
      <c r="J21" s="226"/>
      <c r="K21" s="766">
        <v>89.8</v>
      </c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22">
        <v>1374.1</v>
      </c>
      <c r="E22" s="22"/>
      <c r="F22" s="741"/>
      <c r="G22" s="913">
        <v>693.45</v>
      </c>
      <c r="H22" s="913"/>
      <c r="I22" s="227"/>
      <c r="J22" s="226"/>
      <c r="K22" s="766">
        <v>154.80000000000001</v>
      </c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22"/>
      <c r="E23" s="22">
        <v>1116</v>
      </c>
      <c r="F23" s="741"/>
      <c r="G23" s="913">
        <v>369.41</v>
      </c>
      <c r="H23" s="913"/>
      <c r="I23" s="227"/>
      <c r="J23" s="476"/>
      <c r="K23" s="766">
        <v>108.5</v>
      </c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22"/>
      <c r="E24" s="22">
        <v>1140.2</v>
      </c>
      <c r="F24" s="741"/>
      <c r="G24" s="913"/>
      <c r="H24" s="913">
        <v>519.4</v>
      </c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22">
        <v>1352.7</v>
      </c>
      <c r="E25" s="22"/>
      <c r="F25" s="741"/>
      <c r="G25" s="913"/>
      <c r="H25" s="913">
        <v>580.5</v>
      </c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22">
        <v>761</v>
      </c>
      <c r="E26" s="22"/>
      <c r="F26" s="741"/>
      <c r="G26" s="913"/>
      <c r="H26" s="913">
        <v>610</v>
      </c>
      <c r="I26" s="227"/>
      <c r="J26" s="226"/>
      <c r="K26" s="766">
        <v>351.45</v>
      </c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22"/>
      <c r="E27" s="22">
        <v>1547.75</v>
      </c>
      <c r="F27" s="741"/>
      <c r="G27" s="913">
        <v>895.45</v>
      </c>
      <c r="H27" s="913"/>
      <c r="I27" s="227"/>
      <c r="J27" s="226"/>
      <c r="K27" s="766">
        <v>162</v>
      </c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22"/>
      <c r="E28" s="22">
        <v>1216.7</v>
      </c>
      <c r="F28" s="741"/>
      <c r="G28" s="913">
        <v>1021.4</v>
      </c>
      <c r="H28" s="913"/>
      <c r="I28" s="227"/>
      <c r="J28" s="226"/>
      <c r="K28" s="766">
        <v>97.09</v>
      </c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22">
        <v>1064.8</v>
      </c>
      <c r="E29" s="22"/>
      <c r="F29" s="741"/>
      <c r="G29" s="913"/>
      <c r="H29" s="913">
        <v>776.1</v>
      </c>
      <c r="I29" s="227"/>
      <c r="J29" s="226"/>
      <c r="K29" s="766">
        <v>94</v>
      </c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22">
        <v>837.6</v>
      </c>
      <c r="E30" s="22"/>
      <c r="F30" s="741"/>
      <c r="G30" s="913"/>
      <c r="H30" s="913">
        <v>852.48</v>
      </c>
      <c r="I30" s="227"/>
      <c r="J30" s="709"/>
      <c r="K30" s="766">
        <v>112.5</v>
      </c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22"/>
      <c r="E31" s="22">
        <v>648.5</v>
      </c>
      <c r="F31" s="741"/>
      <c r="G31" s="913">
        <v>325</v>
      </c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22"/>
      <c r="E32" s="22">
        <v>799</v>
      </c>
      <c r="F32" s="741"/>
      <c r="G32" s="913">
        <v>272.05</v>
      </c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 t="shared" ref="F33:G33" si="1">COUNT(F2:F32)</f>
        <v>0</v>
      </c>
      <c r="G33" s="248">
        <f t="shared" si="1"/>
        <v>15</v>
      </c>
      <c r="H33" s="248">
        <f>COUNT(H2:H32)</f>
        <v>16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>SUM(D2:D32)</f>
        <v>13152.7</v>
      </c>
      <c r="E34" s="238">
        <f>SUM(E2:E32)</f>
        <v>15563.61</v>
      </c>
      <c r="F34" s="238">
        <f t="shared" ref="F34:I34" si="2">SUM(F2:F32)</f>
        <v>0</v>
      </c>
      <c r="G34" s="238">
        <f>SUM(G2:G32)</f>
        <v>7588.8099999999995</v>
      </c>
      <c r="H34" s="238">
        <f>SUM(H2:H32)</f>
        <v>9495.98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11998.19</v>
      </c>
      <c r="E35" s="238">
        <v>13830.3</v>
      </c>
      <c r="F35" s="238"/>
      <c r="G35" s="238">
        <v>5244.71</v>
      </c>
      <c r="H35" s="238">
        <v>9112.58</v>
      </c>
      <c r="I35" s="238"/>
      <c r="J35" s="12"/>
      <c r="K35" s="292">
        <f>SUM(D2:E32)</f>
        <v>28716.309999999994</v>
      </c>
      <c r="L35" s="292">
        <f>SUM(G2:H32)</f>
        <v>17084.789999999997</v>
      </c>
      <c r="M35" s="454">
        <f>SUM(K2:K32)</f>
        <v>3169.8100000000004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1154.5100000000002</v>
      </c>
      <c r="E36" s="88">
        <f t="shared" si="3"/>
        <v>1733.3100000000013</v>
      </c>
      <c r="F36" s="88">
        <f t="shared" si="3"/>
        <v>0</v>
      </c>
      <c r="G36" s="88">
        <f t="shared" si="3"/>
        <v>2344.0999999999995</v>
      </c>
      <c r="H36" s="88">
        <f t="shared" si="3"/>
        <v>383.39999999999964</v>
      </c>
      <c r="I36" s="88">
        <f t="shared" si="3"/>
        <v>0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11.55</v>
      </c>
      <c r="E37" s="89">
        <f t="shared" si="4"/>
        <v>17.329999999999998</v>
      </c>
      <c r="F37" s="89">
        <f t="shared" si="4"/>
        <v>0</v>
      </c>
      <c r="G37" s="89">
        <f t="shared" si="4"/>
        <v>23.44</v>
      </c>
      <c r="H37" s="89">
        <f>ROUND(H36*1%,2)</f>
        <v>3.83</v>
      </c>
      <c r="I37" s="89">
        <f t="shared" si="4"/>
        <v>0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>ROUND(3%*D35,2)</f>
        <v>359.95</v>
      </c>
      <c r="E38" s="89">
        <f t="shared" ref="E38:I38" si="5">ROUND(3%*E35,2)</f>
        <v>414.91</v>
      </c>
      <c r="F38" s="89">
        <f t="shared" si="5"/>
        <v>0</v>
      </c>
      <c r="G38" s="89">
        <f t="shared" si="5"/>
        <v>157.34</v>
      </c>
      <c r="H38" s="89">
        <f t="shared" si="5"/>
        <v>273.38</v>
      </c>
      <c r="I38" s="89">
        <f t="shared" si="5"/>
        <v>0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hidden="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87">
        <v>40</v>
      </c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/>
      <c r="G40" s="87">
        <f>ROUND(25*G33,2)</f>
        <v>375</v>
      </c>
      <c r="H40" s="88">
        <f>ROUND(25*H33,2)</f>
        <v>400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hidden="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customHeight="1">
      <c r="B42" s="21"/>
      <c r="C42" s="242" t="s">
        <v>48</v>
      </c>
      <c r="D42" s="243"/>
      <c r="E42" s="240">
        <v>100</v>
      </c>
      <c r="F42" s="87"/>
      <c r="G42" s="87">
        <v>450</v>
      </c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2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383.79</v>
      </c>
      <c r="E44" s="456">
        <f>E37+E38+E39+E40-E41-E42</f>
        <v>521.36</v>
      </c>
      <c r="F44" s="456">
        <f>F37+F38+F40</f>
        <v>0</v>
      </c>
      <c r="G44" s="456">
        <f>G37+G38+G40-G42</f>
        <v>105.77999999999997</v>
      </c>
      <c r="H44" s="456">
        <f>H37+H38+H39+H40-H41</f>
        <v>460.12000000000006</v>
      </c>
      <c r="I44" s="456">
        <f>I37+I38+I40</f>
        <v>0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721.5</v>
      </c>
      <c r="E45" s="287">
        <f>E37+E38+E39+E40</f>
        <v>802.24</v>
      </c>
      <c r="F45" s="287">
        <f>F37+F38+F39+F40</f>
        <v>0</v>
      </c>
      <c r="G45" s="287">
        <f>G37+G38+G40</f>
        <v>555.78</v>
      </c>
      <c r="H45" s="287">
        <f>H37+H38+H39+H40</f>
        <v>717.21</v>
      </c>
      <c r="I45" s="287">
        <f>I37+I38+I40</f>
        <v>0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4.1" customHeight="1">
      <c r="B46" s="21"/>
      <c r="C46" s="169"/>
      <c r="D46" s="364"/>
      <c r="E46" s="462"/>
      <c r="F46" s="8">
        <f>E39+E37+E38+E40</f>
        <v>802.24</v>
      </c>
      <c r="G46" s="8"/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91"/>
      <c r="D47" s="1191"/>
      <c r="E47" s="1191"/>
      <c r="F47" s="1191"/>
      <c r="G47" s="1191"/>
      <c r="H47" s="1191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>
        <f>D44+E44</f>
        <v>905.15000000000009</v>
      </c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F49" s="8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50">
        <f>G45+H44</f>
        <v>1015.9000000000001</v>
      </c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27" priority="1">
      <formula>$B2=7</formula>
    </cfRule>
    <cfRule type="expression" dxfId="26" priority="2">
      <formula>$B2=6</formula>
    </cfRule>
  </conditionalFormatting>
  <pageMargins left="0.7" right="0.7" top="0.75" bottom="0.75" header="0.3" footer="0.3"/>
  <pageSetup paperSize="11" scale="5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topLeftCell="A49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413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956"/>
      <c r="O2" s="954"/>
      <c r="P2" s="954"/>
      <c r="Q2" s="954"/>
      <c r="R2" s="366"/>
      <c r="S2" s="954"/>
      <c r="T2" s="954"/>
      <c r="U2" s="95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956"/>
      <c r="O3" s="366"/>
      <c r="P3" s="366"/>
      <c r="Q3" s="366"/>
      <c r="R3" s="366"/>
      <c r="S3" s="366"/>
      <c r="T3" s="366"/>
      <c r="U3" s="366"/>
      <c r="V3" s="954"/>
      <c r="W3" s="954"/>
      <c r="X3" s="366"/>
      <c r="Y3" s="954"/>
      <c r="Z3" s="668"/>
      <c r="AA3" s="366"/>
      <c r="AB3" s="366"/>
      <c r="AC3" s="366"/>
      <c r="AD3" s="95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52" t="s">
        <v>34</v>
      </c>
      <c r="C4" s="36" t="s">
        <v>35</v>
      </c>
      <c r="D4" s="36" t="s">
        <v>38</v>
      </c>
      <c r="E4" s="36" t="s">
        <v>42</v>
      </c>
      <c r="F4" s="952" t="s">
        <v>36</v>
      </c>
      <c r="G4" s="100" t="s">
        <v>173</v>
      </c>
      <c r="H4" s="715" t="s">
        <v>2</v>
      </c>
      <c r="I4" s="1234" t="s">
        <v>34</v>
      </c>
      <c r="J4" s="1234"/>
      <c r="K4" s="958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44077</v>
      </c>
      <c r="B5" s="307" t="s">
        <v>221</v>
      </c>
      <c r="C5" s="275">
        <v>279.14</v>
      </c>
      <c r="D5" s="275">
        <v>279.14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44096</v>
      </c>
      <c r="B6" s="161" t="s">
        <v>354</v>
      </c>
      <c r="C6" s="275">
        <v>641.59</v>
      </c>
      <c r="D6" s="275">
        <v>641.59</v>
      </c>
      <c r="E6" s="576" t="str">
        <f t="shared" si="0"/>
        <v/>
      </c>
      <c r="F6" s="162" t="str">
        <f t="shared" si="1"/>
        <v>оплачено</v>
      </c>
      <c r="G6" s="162" t="s">
        <v>131</v>
      </c>
      <c r="H6" s="717"/>
      <c r="I6" s="1244"/>
      <c r="J6" s="1245"/>
      <c r="K6" s="481"/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>
        <v>44083</v>
      </c>
      <c r="B7" s="161" t="s">
        <v>382</v>
      </c>
      <c r="C7" s="275">
        <v>349.2</v>
      </c>
      <c r="D7" s="275">
        <v>349.2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44076</v>
      </c>
      <c r="B8" s="161" t="s">
        <v>257</v>
      </c>
      <c r="C8" s="275">
        <v>301.8</v>
      </c>
      <c r="D8" s="275">
        <v>301.8</v>
      </c>
      <c r="E8" s="576" t="str">
        <f t="shared" si="0"/>
        <v/>
      </c>
      <c r="F8" s="162" t="str">
        <f t="shared" si="1"/>
        <v>оплачено</v>
      </c>
      <c r="G8" s="276" t="s">
        <v>219</v>
      </c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44076</v>
      </c>
      <c r="B9" s="161" t="s">
        <v>205</v>
      </c>
      <c r="C9" s="275">
        <v>39.58</v>
      </c>
      <c r="D9" s="275">
        <v>39.58</v>
      </c>
      <c r="E9" s="576" t="str">
        <f t="shared" si="0"/>
        <v/>
      </c>
      <c r="F9" s="162" t="str">
        <f t="shared" si="1"/>
        <v>оплачено</v>
      </c>
      <c r="G9" s="276" t="s">
        <v>219</v>
      </c>
      <c r="H9" s="717"/>
      <c r="I9" s="1244"/>
      <c r="J9" s="1245"/>
      <c r="K9" s="481"/>
      <c r="L9" s="1248"/>
      <c r="M9" s="1249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44076</v>
      </c>
      <c r="B10" s="161" t="s">
        <v>382</v>
      </c>
      <c r="C10" s="275">
        <v>554.08000000000004</v>
      </c>
      <c r="D10" s="275">
        <v>554.08000000000004</v>
      </c>
      <c r="E10" s="576" t="str">
        <f t="shared" si="0"/>
        <v/>
      </c>
      <c r="F10" s="162" t="str">
        <f t="shared" si="1"/>
        <v>оплачено</v>
      </c>
      <c r="G10" s="276" t="s">
        <v>219</v>
      </c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44095</v>
      </c>
      <c r="B11" s="161" t="s">
        <v>155</v>
      </c>
      <c r="C11" s="669">
        <v>214.5</v>
      </c>
      <c r="D11" s="275">
        <v>214.5</v>
      </c>
      <c r="E11" s="576" t="str">
        <f t="shared" si="0"/>
        <v/>
      </c>
      <c r="F11" s="162" t="str">
        <f t="shared" si="1"/>
        <v>оплачено</v>
      </c>
      <c r="G11" s="161"/>
      <c r="H11" s="717"/>
      <c r="I11" s="1244"/>
      <c r="J11" s="1245"/>
      <c r="K11" s="481"/>
      <c r="L11" s="1183"/>
      <c r="M11" s="124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44"/>
      <c r="J12" s="1245"/>
      <c r="K12" s="481"/>
      <c r="L12" s="1183"/>
      <c r="M12" s="124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2379.89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955" t="s">
        <v>21</v>
      </c>
      <c r="K22" s="955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>M33-I34-J34-K34+L34</f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646" t="s">
        <v>148</v>
      </c>
      <c r="I35" s="661">
        <v>26800.16</v>
      </c>
      <c r="J35" s="648">
        <f>4+53+32.5+311.5+375+214+61.3+1914+130.5+597.5+16.8+2.5+2148.5+28+491+24</f>
        <v>6404.1</v>
      </c>
      <c r="K35" s="649">
        <f>835.3+489.85</f>
        <v>1325.15</v>
      </c>
      <c r="L35" s="981">
        <f>3255+623+28+192+21+427+2680+9605+4070+1513+315+1563.5+1878+808.5+417+35+1146+2886+540+1020+66+1156+773.5+396+2643.5+1976+588+375+1850.5</f>
        <v>42847.5</v>
      </c>
      <c r="M35" s="104">
        <f>M34-I35-J35-K35+L35</f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152" t="s">
        <v>36</v>
      </c>
      <c r="I36" s="1154" t="s">
        <v>178</v>
      </c>
      <c r="J36" s="1155"/>
      <c r="K36" s="1156"/>
      <c r="L36" s="1160" t="s">
        <v>159</v>
      </c>
      <c r="M36" s="1160"/>
      <c r="N36" s="786" t="s">
        <v>370</v>
      </c>
      <c r="O36" s="448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153"/>
      <c r="I37" s="1157"/>
      <c r="J37" s="1158"/>
      <c r="K37" s="1159"/>
      <c r="L37" s="1162"/>
      <c r="M37" s="1162"/>
      <c r="N37" s="787" t="s">
        <v>189</v>
      </c>
      <c r="O37" s="448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403</v>
      </c>
      <c r="I38" s="1231" t="s">
        <v>47</v>
      </c>
      <c r="J38" s="1231"/>
      <c r="K38" s="958">
        <v>328.13</v>
      </c>
      <c r="L38" s="282">
        <v>44089</v>
      </c>
      <c r="M38" s="1" t="s">
        <v>412</v>
      </c>
      <c r="N38" s="788">
        <v>132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403</v>
      </c>
      <c r="I39" s="1229" t="s">
        <v>51</v>
      </c>
      <c r="J39" s="1229"/>
      <c r="K39" s="957">
        <v>71.83</v>
      </c>
      <c r="L39" s="282">
        <v>44027</v>
      </c>
      <c r="M39" s="1" t="s">
        <v>412</v>
      </c>
      <c r="N39" s="789">
        <v>40</v>
      </c>
      <c r="O39" s="448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403</v>
      </c>
      <c r="I40" s="1229" t="s">
        <v>52</v>
      </c>
      <c r="J40" s="1229"/>
      <c r="K40" s="957">
        <v>5.63</v>
      </c>
      <c r="L40" s="282">
        <v>44027</v>
      </c>
      <c r="M40" s="1" t="s">
        <v>412</v>
      </c>
      <c r="N40" s="789">
        <v>3</v>
      </c>
      <c r="O40" s="448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403</v>
      </c>
      <c r="I41" s="1229" t="s">
        <v>49</v>
      </c>
      <c r="J41" s="1248"/>
      <c r="K41" s="979">
        <v>314</v>
      </c>
      <c r="L41" s="294">
        <v>44094</v>
      </c>
      <c r="M41" s="1" t="s">
        <v>411</v>
      </c>
      <c r="N41" s="788">
        <v>200</v>
      </c>
      <c r="O41" s="448"/>
      <c r="P41" s="947"/>
      <c r="Q41" s="366"/>
      <c r="R41" s="954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403</v>
      </c>
      <c r="I42" s="1230" t="s">
        <v>59</v>
      </c>
      <c r="J42" s="1218"/>
      <c r="K42" s="455">
        <v>506.85</v>
      </c>
      <c r="L42" s="302" t="s">
        <v>177</v>
      </c>
      <c r="M42" s="1" t="s">
        <v>412</v>
      </c>
      <c r="N42" s="790">
        <v>102.73</v>
      </c>
      <c r="O42" s="448"/>
      <c r="P42" s="685"/>
      <c r="Q42" s="449"/>
      <c r="R42" s="567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403</v>
      </c>
      <c r="I43" s="1218" t="s">
        <v>68</v>
      </c>
      <c r="J43" s="1259"/>
      <c r="K43" s="979">
        <v>250.35</v>
      </c>
      <c r="L43" s="282">
        <v>44094</v>
      </c>
      <c r="M43" s="1" t="s">
        <v>412</v>
      </c>
      <c r="N43" s="790">
        <f>K43/2</f>
        <v>125.175</v>
      </c>
      <c r="O43" s="448"/>
      <c r="P43" s="682"/>
      <c r="Q43" s="954"/>
      <c r="R43" s="954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403</v>
      </c>
      <c r="I44" s="959" t="s">
        <v>174</v>
      </c>
      <c r="J44" s="982"/>
      <c r="K44" s="476">
        <f>337.71+180.88</f>
        <v>518.58999999999992</v>
      </c>
      <c r="L44" s="282">
        <v>44089</v>
      </c>
      <c r="M44" s="1" t="s">
        <v>412</v>
      </c>
      <c r="N44" s="791">
        <f>K44</f>
        <v>518.58999999999992</v>
      </c>
      <c r="O44" s="12"/>
      <c r="P44" s="682"/>
      <c r="Q44" s="954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385</v>
      </c>
      <c r="I45" s="959" t="s">
        <v>176</v>
      </c>
      <c r="J45" s="982"/>
      <c r="K45" s="455" t="s">
        <v>385</v>
      </c>
      <c r="L45" s="282">
        <v>44094</v>
      </c>
      <c r="M45" s="1" t="s">
        <v>412</v>
      </c>
      <c r="N45" s="789" t="str">
        <f>K45</f>
        <v>НЕТ</v>
      </c>
      <c r="O45" s="127"/>
      <c r="P45" s="449"/>
      <c r="Q45" s="954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403</v>
      </c>
      <c r="I46" s="1218" t="s">
        <v>81</v>
      </c>
      <c r="J46" s="1219"/>
      <c r="K46" s="957">
        <v>1582.2</v>
      </c>
      <c r="L46" s="282">
        <v>44089</v>
      </c>
      <c r="M46" s="1" t="s">
        <v>412</v>
      </c>
      <c r="N46" s="789">
        <f>K46/2</f>
        <v>791.1</v>
      </c>
      <c r="O46" s="145"/>
      <c r="P46" s="84"/>
      <c r="Q46" s="84"/>
      <c r="R46" s="84"/>
      <c r="S46" s="84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410</v>
      </c>
      <c r="I47" s="1218" t="s">
        <v>181</v>
      </c>
      <c r="J47" s="1219"/>
      <c r="K47" s="957">
        <v>10</v>
      </c>
      <c r="L47" s="282">
        <v>44089</v>
      </c>
      <c r="M47" s="1" t="s">
        <v>412</v>
      </c>
      <c r="N47" s="791">
        <f>K47</f>
        <v>10</v>
      </c>
      <c r="O47" s="127"/>
      <c r="P47" s="145"/>
      <c r="Q47" s="954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403</v>
      </c>
      <c r="I48" s="1146" t="s">
        <v>61</v>
      </c>
      <c r="J48" s="1146"/>
      <c r="K48" s="482">
        <v>1191.3800000000001</v>
      </c>
      <c r="L48" s="282">
        <v>44094</v>
      </c>
      <c r="M48" s="1" t="s">
        <v>412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403</v>
      </c>
      <c r="I49" s="1146" t="s">
        <v>298</v>
      </c>
      <c r="J49" s="1146"/>
      <c r="K49" s="93">
        <v>73</v>
      </c>
      <c r="L49" s="282">
        <v>44094</v>
      </c>
      <c r="M49" s="1" t="s">
        <v>412</v>
      </c>
      <c r="N49" s="788">
        <v>40</v>
      </c>
      <c r="P49" s="145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403</v>
      </c>
      <c r="I50" s="1146" t="s">
        <v>299</v>
      </c>
      <c r="J50" s="1146"/>
      <c r="K50" s="93">
        <v>50</v>
      </c>
      <c r="L50" s="282">
        <v>44089</v>
      </c>
      <c r="M50" s="1" t="s">
        <v>412</v>
      </c>
      <c r="N50" s="789">
        <v>50</v>
      </c>
      <c r="P50" s="145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403</v>
      </c>
      <c r="I51" s="1146" t="s">
        <v>300</v>
      </c>
      <c r="J51" s="1146"/>
      <c r="K51" s="93">
        <v>150</v>
      </c>
      <c r="L51" s="282">
        <v>44104</v>
      </c>
      <c r="M51" s="1" t="s">
        <v>412</v>
      </c>
      <c r="N51" s="789">
        <v>150</v>
      </c>
      <c r="O51" s="12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403</v>
      </c>
      <c r="I52" s="1146" t="s">
        <v>325</v>
      </c>
      <c r="J52" s="1146"/>
      <c r="K52" s="93">
        <v>18</v>
      </c>
      <c r="L52" s="282">
        <v>44089</v>
      </c>
      <c r="M52" s="1" t="s">
        <v>412</v>
      </c>
      <c r="N52" s="790">
        <v>9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403</v>
      </c>
      <c r="I53" s="1150" t="s">
        <v>374</v>
      </c>
      <c r="J53" s="1151"/>
      <c r="K53" s="145">
        <v>972.2</v>
      </c>
      <c r="L53" s="282">
        <v>44104</v>
      </c>
      <c r="M53" s="1" t="s">
        <v>412</v>
      </c>
      <c r="N53" s="810">
        <f>K53</f>
        <v>972.2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257" t="s">
        <v>179</v>
      </c>
      <c r="I54" s="1237"/>
      <c r="J54" s="361">
        <f>SUM(K38:K53)</f>
        <v>6042.16</v>
      </c>
      <c r="K54" s="1147" t="s">
        <v>180</v>
      </c>
      <c r="L54" s="1147"/>
      <c r="M54" s="785">
        <v>0</v>
      </c>
      <c r="N54" s="792">
        <f>SUM(N38:N53)</f>
        <v>3143.7950000000001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210"/>
      <c r="I55" s="1210"/>
      <c r="J55" s="1210"/>
      <c r="K55" s="1210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211" t="s">
        <v>414</v>
      </c>
      <c r="B56" s="1211"/>
      <c r="C56" s="1211"/>
      <c r="D56" s="1211"/>
      <c r="E56" s="1211"/>
      <c r="F56" s="1211"/>
      <c r="G56" s="1211"/>
      <c r="H56" s="1211"/>
      <c r="I56" s="1211"/>
      <c r="J56" s="1211"/>
      <c r="K56" s="1211"/>
      <c r="L56" s="1211"/>
      <c r="M56" s="1211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212"/>
      <c r="B57" s="1212"/>
      <c r="C57" s="1212"/>
      <c r="D57" s="1212"/>
      <c r="E57" s="1212"/>
      <c r="F57" s="1212"/>
      <c r="G57" s="1212"/>
      <c r="H57" s="1212"/>
      <c r="I57" s="1212"/>
      <c r="J57" s="1212"/>
      <c r="K57" s="1212"/>
      <c r="L57" s="1212"/>
      <c r="M57" s="1212"/>
      <c r="N57" s="1"/>
      <c r="P57" s="449"/>
      <c r="Q57" s="365"/>
      <c r="R57" s="365"/>
      <c r="S57" s="954"/>
      <c r="T57" s="366"/>
      <c r="U57" s="366"/>
      <c r="V57" s="366"/>
      <c r="W57" s="366"/>
      <c r="X57" s="366"/>
    </row>
    <row r="58" spans="1:25" ht="15.75" thickTop="1">
      <c r="A58" s="1220" t="s">
        <v>346</v>
      </c>
      <c r="B58" s="1166"/>
      <c r="C58" s="1166"/>
      <c r="D58" s="1166"/>
      <c r="E58" s="1166"/>
      <c r="F58" s="1166"/>
      <c r="G58" s="1167"/>
      <c r="H58" s="1250" t="s">
        <v>345</v>
      </c>
      <c r="I58" s="1251"/>
      <c r="J58" s="1251"/>
      <c r="K58" s="1251"/>
      <c r="L58" s="1251"/>
      <c r="M58" s="1252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952" t="s">
        <v>34</v>
      </c>
      <c r="C59" s="36" t="s">
        <v>35</v>
      </c>
      <c r="D59" s="36" t="s">
        <v>38</v>
      </c>
      <c r="E59" s="36" t="s">
        <v>42</v>
      </c>
      <c r="F59" s="952" t="s">
        <v>36</v>
      </c>
      <c r="G59" s="100" t="s">
        <v>173</v>
      </c>
      <c r="H59" s="715" t="s">
        <v>2</v>
      </c>
      <c r="I59" s="1234" t="s">
        <v>34</v>
      </c>
      <c r="J59" s="1234"/>
      <c r="K59" s="958" t="s">
        <v>35</v>
      </c>
      <c r="L59" s="1253" t="s">
        <v>173</v>
      </c>
      <c r="M59" s="1254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44067</v>
      </c>
      <c r="B60" s="161" t="s">
        <v>263</v>
      </c>
      <c r="C60" s="275">
        <v>410.07</v>
      </c>
      <c r="D60" s="275">
        <f>200+210.07</f>
        <v>410.07</v>
      </c>
      <c r="E60" s="1006" t="str">
        <f t="shared" ref="E60:E75" si="3">IF(C60-D60=0,"",C60-D60)</f>
        <v/>
      </c>
      <c r="F60" s="162" t="str">
        <f t="shared" ref="F60:F75" si="4">IF(C60=0,"",IF(C60-D60=0,"оплачено","ОЖИДАЕТСЯ оплата"))</f>
        <v>оплачено</v>
      </c>
      <c r="G60" s="162"/>
      <c r="H60" s="325"/>
      <c r="I60" s="1244"/>
      <c r="J60" s="1245"/>
      <c r="K60" s="481"/>
      <c r="L60" s="1246"/>
      <c r="M60" s="1247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44075</v>
      </c>
      <c r="B61" s="161" t="s">
        <v>396</v>
      </c>
      <c r="C61" s="275">
        <v>962.08</v>
      </c>
      <c r="D61" s="275">
        <v>962.08</v>
      </c>
      <c r="E61" s="576" t="str">
        <f t="shared" si="3"/>
        <v/>
      </c>
      <c r="F61" s="162" t="str">
        <f t="shared" si="4"/>
        <v>оплачено</v>
      </c>
      <c r="G61" s="162"/>
      <c r="H61" s="717"/>
      <c r="I61" s="1244"/>
      <c r="J61" s="1245"/>
      <c r="K61" s="481"/>
      <c r="L61" s="1246"/>
      <c r="M61" s="1247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44091</v>
      </c>
      <c r="B62" s="161" t="s">
        <v>396</v>
      </c>
      <c r="C62" s="275">
        <v>848.68</v>
      </c>
      <c r="D62" s="275">
        <v>848.68</v>
      </c>
      <c r="E62" s="576" t="str">
        <f t="shared" si="3"/>
        <v/>
      </c>
      <c r="F62" s="162" t="str">
        <f t="shared" si="4"/>
        <v>оплачено</v>
      </c>
      <c r="G62" s="162"/>
      <c r="H62" s="717"/>
      <c r="I62" s="1244"/>
      <c r="J62" s="1245"/>
      <c r="K62" s="481"/>
      <c r="L62" s="1248"/>
      <c r="M62" s="1249"/>
      <c r="N62" s="1"/>
      <c r="P62" s="449"/>
      <c r="T62" s="366"/>
      <c r="U62" s="366"/>
    </row>
    <row r="63" spans="1:25">
      <c r="A63" s="977">
        <v>44091</v>
      </c>
      <c r="B63" s="276" t="s">
        <v>336</v>
      </c>
      <c r="C63" s="669">
        <v>280.25</v>
      </c>
      <c r="D63" s="669">
        <v>280.25</v>
      </c>
      <c r="E63" s="978" t="str">
        <f t="shared" si="3"/>
        <v/>
      </c>
      <c r="F63" s="276" t="str">
        <f t="shared" si="4"/>
        <v>оплачено</v>
      </c>
      <c r="G63" s="276" t="s">
        <v>424</v>
      </c>
      <c r="H63" s="717"/>
      <c r="I63" s="1244"/>
      <c r="J63" s="1245"/>
      <c r="K63" s="481"/>
      <c r="L63" s="1248"/>
      <c r="M63" s="1249"/>
      <c r="N63" s="1"/>
      <c r="P63" s="449"/>
      <c r="U63" s="366"/>
    </row>
    <row r="64" spans="1:25">
      <c r="A64" s="325">
        <v>44097</v>
      </c>
      <c r="B64" s="161" t="s">
        <v>212</v>
      </c>
      <c r="C64" s="1049">
        <v>439.24</v>
      </c>
      <c r="D64" s="531">
        <v>439.24</v>
      </c>
      <c r="E64" s="576" t="str">
        <f t="shared" si="3"/>
        <v/>
      </c>
      <c r="F64" s="162" t="str">
        <f t="shared" si="4"/>
        <v>оплачено</v>
      </c>
      <c r="G64" s="162"/>
      <c r="H64" s="717"/>
      <c r="I64" s="1244"/>
      <c r="J64" s="1245"/>
      <c r="K64" s="481"/>
      <c r="L64" s="1248"/>
      <c r="M64" s="1249"/>
      <c r="N64" s="1"/>
      <c r="P64" s="571"/>
      <c r="U64" s="366"/>
    </row>
    <row r="65" spans="1:21">
      <c r="A65" s="325">
        <v>44095</v>
      </c>
      <c r="B65" s="161" t="s">
        <v>155</v>
      </c>
      <c r="C65" s="275">
        <v>58.5</v>
      </c>
      <c r="D65" s="275">
        <v>58.5</v>
      </c>
      <c r="E65" s="576" t="str">
        <f t="shared" si="3"/>
        <v/>
      </c>
      <c r="F65" s="162" t="str">
        <f t="shared" si="4"/>
        <v>оплачено</v>
      </c>
      <c r="G65" s="162"/>
      <c r="H65" s="717"/>
      <c r="I65" s="1244"/>
      <c r="J65" s="1245"/>
      <c r="K65" s="481"/>
      <c r="L65" s="1248"/>
      <c r="M65" s="1249"/>
      <c r="N65" s="1"/>
      <c r="P65" s="86"/>
      <c r="U65" s="366"/>
    </row>
    <row r="66" spans="1:21" ht="14.45" customHeight="1">
      <c r="A66" s="325">
        <v>44097</v>
      </c>
      <c r="B66" s="307" t="s">
        <v>221</v>
      </c>
      <c r="C66" s="951">
        <v>346.09</v>
      </c>
      <c r="D66" s="951">
        <v>346.09</v>
      </c>
      <c r="E66" s="576" t="str">
        <f t="shared" si="3"/>
        <v/>
      </c>
      <c r="F66" s="162" t="str">
        <f t="shared" si="4"/>
        <v>оплачено</v>
      </c>
      <c r="G66" s="162"/>
      <c r="H66" s="717"/>
      <c r="I66" s="1244"/>
      <c r="J66" s="1245"/>
      <c r="K66" s="481"/>
      <c r="L66" s="1183"/>
      <c r="M66" s="1241"/>
      <c r="N66" s="1"/>
      <c r="P66" s="86"/>
    </row>
    <row r="67" spans="1:21" ht="14.45" customHeight="1">
      <c r="A67" s="325">
        <v>44102</v>
      </c>
      <c r="B67" s="161" t="s">
        <v>336</v>
      </c>
      <c r="C67" s="669">
        <v>531.75</v>
      </c>
      <c r="D67" s="275">
        <v>531.75</v>
      </c>
      <c r="E67" s="576" t="str">
        <f t="shared" si="3"/>
        <v/>
      </c>
      <c r="F67" s="162" t="str">
        <f t="shared" si="4"/>
        <v>оплачено</v>
      </c>
      <c r="G67" s="162"/>
      <c r="H67" s="717" t="str">
        <f t="shared" ref="H67:I75" si="5">IF(S11="","",S11)</f>
        <v/>
      </c>
      <c r="I67" s="1244"/>
      <c r="J67" s="1245"/>
      <c r="K67" s="481"/>
      <c r="L67" s="1183"/>
      <c r="M67" s="1241"/>
      <c r="N67" s="1"/>
    </row>
    <row r="68" spans="1:21" ht="14.45" customHeight="1">
      <c r="A68" s="325">
        <v>44098</v>
      </c>
      <c r="B68" s="161" t="s">
        <v>382</v>
      </c>
      <c r="C68" s="669">
        <v>489.38</v>
      </c>
      <c r="D68" s="275">
        <v>489.38</v>
      </c>
      <c r="E68" s="576" t="str">
        <f t="shared" si="3"/>
        <v/>
      </c>
      <c r="F68" s="162" t="str">
        <f t="shared" si="4"/>
        <v>оплачено</v>
      </c>
      <c r="G68" s="162"/>
      <c r="H68" s="717" t="str">
        <f t="shared" si="5"/>
        <v/>
      </c>
      <c r="I68" s="1244" t="str">
        <f t="shared" si="5"/>
        <v/>
      </c>
      <c r="J68" s="1245"/>
      <c r="K68" s="481" t="str">
        <f t="shared" ref="K68:K75" si="6">IF(U12="","",U12)</f>
        <v/>
      </c>
      <c r="L68" s="1183"/>
      <c r="M68" s="1241"/>
      <c r="N68" s="1"/>
      <c r="O68" s="366"/>
    </row>
    <row r="69" spans="1:21">
      <c r="A69" s="325">
        <v>44096</v>
      </c>
      <c r="B69" s="161" t="s">
        <v>382</v>
      </c>
      <c r="C69" s="669">
        <v>233.93</v>
      </c>
      <c r="D69" s="275">
        <v>233.93</v>
      </c>
      <c r="E69" s="576" t="str">
        <f t="shared" si="3"/>
        <v/>
      </c>
      <c r="F69" s="162" t="str">
        <f t="shared" si="4"/>
        <v>оплачено</v>
      </c>
      <c r="G69" s="162"/>
      <c r="H69" s="717" t="str">
        <f t="shared" si="5"/>
        <v/>
      </c>
      <c r="I69" s="1244" t="str">
        <f t="shared" si="5"/>
        <v/>
      </c>
      <c r="J69" s="1245"/>
      <c r="K69" s="481" t="str">
        <f t="shared" si="6"/>
        <v/>
      </c>
      <c r="L69" s="1183"/>
      <c r="M69" s="1241"/>
      <c r="N69" s="150"/>
      <c r="O69" s="366"/>
    </row>
    <row r="70" spans="1:21" s="86" customFormat="1">
      <c r="A70" s="325"/>
      <c r="B70" s="161"/>
      <c r="C70" s="275"/>
      <c r="D70" s="275"/>
      <c r="E70" s="576" t="str">
        <f t="shared" si="3"/>
        <v/>
      </c>
      <c r="F70" s="162" t="str">
        <f t="shared" si="4"/>
        <v/>
      </c>
      <c r="G70" s="162"/>
      <c r="H70" s="717" t="str">
        <f t="shared" si="5"/>
        <v/>
      </c>
      <c r="I70" s="1244" t="str">
        <f t="shared" si="5"/>
        <v/>
      </c>
      <c r="J70" s="1245"/>
      <c r="K70" s="481" t="str">
        <f t="shared" si="6"/>
        <v/>
      </c>
      <c r="L70" s="1248"/>
      <c r="M70" s="1249"/>
      <c r="N70" s="366"/>
      <c r="O70" s="84"/>
      <c r="P70" s="1"/>
      <c r="Q70" s="35"/>
      <c r="T70" s="35"/>
      <c r="U70" s="35"/>
    </row>
    <row r="71" spans="1:21">
      <c r="A71" s="325"/>
      <c r="B71" s="161"/>
      <c r="C71" s="275"/>
      <c r="D71" s="974"/>
      <c r="E71" s="576" t="str">
        <f t="shared" si="3"/>
        <v/>
      </c>
      <c r="F71" s="162" t="str">
        <f t="shared" si="4"/>
        <v/>
      </c>
      <c r="G71" s="162"/>
      <c r="H71" s="717" t="str">
        <f t="shared" si="5"/>
        <v/>
      </c>
      <c r="I71" s="1244" t="str">
        <f t="shared" si="5"/>
        <v/>
      </c>
      <c r="J71" s="1245"/>
      <c r="K71" s="481" t="str">
        <f t="shared" si="6"/>
        <v/>
      </c>
      <c r="L71" s="1183"/>
      <c r="M71" s="1241"/>
      <c r="N71" s="150"/>
      <c r="O71" s="366"/>
      <c r="P71" s="1"/>
      <c r="T71" s="86"/>
    </row>
    <row r="72" spans="1:21">
      <c r="A72" s="325"/>
      <c r="B72" s="161"/>
      <c r="C72" s="275"/>
      <c r="D72" s="275"/>
      <c r="E72" s="576" t="str">
        <f t="shared" si="3"/>
        <v/>
      </c>
      <c r="F72" s="162" t="str">
        <f t="shared" si="4"/>
        <v/>
      </c>
      <c r="G72" s="162"/>
      <c r="H72" s="717" t="str">
        <f t="shared" si="5"/>
        <v/>
      </c>
      <c r="I72" s="1244" t="str">
        <f t="shared" si="5"/>
        <v/>
      </c>
      <c r="J72" s="1245"/>
      <c r="K72" s="481" t="str">
        <f t="shared" si="6"/>
        <v/>
      </c>
      <c r="L72" s="1183"/>
      <c r="M72" s="1241"/>
      <c r="N72" s="1"/>
      <c r="O72" s="84"/>
      <c r="P72" s="366"/>
    </row>
    <row r="73" spans="1:21">
      <c r="A73" s="325"/>
      <c r="B73" s="161"/>
      <c r="C73" s="275"/>
      <c r="D73" s="275"/>
      <c r="E73" s="576" t="str">
        <f t="shared" si="3"/>
        <v/>
      </c>
      <c r="F73" s="162" t="str">
        <f t="shared" si="4"/>
        <v/>
      </c>
      <c r="G73" s="162"/>
      <c r="H73" s="717" t="str">
        <f t="shared" si="5"/>
        <v/>
      </c>
      <c r="I73" s="1244" t="str">
        <f t="shared" si="5"/>
        <v/>
      </c>
      <c r="J73" s="1245"/>
      <c r="K73" s="481" t="str">
        <f t="shared" si="6"/>
        <v/>
      </c>
      <c r="L73" s="1183"/>
      <c r="M73" s="1241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3"/>
        <v/>
      </c>
      <c r="F74" s="162" t="str">
        <f t="shared" si="4"/>
        <v/>
      </c>
      <c r="G74" s="162"/>
      <c r="H74" s="717" t="str">
        <f t="shared" si="5"/>
        <v/>
      </c>
      <c r="I74" s="1244" t="str">
        <f t="shared" si="5"/>
        <v/>
      </c>
      <c r="J74" s="1245"/>
      <c r="K74" s="481" t="str">
        <f t="shared" si="6"/>
        <v/>
      </c>
      <c r="L74" s="1183"/>
      <c r="M74" s="1241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3"/>
        <v/>
      </c>
      <c r="F75" s="162" t="str">
        <f t="shared" si="4"/>
        <v/>
      </c>
      <c r="G75" s="162"/>
      <c r="H75" s="717" t="str">
        <f t="shared" si="5"/>
        <v/>
      </c>
      <c r="I75" s="1244" t="str">
        <f t="shared" si="5"/>
        <v/>
      </c>
      <c r="J75" s="1245"/>
      <c r="K75" s="481" t="str">
        <f t="shared" si="6"/>
        <v/>
      </c>
      <c r="L75" s="1183"/>
      <c r="M75" s="1241"/>
      <c r="N75" s="1"/>
      <c r="O75" s="84"/>
    </row>
    <row r="76" spans="1:21" ht="15.75" thickBot="1">
      <c r="A76" s="1221" t="s">
        <v>259</v>
      </c>
      <c r="B76" s="1222"/>
      <c r="C76" s="358">
        <f>SUM(C60:C75)</f>
        <v>4599.97</v>
      </c>
      <c r="D76" s="358"/>
      <c r="E76" s="576">
        <f>SUM(E60:E75)</f>
        <v>0</v>
      </c>
      <c r="F76" s="162"/>
      <c r="G76" s="451"/>
      <c r="H76" s="1238" t="s">
        <v>259</v>
      </c>
      <c r="I76" s="1239"/>
      <c r="J76" s="1240"/>
      <c r="K76" s="716">
        <f>SUM(K60:K75)</f>
        <v>0</v>
      </c>
      <c r="L76" s="1242"/>
      <c r="M76" s="1243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168" t="s">
        <v>16</v>
      </c>
      <c r="I77" s="1170" t="s">
        <v>17</v>
      </c>
      <c r="J77" s="1170" t="s">
        <v>21</v>
      </c>
      <c r="K77" s="1170"/>
      <c r="L77" s="1172" t="s">
        <v>93</v>
      </c>
      <c r="M77" s="1174" t="s">
        <v>95</v>
      </c>
      <c r="N77" s="1"/>
      <c r="O77" s="84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69"/>
      <c r="I78" s="1171"/>
      <c r="J78" s="955" t="s">
        <v>21</v>
      </c>
      <c r="K78" s="955" t="s">
        <v>25</v>
      </c>
      <c r="L78" s="1173"/>
      <c r="M78" s="1175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956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18</v>
      </c>
      <c r="I86" s="728">
        <v>14474.099999999999</v>
      </c>
      <c r="J86" s="438">
        <v>947.5</v>
      </c>
      <c r="K86" s="733">
        <v>526.15</v>
      </c>
      <c r="L86" s="645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79" t="s">
        <v>19</v>
      </c>
      <c r="I87" s="660">
        <v>17170.439999999999</v>
      </c>
      <c r="J87" s="432">
        <v>3911.3</v>
      </c>
      <c r="K87" s="687">
        <f>21.5+122.1+41.6+353.89+95.92+8.2</f>
        <v>643.20999999999992</v>
      </c>
      <c r="L87" s="660">
        <f>660+513.5+514+683.5+535+212+2085+763+334+208+378+75+60+44+972+347+1461+81+303+363+12+44+73+133+667+281+234+225+789+767+1661+682+2828+477.5+365+873.5+390+553</f>
        <v>21647</v>
      </c>
      <c r="M87" s="104">
        <f>M86-I87-J87-K87+L87</f>
        <v>41142.449999999997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47" t="s">
        <v>20</v>
      </c>
      <c r="I88" s="728">
        <v>17084.789999999997</v>
      </c>
      <c r="J88" s="438">
        <v>1384.5</v>
      </c>
      <c r="K88" s="733">
        <f>231.74+381.32</f>
        <v>613.05999999999995</v>
      </c>
      <c r="L88" s="728">
        <f>861.5+275+194+301.5+390+1883.5+794+563+1402.5+380+670+229.5+35+275+150.5+18+76+68+310+1078+448+706+130+132+120+2048+130.5+296+608+1835+355+214.5+280+60+684+606</f>
        <v>18608</v>
      </c>
      <c r="M88" s="772">
        <v>43441.55</v>
      </c>
      <c r="N88" s="84"/>
      <c r="O88" s="366"/>
      <c r="P88" s="685"/>
      <c r="Q88" s="742"/>
      <c r="R88" s="86">
        <v>2</v>
      </c>
      <c r="T88" s="35">
        <v>3</v>
      </c>
      <c r="V88" s="1"/>
    </row>
    <row r="89" spans="1:26" ht="15.75" thickBot="1">
      <c r="A89" s="339"/>
      <c r="B89" s="199"/>
      <c r="C89" s="1"/>
      <c r="D89" s="273"/>
      <c r="E89" s="366"/>
      <c r="F89" s="366"/>
      <c r="G89" s="366"/>
      <c r="H89" s="379" t="s">
        <v>148</v>
      </c>
      <c r="I89" s="660">
        <v>16010.099999999999</v>
      </c>
      <c r="J89" s="432">
        <f>16+65+35+15+24+192+4.6+315+19+6+29+4+35+35+15+160</f>
        <v>969.6</v>
      </c>
      <c r="K89" s="687">
        <f>318.55+297.05</f>
        <v>615.6</v>
      </c>
      <c r="L89" s="660">
        <f>2329.5+560+1456+491+2680+2008+1170+1743+283+1122+2144+623+348+597.5+612+1914+48.5+1270+194+20+375+514.5+108+1502+669+441+33+712+828+1156+829+50</f>
        <v>28831</v>
      </c>
      <c r="M89" s="382">
        <f>M88-I89-J89-K89+L89</f>
        <v>54677.250000000007</v>
      </c>
      <c r="N89" s="84"/>
      <c r="O89" s="366"/>
      <c r="P89" s="685"/>
      <c r="Q89" s="742"/>
      <c r="R89" s="86"/>
      <c r="V89" s="1"/>
    </row>
    <row r="90" spans="1:26" ht="14.25" customHeight="1">
      <c r="A90" s="339"/>
      <c r="B90" s="199"/>
      <c r="C90" s="1"/>
      <c r="D90" s="273"/>
      <c r="E90" s="84"/>
      <c r="F90" s="366"/>
      <c r="G90" s="366"/>
      <c r="H90" s="1260" t="s">
        <v>36</v>
      </c>
      <c r="I90" s="1262" t="s">
        <v>178</v>
      </c>
      <c r="J90" s="1263"/>
      <c r="K90" s="1264"/>
      <c r="L90" s="1265" t="s">
        <v>159</v>
      </c>
      <c r="M90" s="1266"/>
      <c r="N90" s="1"/>
      <c r="O90" s="84"/>
      <c r="P90" s="437"/>
      <c r="Q90" s="86"/>
      <c r="R90" s="86" t="s">
        <v>404</v>
      </c>
      <c r="T90" s="35" t="s">
        <v>407</v>
      </c>
      <c r="V90" s="1"/>
    </row>
    <row r="91" spans="1:26">
      <c r="A91" s="339"/>
      <c r="B91" s="199"/>
      <c r="C91" s="284"/>
      <c r="D91" s="273"/>
      <c r="E91" s="284"/>
      <c r="F91" s="366"/>
      <c r="G91" s="378"/>
      <c r="H91" s="1261"/>
      <c r="I91" s="1157"/>
      <c r="J91" s="1158"/>
      <c r="K91" s="1159"/>
      <c r="L91" s="1162"/>
      <c r="M91" s="1267"/>
      <c r="N91" s="1"/>
      <c r="O91" s="84"/>
      <c r="P91" s="685"/>
      <c r="Q91" s="86"/>
      <c r="R91" s="366" t="s">
        <v>405</v>
      </c>
      <c r="S91" s="1"/>
      <c r="T91" s="35" t="s">
        <v>408</v>
      </c>
      <c r="V91" s="1"/>
      <c r="W91" s="1"/>
      <c r="X91" s="1"/>
      <c r="Y91" s="1"/>
    </row>
    <row r="92" spans="1:26">
      <c r="A92" s="339"/>
      <c r="B92" s="199"/>
      <c r="C92" s="199"/>
      <c r="D92" s="273"/>
      <c r="E92" s="199"/>
      <c r="F92" s="366"/>
      <c r="G92" s="378"/>
      <c r="H92" s="996" t="s">
        <v>91</v>
      </c>
      <c r="I92" s="1164" t="s">
        <v>47</v>
      </c>
      <c r="J92" s="1164"/>
      <c r="K92" s="993">
        <v>32.81</v>
      </c>
      <c r="L92" s="282">
        <v>44058</v>
      </c>
      <c r="M92" s="111" t="s">
        <v>104</v>
      </c>
      <c r="O92" s="366"/>
      <c r="P92" s="685"/>
      <c r="Q92" s="86"/>
      <c r="R92" s="366" t="s">
        <v>406</v>
      </c>
      <c r="S92" s="1"/>
      <c r="T92" s="1" t="s">
        <v>409</v>
      </c>
      <c r="V92" s="282"/>
      <c r="W92" s="1"/>
      <c r="X92" s="1"/>
      <c r="Y92" s="1"/>
    </row>
    <row r="93" spans="1:26">
      <c r="A93" s="339"/>
      <c r="B93" s="366"/>
      <c r="C93" s="274"/>
      <c r="D93" s="273"/>
      <c r="E93" s="274"/>
      <c r="F93" s="366"/>
      <c r="G93" s="366"/>
      <c r="H93" s="996" t="s">
        <v>410</v>
      </c>
      <c r="I93" s="1149" t="s">
        <v>51</v>
      </c>
      <c r="J93" s="1149"/>
      <c r="K93" s="992">
        <v>0</v>
      </c>
      <c r="L93" s="282">
        <v>44058</v>
      </c>
      <c r="M93" s="111" t="s">
        <v>104</v>
      </c>
      <c r="N93" s="506"/>
      <c r="O93" s="366"/>
      <c r="P93" s="685"/>
      <c r="Q93" s="571"/>
      <c r="R93" s="86"/>
      <c r="S93" s="1"/>
      <c r="T93" s="1"/>
      <c r="V93" s="282"/>
      <c r="W93" s="1"/>
      <c r="X93" s="1"/>
      <c r="Y93" s="1"/>
    </row>
    <row r="94" spans="1:26">
      <c r="A94" s="340"/>
      <c r="B94" s="366"/>
      <c r="C94" s="366"/>
      <c r="D94" s="273"/>
      <c r="E94" s="199"/>
      <c r="F94" s="366"/>
      <c r="G94" s="366"/>
      <c r="H94" s="996" t="s">
        <v>91</v>
      </c>
      <c r="I94" s="1149" t="s">
        <v>52</v>
      </c>
      <c r="J94" s="1149"/>
      <c r="K94" s="992">
        <v>0.56000000000000005</v>
      </c>
      <c r="L94" s="282">
        <v>44058</v>
      </c>
      <c r="M94" s="111" t="s">
        <v>104</v>
      </c>
      <c r="O94" s="366"/>
      <c r="P94" s="685"/>
      <c r="Q94" s="86"/>
      <c r="R94" s="954"/>
      <c r="S94" s="1"/>
      <c r="T94" s="1"/>
      <c r="V94" s="282"/>
      <c r="W94" s="282"/>
      <c r="X94" s="282"/>
      <c r="Y94" s="1"/>
      <c r="Z94" s="1"/>
    </row>
    <row r="95" spans="1:26">
      <c r="A95" s="340"/>
      <c r="B95" s="366"/>
      <c r="C95" s="366"/>
      <c r="D95" s="273"/>
      <c r="E95" s="366"/>
      <c r="F95" s="366"/>
      <c r="G95" s="366"/>
      <c r="H95" s="996" t="s">
        <v>91</v>
      </c>
      <c r="I95" s="1229" t="s">
        <v>49</v>
      </c>
      <c r="J95" s="1229"/>
      <c r="K95" s="992">
        <v>89</v>
      </c>
      <c r="L95" s="294"/>
      <c r="M95" s="111" t="s">
        <v>160</v>
      </c>
      <c r="N95" s="35" t="s">
        <v>387</v>
      </c>
      <c r="O95" s="84"/>
      <c r="P95" s="685"/>
      <c r="Q95" s="366"/>
      <c r="R95" s="8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366"/>
      <c r="C96" s="366"/>
      <c r="D96" s="273"/>
      <c r="E96" s="366"/>
      <c r="F96" s="366"/>
      <c r="G96" s="366"/>
      <c r="H96" s="996" t="s">
        <v>91</v>
      </c>
      <c r="I96" s="1217" t="s">
        <v>59</v>
      </c>
      <c r="J96" s="1217"/>
      <c r="K96" s="994">
        <v>710.68</v>
      </c>
      <c r="L96" s="302" t="s">
        <v>177</v>
      </c>
      <c r="M96" s="111" t="s">
        <v>104</v>
      </c>
      <c r="N96" s="506"/>
      <c r="O96" s="84" t="s">
        <v>388</v>
      </c>
      <c r="P96" s="685"/>
      <c r="Q96" s="480"/>
      <c r="R96" s="954"/>
      <c r="S96" s="1"/>
      <c r="T96" s="282"/>
      <c r="U96" s="1"/>
      <c r="V96" s="1"/>
      <c r="W96" s="282"/>
      <c r="X96" s="282"/>
      <c r="Y96" s="1"/>
      <c r="Z96" s="1"/>
    </row>
    <row r="97" spans="1:26">
      <c r="A97" s="340"/>
      <c r="B97" s="199"/>
      <c r="C97" s="199"/>
      <c r="D97" s="273"/>
      <c r="E97" s="199"/>
      <c r="F97" s="366"/>
      <c r="G97" s="366"/>
      <c r="H97" s="996" t="s">
        <v>91</v>
      </c>
      <c r="I97" s="1218" t="s">
        <v>68</v>
      </c>
      <c r="J97" s="1219"/>
      <c r="K97" s="992">
        <v>55.94</v>
      </c>
      <c r="L97" s="282">
        <v>44063</v>
      </c>
      <c r="M97" s="111" t="s">
        <v>104</v>
      </c>
      <c r="O97" s="366"/>
      <c r="P97" s="437"/>
      <c r="Q97" s="366"/>
      <c r="R97" s="954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199"/>
      <c r="F98" s="366"/>
      <c r="G98" s="366"/>
      <c r="H98" s="996" t="s">
        <v>410</v>
      </c>
      <c r="I98" s="1218" t="s">
        <v>174</v>
      </c>
      <c r="J98" s="1219"/>
      <c r="K98" s="992">
        <v>257.08999999999997</v>
      </c>
      <c r="L98" s="282">
        <v>44058</v>
      </c>
      <c r="M98" s="111" t="s">
        <v>104</v>
      </c>
      <c r="O98" s="84"/>
      <c r="P98" s="86"/>
      <c r="Q98" s="366"/>
      <c r="R98" s="954"/>
      <c r="S98" s="954"/>
      <c r="T98" s="282"/>
      <c r="U98" s="282"/>
      <c r="V98" s="282"/>
      <c r="W98" s="1"/>
      <c r="X98" s="1"/>
      <c r="Y98" s="1"/>
      <c r="Z98" s="1"/>
    </row>
    <row r="99" spans="1:26">
      <c r="A99" s="340"/>
      <c r="B99" s="199"/>
      <c r="C99" s="366"/>
      <c r="D99" s="273"/>
      <c r="E99" s="199"/>
      <c r="F99" s="366"/>
      <c r="G99" s="366"/>
      <c r="H99" s="997" t="s">
        <v>241</v>
      </c>
      <c r="I99" s="985" t="s">
        <v>176</v>
      </c>
      <c r="J99" s="986"/>
      <c r="K99" s="992" t="s">
        <v>258</v>
      </c>
      <c r="L99" s="282">
        <v>44063</v>
      </c>
      <c r="M99" s="111" t="s">
        <v>104</v>
      </c>
      <c r="O99" s="84"/>
      <c r="P99" s="86"/>
      <c r="Q99" s="366"/>
      <c r="R99" s="485">
        <v>861.5</v>
      </c>
      <c r="S99" s="150"/>
      <c r="T99" s="1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996" t="s">
        <v>91</v>
      </c>
      <c r="I100" s="1218" t="s">
        <v>81</v>
      </c>
      <c r="J100" s="1219"/>
      <c r="K100" s="992">
        <v>791.7</v>
      </c>
      <c r="L100" s="282">
        <v>44053</v>
      </c>
      <c r="M100" s="111" t="s">
        <v>104</v>
      </c>
      <c r="O100" s="84"/>
      <c r="P100" s="86"/>
      <c r="Q100" s="485"/>
      <c r="R100" s="365">
        <v>275</v>
      </c>
      <c r="S100" s="150"/>
      <c r="T100" s="282"/>
      <c r="U100" s="282"/>
      <c r="V100" s="282"/>
      <c r="W100" s="282"/>
      <c r="X100" s="282"/>
      <c r="Y100" s="366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996" t="s">
        <v>410</v>
      </c>
      <c r="I101" s="1218" t="s">
        <v>53</v>
      </c>
      <c r="J101" s="1219"/>
      <c r="K101" s="455">
        <v>10</v>
      </c>
      <c r="L101" s="282">
        <v>44058</v>
      </c>
      <c r="M101" s="111" t="s">
        <v>104</v>
      </c>
      <c r="N101" s="506"/>
      <c r="O101" s="84"/>
      <c r="P101" s="86"/>
      <c r="Q101" s="954"/>
      <c r="R101" s="86">
        <v>194</v>
      </c>
      <c r="S101" s="1"/>
      <c r="T101" s="282"/>
      <c r="U101" s="282"/>
      <c r="V101" s="282"/>
      <c r="W101" s="282"/>
      <c r="X101" s="282"/>
      <c r="Y101" s="366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996" t="s">
        <v>91</v>
      </c>
      <c r="I102" s="1230" t="s">
        <v>300</v>
      </c>
      <c r="J102" s="1230"/>
      <c r="K102" s="676">
        <v>100</v>
      </c>
      <c r="L102" s="282">
        <v>44073</v>
      </c>
      <c r="M102" s="111" t="s">
        <v>104</v>
      </c>
      <c r="O102" s="84"/>
      <c r="P102" s="86"/>
      <c r="Q102" s="954"/>
      <c r="R102" s="86">
        <v>301.5</v>
      </c>
      <c r="S102" s="366"/>
      <c r="T102" s="282"/>
      <c r="U102" s="282"/>
      <c r="V102" s="282"/>
      <c r="W102" s="282"/>
      <c r="X102" s="282"/>
      <c r="Y102" s="1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996" t="s">
        <v>91</v>
      </c>
      <c r="I103" s="1230" t="s">
        <v>325</v>
      </c>
      <c r="J103" s="1230"/>
      <c r="K103" s="676">
        <v>9</v>
      </c>
      <c r="L103" s="282">
        <v>44058</v>
      </c>
      <c r="M103" s="111" t="s">
        <v>104</v>
      </c>
      <c r="O103" s="84"/>
      <c r="P103" s="86"/>
      <c r="Q103" s="954"/>
      <c r="R103" s="86">
        <v>390</v>
      </c>
      <c r="S103" s="366"/>
      <c r="T103" s="282"/>
      <c r="U103" s="282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996" t="s">
        <v>91</v>
      </c>
      <c r="I104" s="1150" t="s">
        <v>374</v>
      </c>
      <c r="J104" s="1151"/>
      <c r="K104" s="676">
        <f>1263.09-K98</f>
        <v>1006</v>
      </c>
      <c r="L104" s="282">
        <v>44073</v>
      </c>
      <c r="M104" s="111" t="s">
        <v>104</v>
      </c>
      <c r="O104" s="84"/>
      <c r="P104" s="86"/>
      <c r="Q104" s="954"/>
      <c r="R104" s="86">
        <v>1883.5</v>
      </c>
      <c r="S104" s="366"/>
      <c r="T104" s="282"/>
      <c r="U104" s="282"/>
      <c r="V104" s="282"/>
      <c r="W104" s="282"/>
      <c r="X104" s="282"/>
      <c r="Y104" s="1"/>
      <c r="Z104" s="1"/>
    </row>
    <row r="105" spans="1:26" ht="15.75" thickBot="1">
      <c r="A105" s="341"/>
      <c r="B105" s="330"/>
      <c r="C105" s="331"/>
      <c r="D105" s="342"/>
      <c r="E105" s="330"/>
      <c r="F105" s="331"/>
      <c r="G105" s="331"/>
      <c r="H105" s="1268" t="s">
        <v>179</v>
      </c>
      <c r="I105" s="1269"/>
      <c r="J105" s="998">
        <f>SUM(K92:K104)</f>
        <v>3062.7799999999997</v>
      </c>
      <c r="K105" s="1270" t="s">
        <v>180</v>
      </c>
      <c r="L105" s="1270"/>
      <c r="M105" s="999">
        <v>0</v>
      </c>
      <c r="O105" s="84"/>
      <c r="P105" s="86"/>
      <c r="Q105" s="954"/>
      <c r="R105" s="365">
        <v>794</v>
      </c>
      <c r="S105" s="366"/>
      <c r="T105" s="282"/>
      <c r="U105" s="282"/>
      <c r="V105" s="1"/>
      <c r="W105" s="282"/>
      <c r="X105" s="282"/>
      <c r="Y105" s="1"/>
      <c r="Z105" s="1"/>
    </row>
    <row r="106" spans="1:26" ht="15.75" thickTop="1">
      <c r="C106" s="507"/>
      <c r="D106" s="507"/>
      <c r="O106" s="84"/>
      <c r="P106" s="86"/>
      <c r="Q106" s="954"/>
      <c r="R106" s="365">
        <v>563</v>
      </c>
      <c r="S106" s="366"/>
      <c r="T106" s="282"/>
      <c r="U106" s="282"/>
      <c r="V106" s="1"/>
      <c r="W106" s="282"/>
      <c r="X106" s="282"/>
      <c r="Y106" s="1"/>
      <c r="Z106" s="1"/>
    </row>
    <row r="107" spans="1:26" ht="15" customHeight="1">
      <c r="A107" s="1211" t="s">
        <v>415</v>
      </c>
      <c r="B107" s="1211"/>
      <c r="C107" s="1211"/>
      <c r="D107" s="1211"/>
      <c r="E107" s="1211"/>
      <c r="F107" s="1211"/>
      <c r="G107" s="1211"/>
      <c r="H107" s="1211"/>
      <c r="I107" s="1211"/>
      <c r="J107" s="1211"/>
      <c r="K107" s="1211"/>
      <c r="L107" s="1211"/>
      <c r="M107" s="1211"/>
      <c r="O107" s="84"/>
      <c r="P107" s="86"/>
      <c r="Q107" s="954"/>
      <c r="R107" s="366">
        <v>1402.5</v>
      </c>
      <c r="S107" s="1"/>
      <c r="T107" s="282"/>
      <c r="U107" s="282"/>
      <c r="V107" s="1"/>
      <c r="W107" s="1"/>
      <c r="X107" s="1"/>
      <c r="Y107" s="1"/>
      <c r="Z107" s="1"/>
    </row>
    <row r="108" spans="1:26" ht="15.75" customHeight="1" thickBot="1">
      <c r="A108" s="1212"/>
      <c r="B108" s="1212"/>
      <c r="C108" s="1212"/>
      <c r="D108" s="1212"/>
      <c r="E108" s="1212"/>
      <c r="F108" s="1212"/>
      <c r="G108" s="1212"/>
      <c r="H108" s="1212"/>
      <c r="I108" s="1212"/>
      <c r="J108" s="1212"/>
      <c r="K108" s="1212"/>
      <c r="L108" s="1212"/>
      <c r="M108" s="1212"/>
      <c r="O108" s="84"/>
      <c r="P108" s="86"/>
      <c r="Q108" s="954"/>
      <c r="R108" s="366">
        <v>380</v>
      </c>
      <c r="S108" s="1"/>
      <c r="T108" s="1"/>
      <c r="U108" s="282"/>
      <c r="V108" s="1"/>
      <c r="W108" s="1"/>
      <c r="X108" s="1"/>
      <c r="Y108" s="1"/>
      <c r="Z108" s="1"/>
    </row>
    <row r="109" spans="1:26" ht="15.75" thickTop="1">
      <c r="A109" s="1255" t="s">
        <v>43</v>
      </c>
      <c r="B109" s="1227"/>
      <c r="C109" s="1227"/>
      <c r="D109" s="1227"/>
      <c r="E109" s="1227"/>
      <c r="F109" s="1256"/>
      <c r="G109" s="323"/>
      <c r="O109" s="84"/>
      <c r="P109" s="86"/>
      <c r="Q109" s="686"/>
      <c r="R109" s="366">
        <v>670</v>
      </c>
      <c r="S109" s="1"/>
      <c r="T109" s="1"/>
      <c r="U109" s="282"/>
      <c r="V109" s="1"/>
      <c r="W109" s="1"/>
      <c r="X109" s="1"/>
      <c r="Y109" s="1"/>
      <c r="Z109" s="1"/>
    </row>
    <row r="110" spans="1:26">
      <c r="A110" s="1144" t="s">
        <v>371</v>
      </c>
      <c r="B110" s="1145"/>
      <c r="C110" s="953" t="s">
        <v>35</v>
      </c>
      <c r="D110" s="953" t="s">
        <v>38</v>
      </c>
      <c r="E110" s="953" t="s">
        <v>42</v>
      </c>
      <c r="F110" s="953" t="s">
        <v>44</v>
      </c>
      <c r="G110" s="1"/>
      <c r="O110" s="84"/>
      <c r="P110" s="86"/>
      <c r="Q110" s="954"/>
      <c r="R110" s="366">
        <v>229.5</v>
      </c>
      <c r="S110" s="1"/>
      <c r="T110" s="1"/>
      <c r="U110" s="1"/>
      <c r="W110" s="1"/>
      <c r="X110" s="1"/>
      <c r="Y110" s="1"/>
      <c r="Z110" s="1"/>
    </row>
    <row r="111" spans="1:26">
      <c r="A111" s="1248" t="s">
        <v>40</v>
      </c>
      <c r="B111" s="1224"/>
      <c r="C111" s="482">
        <v>1191.3800000000001</v>
      </c>
      <c r="D111" s="482">
        <v>1191.3800000000001</v>
      </c>
      <c r="E111" s="482">
        <v>0</v>
      </c>
      <c r="F111" s="3">
        <v>44095</v>
      </c>
      <c r="G111" s="1"/>
      <c r="O111" s="84"/>
      <c r="P111" s="86"/>
      <c r="Q111" s="954"/>
      <c r="R111" s="366">
        <v>35</v>
      </c>
      <c r="S111" s="1"/>
      <c r="T111" s="1"/>
      <c r="U111" s="1"/>
      <c r="W111" s="1"/>
      <c r="X111" s="1"/>
      <c r="Y111" s="1"/>
      <c r="Z111" s="1"/>
    </row>
    <row r="112" spans="1:26">
      <c r="A112" s="340"/>
      <c r="B112" s="366"/>
      <c r="C112" s="514">
        <f>SUM(C111:C111)</f>
        <v>1191.3800000000001</v>
      </c>
      <c r="D112" s="366"/>
      <c r="E112" s="84"/>
      <c r="F112" s="366" t="s">
        <v>423</v>
      </c>
      <c r="G112" s="1"/>
      <c r="K112" s="506"/>
      <c r="O112" s="84"/>
      <c r="P112" s="86"/>
      <c r="Q112" s="954"/>
      <c r="R112" s="366">
        <v>275</v>
      </c>
      <c r="T112" s="1"/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/>
      <c r="P113" s="86"/>
      <c r="Q113" s="954"/>
      <c r="R113" s="366">
        <v>150.5</v>
      </c>
      <c r="U113" s="1"/>
      <c r="Z113" s="1"/>
    </row>
    <row r="114" spans="1:26">
      <c r="A114" s="340"/>
      <c r="B114" s="366"/>
      <c r="C114" s="366"/>
      <c r="D114" s="366"/>
      <c r="E114" s="366"/>
      <c r="F114" s="366"/>
      <c r="G114" s="1"/>
      <c r="M114" s="506"/>
      <c r="O114" s="84"/>
      <c r="P114" s="86"/>
      <c r="Q114" s="954"/>
      <c r="R114" s="366">
        <v>18</v>
      </c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54"/>
      <c r="R115" s="366">
        <v>76</v>
      </c>
      <c r="U115" s="1"/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/>
      <c r="Q116" s="954"/>
      <c r="R116" s="366">
        <v>68</v>
      </c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54"/>
      <c r="R117" s="366">
        <v>310</v>
      </c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54"/>
      <c r="R118" s="366">
        <v>1078</v>
      </c>
    </row>
    <row r="119" spans="1:26">
      <c r="A119" s="43"/>
      <c r="B119" s="1"/>
      <c r="C119" s="366"/>
      <c r="D119" s="1"/>
      <c r="E119" s="1"/>
      <c r="F119" s="1"/>
      <c r="G119" s="1"/>
      <c r="M119" s="366"/>
      <c r="O119" s="84"/>
      <c r="P119" s="86"/>
      <c r="Q119" s="954"/>
      <c r="R119" s="366">
        <v>448</v>
      </c>
    </row>
    <row r="120" spans="1:26">
      <c r="A120" s="43"/>
      <c r="B120" s="1"/>
      <c r="C120" s="366"/>
      <c r="D120" s="1"/>
      <c r="E120" s="1"/>
      <c r="F120" s="1"/>
      <c r="G120" s="1"/>
      <c r="M120" s="366"/>
      <c r="O120" s="84"/>
      <c r="P120" s="86"/>
      <c r="Q120" s="954"/>
      <c r="R120" s="366">
        <v>706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954"/>
      <c r="R121" s="366">
        <v>130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/>
      <c r="Q122" s="954"/>
      <c r="R122" s="366">
        <v>132</v>
      </c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86"/>
      <c r="R123" s="366">
        <v>120</v>
      </c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86"/>
      <c r="R124" s="366">
        <v>2048</v>
      </c>
    </row>
    <row r="125" spans="1:26">
      <c r="A125" s="43"/>
      <c r="B125" s="1"/>
      <c r="C125" s="366"/>
      <c r="D125" s="1"/>
      <c r="E125" s="1"/>
      <c r="F125" s="1"/>
      <c r="G125" s="1"/>
      <c r="O125" s="84"/>
      <c r="P125" s="86"/>
      <c r="Q125" s="86"/>
      <c r="R125" s="366">
        <v>130.5</v>
      </c>
    </row>
    <row r="126" spans="1:26">
      <c r="A126" s="43"/>
      <c r="B126" s="1"/>
      <c r="C126" s="366"/>
      <c r="D126" s="1"/>
      <c r="E126" s="1"/>
      <c r="F126" s="1"/>
      <c r="G126" s="1"/>
      <c r="O126" s="84"/>
      <c r="P126" s="86"/>
      <c r="Q126" s="86"/>
      <c r="R126" s="366">
        <v>296</v>
      </c>
    </row>
    <row r="127" spans="1:26">
      <c r="C127" s="447"/>
      <c r="O127" s="84"/>
      <c r="P127" s="86"/>
      <c r="Q127" s="86"/>
      <c r="R127" s="366">
        <v>608</v>
      </c>
    </row>
    <row r="128" spans="1:26">
      <c r="A128" s="12"/>
      <c r="C128" s="447"/>
      <c r="O128" s="84"/>
      <c r="P128" s="86"/>
      <c r="Q128" s="86"/>
      <c r="R128" s="366">
        <v>1835</v>
      </c>
    </row>
    <row r="129" spans="1:26">
      <c r="C129" s="447"/>
      <c r="O129" s="84"/>
      <c r="R129" s="366">
        <v>355</v>
      </c>
    </row>
    <row r="130" spans="1:26" s="1" customFormat="1" ht="12.75" customHeight="1">
      <c r="A130" s="449"/>
      <c r="B130" s="199"/>
      <c r="D130" s="273"/>
      <c r="E130" s="366"/>
      <c r="F130" s="366"/>
      <c r="G130" s="366"/>
      <c r="H130" s="565"/>
      <c r="I130" s="942"/>
      <c r="J130" s="437"/>
      <c r="K130" s="643"/>
      <c r="L130" s="643"/>
      <c r="M130" s="436"/>
      <c r="O130" s="84"/>
      <c r="P130" s="84"/>
      <c r="Q130" s="145"/>
      <c r="R130" s="84">
        <v>214.5</v>
      </c>
      <c r="S130" s="84"/>
      <c r="T130" s="366"/>
      <c r="U130" s="366"/>
      <c r="V130" s="366"/>
      <c r="W130" s="366"/>
      <c r="X130" s="366"/>
      <c r="Y130" s="366"/>
      <c r="Z130" s="366"/>
    </row>
    <row r="131" spans="1:26">
      <c r="C131" s="447"/>
      <c r="O131" s="84"/>
      <c r="R131" s="366">
        <v>280</v>
      </c>
    </row>
    <row r="132" spans="1:26">
      <c r="C132" s="447"/>
      <c r="O132" s="150"/>
      <c r="R132" s="366">
        <v>60</v>
      </c>
    </row>
    <row r="133" spans="1:26">
      <c r="C133" s="447"/>
      <c r="R133" s="366">
        <v>684</v>
      </c>
    </row>
    <row r="134" spans="1:26">
      <c r="C134" s="447"/>
      <c r="R134" s="366">
        <v>606</v>
      </c>
    </row>
    <row r="135" spans="1:26">
      <c r="C135" s="447"/>
      <c r="R135" s="950">
        <f>SUM(R99:R134)</f>
        <v>18608</v>
      </c>
    </row>
    <row r="136" spans="1:26">
      <c r="C136" s="447"/>
    </row>
  </sheetData>
  <mergeCells count="131">
    <mergeCell ref="A109:F109"/>
    <mergeCell ref="A110:B110"/>
    <mergeCell ref="A111:B111"/>
    <mergeCell ref="I102:J102"/>
    <mergeCell ref="I103:J103"/>
    <mergeCell ref="I104:J104"/>
    <mergeCell ref="H105:I105"/>
    <mergeCell ref="K105:L105"/>
    <mergeCell ref="A107:M108"/>
    <mergeCell ref="I95:J95"/>
    <mergeCell ref="I96:J96"/>
    <mergeCell ref="I97:J97"/>
    <mergeCell ref="I98:J98"/>
    <mergeCell ref="I100:J100"/>
    <mergeCell ref="I101:J101"/>
    <mergeCell ref="H90:H91"/>
    <mergeCell ref="I90:K91"/>
    <mergeCell ref="L90:M91"/>
    <mergeCell ref="I92:J92"/>
    <mergeCell ref="I93:J93"/>
    <mergeCell ref="I94:J94"/>
    <mergeCell ref="I75:J75"/>
    <mergeCell ref="L75:M75"/>
    <mergeCell ref="A76:B76"/>
    <mergeCell ref="H76:J76"/>
    <mergeCell ref="L76:M76"/>
    <mergeCell ref="H77:H78"/>
    <mergeCell ref="I77:I78"/>
    <mergeCell ref="J77:K77"/>
    <mergeCell ref="L77:L78"/>
    <mergeCell ref="M77:M78"/>
    <mergeCell ref="I72:J72"/>
    <mergeCell ref="L72:M72"/>
    <mergeCell ref="I73:J73"/>
    <mergeCell ref="L73:M73"/>
    <mergeCell ref="I74:J74"/>
    <mergeCell ref="L74:M74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K54:L54"/>
    <mergeCell ref="H55:K55"/>
    <mergeCell ref="A56:M57"/>
    <mergeCell ref="A58:G58"/>
    <mergeCell ref="H58:M58"/>
    <mergeCell ref="I59:J59"/>
    <mergeCell ref="L59:M59"/>
    <mergeCell ref="I49:J49"/>
    <mergeCell ref="I50:J50"/>
    <mergeCell ref="I51:J51"/>
    <mergeCell ref="I52:J52"/>
    <mergeCell ref="I53:J53"/>
    <mergeCell ref="H54:I54"/>
    <mergeCell ref="I41:J41"/>
    <mergeCell ref="I42:J42"/>
    <mergeCell ref="I43:J43"/>
    <mergeCell ref="I46:J46"/>
    <mergeCell ref="I47:J47"/>
    <mergeCell ref="I48:J48"/>
    <mergeCell ref="H36:H37"/>
    <mergeCell ref="I36:K37"/>
    <mergeCell ref="L36:M37"/>
    <mergeCell ref="I38:J38"/>
    <mergeCell ref="I39:J39"/>
    <mergeCell ref="I40:J40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6"/>
  <sheetViews>
    <sheetView zoomScale="115" zoomScaleNormal="115" zoomScaleSheetLayoutView="115" zoomScalePageLayoutView="70" workbookViewId="0">
      <pane xSplit="1" ySplit="1" topLeftCell="B31" activePane="bottomRight" state="frozen"/>
      <selection pane="topRight" activeCell="B1" sqref="B1"/>
      <selection pane="bottomLeft" activeCell="A4" sqref="A4"/>
      <selection pane="bottomRight" activeCell="F51" sqref="F51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28515625" style="35" customWidth="1"/>
    <col min="5" max="5" width="15.5703125" style="35" customWidth="1"/>
    <col min="6" max="6" width="16.7109375" style="35" customWidth="1"/>
    <col min="7" max="7" width="17.570312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2</v>
      </c>
      <c r="C2" s="17">
        <v>44075</v>
      </c>
      <c r="D2" s="796">
        <v>503.4</v>
      </c>
      <c r="E2" s="778"/>
      <c r="F2" s="913"/>
      <c r="G2" s="913">
        <v>405.5</v>
      </c>
      <c r="H2" s="961"/>
      <c r="I2" s="708"/>
      <c r="J2" s="464"/>
      <c r="K2" s="464"/>
      <c r="L2" s="464"/>
    </row>
    <row r="3" spans="1:16" ht="11.1" customHeight="1">
      <c r="B3" s="16">
        <f t="shared" ref="B3:B31" si="0">IF(C3="","",WEEKDAY(C3,2))</f>
        <v>3</v>
      </c>
      <c r="C3" s="17">
        <v>44076</v>
      </c>
      <c r="D3" s="796">
        <v>1054.8</v>
      </c>
      <c r="E3" s="22"/>
      <c r="F3" s="913">
        <v>533.1</v>
      </c>
      <c r="G3" s="913"/>
      <c r="H3" s="961"/>
      <c r="I3" s="709"/>
      <c r="J3" s="464"/>
      <c r="K3" s="464"/>
      <c r="L3" s="464"/>
    </row>
    <row r="4" spans="1:16" ht="11.1" customHeight="1">
      <c r="B4" s="16">
        <f t="shared" si="0"/>
        <v>4</v>
      </c>
      <c r="C4" s="17">
        <v>44077</v>
      </c>
      <c r="D4" s="796"/>
      <c r="E4" s="22">
        <v>398.8</v>
      </c>
      <c r="F4" s="913">
        <v>472</v>
      </c>
      <c r="G4" s="913"/>
      <c r="H4" s="961"/>
      <c r="I4" s="709"/>
      <c r="J4" s="464"/>
      <c r="K4" s="464"/>
      <c r="L4" s="464"/>
    </row>
    <row r="5" spans="1:16" ht="11.1" customHeight="1">
      <c r="B5" s="16">
        <f t="shared" si="0"/>
        <v>5</v>
      </c>
      <c r="C5" s="17">
        <v>44078</v>
      </c>
      <c r="D5" s="796"/>
      <c r="E5" s="796">
        <v>447</v>
      </c>
      <c r="F5" s="913"/>
      <c r="G5" s="913">
        <v>618.29999999999995</v>
      </c>
      <c r="H5" s="962"/>
      <c r="I5" s="85"/>
      <c r="J5" s="464"/>
      <c r="K5" s="464"/>
      <c r="L5" s="464"/>
    </row>
    <row r="6" spans="1:16" ht="11.1" customHeight="1">
      <c r="B6" s="16">
        <f t="shared" si="0"/>
        <v>6</v>
      </c>
      <c r="C6" s="17">
        <v>44079</v>
      </c>
      <c r="D6" s="796">
        <v>284.25</v>
      </c>
      <c r="E6" s="796">
        <v>26</v>
      </c>
      <c r="F6" s="913"/>
      <c r="G6" s="913">
        <v>616.9</v>
      </c>
      <c r="H6" s="962"/>
      <c r="I6" s="85"/>
      <c r="J6" s="464"/>
      <c r="K6" s="464"/>
      <c r="L6" s="464"/>
    </row>
    <row r="7" spans="1:16" ht="11.1" customHeight="1">
      <c r="B7" s="16">
        <f t="shared" si="0"/>
        <v>7</v>
      </c>
      <c r="C7" s="17">
        <v>44080</v>
      </c>
      <c r="D7" s="796">
        <v>592.5</v>
      </c>
      <c r="E7" s="796"/>
      <c r="F7" s="913">
        <v>286.5</v>
      </c>
      <c r="G7" s="913"/>
      <c r="H7" s="915"/>
      <c r="I7" s="85"/>
      <c r="J7" s="464"/>
      <c r="K7" s="464"/>
      <c r="L7" s="464"/>
    </row>
    <row r="8" spans="1:16" ht="11.1" customHeight="1">
      <c r="B8" s="16">
        <f t="shared" si="0"/>
        <v>1</v>
      </c>
      <c r="C8" s="17">
        <v>44081</v>
      </c>
      <c r="D8" s="796"/>
      <c r="E8" s="796">
        <v>350.7</v>
      </c>
      <c r="F8" s="913">
        <v>216.5</v>
      </c>
      <c r="G8" s="913"/>
      <c r="H8" s="925"/>
      <c r="I8" s="765"/>
      <c r="J8" s="464"/>
      <c r="K8" s="464"/>
      <c r="L8" s="464"/>
    </row>
    <row r="9" spans="1:16" ht="11.1" customHeight="1">
      <c r="B9" s="16">
        <f t="shared" si="0"/>
        <v>2</v>
      </c>
      <c r="C9" s="17">
        <v>44082</v>
      </c>
      <c r="D9" s="796"/>
      <c r="E9" s="796">
        <v>1151.5999999999999</v>
      </c>
      <c r="F9" s="913"/>
      <c r="G9" s="913">
        <v>539.4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3</v>
      </c>
      <c r="C10" s="17">
        <v>44083</v>
      </c>
      <c r="D10" s="796">
        <v>639.20000000000005</v>
      </c>
      <c r="E10" s="796"/>
      <c r="F10" s="913"/>
      <c r="G10" s="913">
        <v>373.95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4</v>
      </c>
      <c r="C11" s="17">
        <v>44084</v>
      </c>
      <c r="D11" s="796">
        <v>900.61</v>
      </c>
      <c r="E11" s="796">
        <v>45</v>
      </c>
      <c r="F11" s="913">
        <v>354</v>
      </c>
      <c r="G11" s="913"/>
      <c r="H11" s="226"/>
      <c r="I11" s="962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5</v>
      </c>
      <c r="C12" s="17">
        <v>44085</v>
      </c>
      <c r="D12" s="796"/>
      <c r="E12" s="796">
        <v>838.51</v>
      </c>
      <c r="F12" s="913">
        <v>351.5</v>
      </c>
      <c r="G12" s="913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6</v>
      </c>
      <c r="C13" s="17">
        <v>44086</v>
      </c>
      <c r="D13" s="796"/>
      <c r="E13" s="796">
        <v>961.15</v>
      </c>
      <c r="F13" s="913"/>
      <c r="G13" s="913">
        <v>452.9</v>
      </c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7</v>
      </c>
      <c r="C14" s="17">
        <v>44087</v>
      </c>
      <c r="D14" s="796">
        <v>825</v>
      </c>
      <c r="E14" s="796">
        <v>10</v>
      </c>
      <c r="F14" s="913"/>
      <c r="G14" s="913">
        <f>503.4+136.5</f>
        <v>639.9</v>
      </c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1</v>
      </c>
      <c r="C15" s="17">
        <v>44088</v>
      </c>
      <c r="D15" s="796">
        <v>831</v>
      </c>
      <c r="E15" s="796"/>
      <c r="F15" s="913">
        <v>516</v>
      </c>
      <c r="G15" s="913"/>
      <c r="H15" s="962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2</v>
      </c>
      <c r="C16" s="17">
        <v>44089</v>
      </c>
      <c r="D16" s="796"/>
      <c r="E16" s="796">
        <v>1261.8</v>
      </c>
      <c r="F16" s="913">
        <v>884.8</v>
      </c>
      <c r="G16" s="913"/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3</v>
      </c>
      <c r="C17" s="17">
        <v>44090</v>
      </c>
      <c r="D17" s="796"/>
      <c r="E17" s="796">
        <f>1225.9+33</f>
        <v>1258.9000000000001</v>
      </c>
      <c r="F17" s="913"/>
      <c r="G17" s="913">
        <v>452.9</v>
      </c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4</v>
      </c>
      <c r="C18" s="17">
        <v>44091</v>
      </c>
      <c r="D18" s="796">
        <v>991.9</v>
      </c>
      <c r="E18" s="778"/>
      <c r="F18" s="913"/>
      <c r="G18" s="913">
        <v>474.9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5</v>
      </c>
      <c r="C19" s="17">
        <v>44092</v>
      </c>
      <c r="D19" s="22">
        <v>983.2</v>
      </c>
      <c r="E19" s="22"/>
      <c r="F19" s="913">
        <v>850</v>
      </c>
      <c r="G19" s="913"/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6</v>
      </c>
      <c r="C20" s="17">
        <v>44093</v>
      </c>
      <c r="D20" s="22"/>
      <c r="E20" s="22">
        <v>1339.4</v>
      </c>
      <c r="F20" s="913">
        <v>837.5</v>
      </c>
      <c r="G20" s="913"/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7</v>
      </c>
      <c r="C21" s="17">
        <v>44094</v>
      </c>
      <c r="D21" s="22"/>
      <c r="E21" s="22">
        <v>744</v>
      </c>
      <c r="F21" s="913"/>
      <c r="G21" s="913">
        <v>500.5</v>
      </c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1</v>
      </c>
      <c r="C22" s="17">
        <v>44095</v>
      </c>
      <c r="D22" s="22">
        <v>1330.4</v>
      </c>
      <c r="E22" s="22"/>
      <c r="F22" s="913"/>
      <c r="G22" s="913">
        <v>637.04999999999995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2</v>
      </c>
      <c r="C23" s="17">
        <v>44096</v>
      </c>
      <c r="D23" s="22">
        <v>819</v>
      </c>
      <c r="E23" s="22"/>
      <c r="F23" s="913">
        <v>374</v>
      </c>
      <c r="G23" s="913"/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3</v>
      </c>
      <c r="C24" s="17">
        <v>44097</v>
      </c>
      <c r="D24" s="22"/>
      <c r="E24" s="22">
        <v>553.85</v>
      </c>
      <c r="F24" s="913">
        <v>636.9</v>
      </c>
      <c r="G24" s="913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4</v>
      </c>
      <c r="C25" s="17">
        <v>44098</v>
      </c>
      <c r="D25" s="22"/>
      <c r="E25" s="22">
        <v>1632.92</v>
      </c>
      <c r="F25" s="913"/>
      <c r="G25" s="913">
        <v>176.1</v>
      </c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5</v>
      </c>
      <c r="C26" s="17">
        <v>44099</v>
      </c>
      <c r="D26" s="22">
        <v>1342.6</v>
      </c>
      <c r="E26" s="22"/>
      <c r="F26" s="913"/>
      <c r="G26" s="913">
        <v>662.9</v>
      </c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6</v>
      </c>
      <c r="C27" s="17">
        <v>44100</v>
      </c>
      <c r="D27" s="22">
        <v>1359.4</v>
      </c>
      <c r="E27" s="22">
        <v>28.5</v>
      </c>
      <c r="F27" s="913">
        <v>752.3</v>
      </c>
      <c r="G27" s="913"/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7</v>
      </c>
      <c r="C28" s="17">
        <v>44101</v>
      </c>
      <c r="D28" s="22"/>
      <c r="E28" s="22">
        <v>995.3</v>
      </c>
      <c r="F28" s="913">
        <v>993.2</v>
      </c>
      <c r="G28" s="913"/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1</v>
      </c>
      <c r="C29" s="17">
        <v>44102</v>
      </c>
      <c r="D29" s="22"/>
      <c r="E29" s="22">
        <v>654.16999999999996</v>
      </c>
      <c r="F29" s="913"/>
      <c r="G29" s="913">
        <v>314.60000000000002</v>
      </c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2</v>
      </c>
      <c r="C30" s="17">
        <v>44103</v>
      </c>
      <c r="D30" s="22">
        <v>716.9</v>
      </c>
      <c r="E30" s="22">
        <v>43.5</v>
      </c>
      <c r="F30" s="913"/>
      <c r="G30" s="913">
        <v>561.20000000000005</v>
      </c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3</v>
      </c>
      <c r="C31" s="965">
        <v>44104</v>
      </c>
      <c r="D31" s="228">
        <v>884.9</v>
      </c>
      <c r="E31" s="228"/>
      <c r="F31" s="966">
        <f>510.8+14</f>
        <v>524.79999999999995</v>
      </c>
      <c r="G31" s="966"/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28"/>
      <c r="C32" s="29"/>
      <c r="D32" s="967"/>
      <c r="E32" s="967"/>
      <c r="F32" s="968"/>
      <c r="G32" s="968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612" t="s">
        <v>225</v>
      </c>
      <c r="D33" s="85">
        <f>COUNT(D2:D32)</f>
        <v>16</v>
      </c>
      <c r="E33" s="85">
        <v>14</v>
      </c>
      <c r="F33" s="85">
        <f>COUNT(F2:F32)</f>
        <v>15</v>
      </c>
      <c r="G33" s="85">
        <f>COUNT(G2:G32)</f>
        <v>15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14059.06</v>
      </c>
      <c r="E34" s="969">
        <f>SUM(E2:E32)</f>
        <v>12741.099999999999</v>
      </c>
      <c r="F34" s="969">
        <f>SUM(F2:F32)</f>
        <v>8583.0999999999985</v>
      </c>
      <c r="G34" s="969">
        <f>SUM(G2:G32)</f>
        <v>7427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13875.75</v>
      </c>
      <c r="E35" s="238">
        <v>12263.95</v>
      </c>
      <c r="F35" s="238">
        <v>8329.2999999999993</v>
      </c>
      <c r="G35" s="238">
        <v>7320.15</v>
      </c>
      <c r="H35" s="12"/>
      <c r="I35" s="292">
        <f>SUM(D2:E32)</f>
        <v>26800.16</v>
      </c>
      <c r="J35" s="292">
        <f>SUM(F2:G32)</f>
        <v>16010.099999999999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183.30999999999949</v>
      </c>
      <c r="E36" s="88">
        <f t="shared" si="1"/>
        <v>477.14999999999782</v>
      </c>
      <c r="F36" s="88">
        <f t="shared" si="1"/>
        <v>253.79999999999927</v>
      </c>
      <c r="G36" s="88">
        <f t="shared" si="1"/>
        <v>106.85000000000036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F37" si="2">ROUND(D36*1%,2)</f>
        <v>1.83</v>
      </c>
      <c r="E37" s="89">
        <f t="shared" si="2"/>
        <v>4.7699999999999996</v>
      </c>
      <c r="F37" s="89">
        <f t="shared" si="2"/>
        <v>2.54</v>
      </c>
      <c r="G37" s="89">
        <f>ROUND(G36*1%,2)</f>
        <v>1.07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416.27</v>
      </c>
      <c r="E38" s="89">
        <f t="shared" ref="E38" si="3">ROUND(3%*E35,2)</f>
        <v>367.92</v>
      </c>
      <c r="F38" s="89">
        <f>ROUND(3%*F35,2)</f>
        <v>249.88</v>
      </c>
      <c r="G38" s="89">
        <f>ROUND(3%*G35,2)</f>
        <v>219.6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320</v>
      </c>
      <c r="E40" s="87">
        <f>ROUND(20*E33,2)</f>
        <v>280</v>
      </c>
      <c r="F40" s="87">
        <f>ROUND(25*F33,2)</f>
        <v>375</v>
      </c>
      <c r="G40" s="88">
        <f>ROUND(25*G33,2)</f>
        <v>375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 thickBot="1">
      <c r="B41" s="31"/>
      <c r="C41" s="239" t="s">
        <v>48</v>
      </c>
      <c r="D41" s="18">
        <v>337.71</v>
      </c>
      <c r="E41" s="241">
        <v>150</v>
      </c>
      <c r="F41" s="87">
        <v>300</v>
      </c>
      <c r="G41" s="87">
        <v>300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 thickBot="1">
      <c r="B42" s="21"/>
      <c r="C42" s="242" t="s">
        <v>94</v>
      </c>
      <c r="D42" s="243"/>
      <c r="E42" s="241">
        <v>180.88</v>
      </c>
      <c r="F42" s="87">
        <v>112</v>
      </c>
      <c r="G42" s="980">
        <v>38.5</v>
      </c>
      <c r="H42" s="29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5" t="s">
        <v>77</v>
      </c>
      <c r="D43" s="456">
        <f>D37+D38+D39+D40-D41</f>
        <v>450.38999999999993</v>
      </c>
      <c r="E43" s="456">
        <f>E37+E38+E39+E40-E41-E42</f>
        <v>371.81000000000006</v>
      </c>
      <c r="F43" s="456">
        <f>F37+F38+F40-F42-F41</f>
        <v>215.41999999999996</v>
      </c>
      <c r="G43" s="456">
        <f>G37+G38+G39+G40-G41-G42</f>
        <v>297.16999999999996</v>
      </c>
      <c r="H43" s="8"/>
      <c r="I43" s="145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86" t="s">
        <v>45</v>
      </c>
      <c r="D44" s="287">
        <f>D37+D38+D39+D40</f>
        <v>788.09999999999991</v>
      </c>
      <c r="E44" s="287">
        <f>E37+E38+E39+E40</f>
        <v>702.69</v>
      </c>
      <c r="F44" s="287">
        <f>F37+F38+F40</f>
        <v>627.41999999999996</v>
      </c>
      <c r="G44" s="287">
        <f>G37+G38+G39+G40</f>
        <v>635.66999999999996</v>
      </c>
      <c r="H44" s="8">
        <f>G37+G38+G39+G40</f>
        <v>635.66999999999996</v>
      </c>
      <c r="I44" s="462"/>
      <c r="J44" s="366"/>
      <c r="K44" s="366"/>
      <c r="L44" s="366"/>
      <c r="M44" s="366"/>
      <c r="N44" s="366"/>
      <c r="O44" s="366"/>
      <c r="P44" s="366"/>
      <c r="Q44" s="1"/>
      <c r="R44" s="1"/>
      <c r="S44" s="1"/>
      <c r="T44" s="1"/>
      <c r="U44" s="1"/>
      <c r="V44" s="1"/>
    </row>
    <row r="45" spans="1:22" ht="14.1" customHeight="1">
      <c r="B45" s="21"/>
      <c r="C45" s="169"/>
      <c r="D45" s="364"/>
      <c r="E45" s="462"/>
      <c r="F45" s="8"/>
      <c r="G45" s="8"/>
      <c r="H45" s="8">
        <f>G37+G38+G39+G40-G41-G42</f>
        <v>297.16999999999996</v>
      </c>
      <c r="I45" s="283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s="86" customFormat="1" ht="14.1" customHeight="1">
      <c r="A46" s="168"/>
      <c r="B46" s="475"/>
      <c r="C46" s="1271"/>
      <c r="D46" s="1191"/>
      <c r="E46" s="1191"/>
      <c r="F46" s="1191"/>
      <c r="G46" s="1191"/>
      <c r="H46" s="168"/>
      <c r="I46" s="68"/>
      <c r="J46" s="145"/>
      <c r="K46" s="366"/>
      <c r="L46" s="366"/>
      <c r="M46" s="145"/>
      <c r="N46" s="366"/>
      <c r="O46" s="366"/>
      <c r="P46" s="366"/>
      <c r="Q46" s="366"/>
      <c r="R46" s="366"/>
      <c r="S46" s="366"/>
      <c r="T46" s="366"/>
      <c r="U46" s="366"/>
      <c r="V46" s="366"/>
    </row>
    <row r="47" spans="1:22" s="86" customFormat="1" ht="12.95" customHeight="1">
      <c r="A47" s="168"/>
      <c r="B47" s="475"/>
      <c r="C47" s="145"/>
      <c r="D47" s="145">
        <f>D43+E43+E41</f>
        <v>972.2</v>
      </c>
      <c r="E47" s="145"/>
      <c r="F47" s="168">
        <f>F44+G44</f>
        <v>1263.0899999999999</v>
      </c>
      <c r="G47" s="168">
        <f>F47</f>
        <v>1263.0899999999999</v>
      </c>
      <c r="H47" s="168"/>
      <c r="I47" s="72"/>
      <c r="J47" s="366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ht="12.95" customHeight="1">
      <c r="B48" s="32"/>
      <c r="C48" s="1"/>
      <c r="D48" s="1"/>
      <c r="E48" s="127"/>
      <c r="G48" s="8"/>
      <c r="H48" s="207"/>
      <c r="I48" s="68"/>
      <c r="J48" s="366"/>
      <c r="K48" s="366"/>
      <c r="L48" s="366"/>
      <c r="M48" s="366"/>
      <c r="N48" s="366"/>
      <c r="O48" s="366"/>
      <c r="P48" s="366"/>
      <c r="Q48" s="1"/>
      <c r="R48" s="1"/>
      <c r="S48" s="1"/>
      <c r="T48" s="1"/>
      <c r="U48" s="1"/>
      <c r="V48" s="1"/>
    </row>
    <row r="49" spans="1:22" s="86" customFormat="1" ht="12.95" customHeight="1">
      <c r="B49" s="517"/>
      <c r="C49" s="518"/>
      <c r="D49" s="518"/>
      <c r="E49" s="518"/>
      <c r="F49" s="550"/>
      <c r="G49" s="518"/>
      <c r="H49" s="519"/>
      <c r="I49" s="960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</row>
    <row r="50" spans="1:22" s="86" customFormat="1" ht="12.95" customHeight="1">
      <c r="C50" s="518"/>
      <c r="D50" s="518"/>
      <c r="E50" s="550"/>
      <c r="F50" s="550"/>
      <c r="G50" s="518"/>
      <c r="H50" s="168"/>
      <c r="I50" s="551"/>
      <c r="J50" s="518"/>
      <c r="K50" s="518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8.75">
      <c r="A52" s="366"/>
      <c r="B52" s="366"/>
      <c r="C52" s="366"/>
      <c r="D52" s="366"/>
      <c r="E52" s="144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>
      <c r="A53" s="366"/>
      <c r="B53" s="366"/>
      <c r="C53" s="366"/>
      <c r="D53" s="366"/>
      <c r="E53" s="144"/>
      <c r="I53" s="143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 ht="15" customHeight="1">
      <c r="A54" s="366"/>
      <c r="B54" s="366"/>
      <c r="C54" s="366"/>
      <c r="D54" s="366"/>
      <c r="E54" s="144"/>
      <c r="H54" s="550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>
      <c r="A57" s="366"/>
      <c r="B57" s="366"/>
      <c r="C57" s="366"/>
      <c r="D57" s="366"/>
      <c r="E57" s="144"/>
      <c r="H57" s="168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>
      <c r="A62" s="1"/>
      <c r="B62" s="1"/>
      <c r="C62" s="1"/>
      <c r="D62" s="1"/>
      <c r="E62" s="1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1"/>
      <c r="D66" s="1"/>
      <c r="E66" s="11"/>
    </row>
    <row r="67" spans="1:22">
      <c r="A67" s="1"/>
      <c r="B67" s="1"/>
      <c r="C67" s="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B2:G32">
    <cfRule type="expression" dxfId="25" priority="1">
      <formula>$B2=7</formula>
    </cfRule>
    <cfRule type="expression" dxfId="24" priority="2">
      <formula>$B2=6</formula>
    </cfRule>
  </conditionalFormatting>
  <pageMargins left="0.7" right="0.7" top="0.75" bottom="0.75" header="0.3" footer="0.3"/>
  <pageSetup paperSize="11" scale="9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8"/>
  <sheetViews>
    <sheetView topLeftCell="A49" zoomScale="85" zoomScaleNormal="85" zoomScaleSheetLayoutView="70" zoomScalePageLayoutView="70" workbookViewId="0">
      <selection activeCell="D68" sqref="D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425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989"/>
      <c r="O2" s="990"/>
      <c r="P2" s="990"/>
      <c r="Q2" s="990"/>
      <c r="R2" s="366"/>
      <c r="S2" s="990"/>
      <c r="T2" s="990"/>
      <c r="U2" s="99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989"/>
      <c r="O3" s="366"/>
      <c r="P3" s="366"/>
      <c r="Q3" s="366"/>
      <c r="R3" s="366"/>
      <c r="S3" s="366"/>
      <c r="T3" s="366"/>
      <c r="U3" s="366"/>
      <c r="V3" s="990"/>
      <c r="W3" s="990"/>
      <c r="X3" s="366"/>
      <c r="Y3" s="990"/>
      <c r="Z3" s="668"/>
      <c r="AA3" s="366"/>
      <c r="AB3" s="366"/>
      <c r="AC3" s="366"/>
      <c r="AD3" s="9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83" t="s">
        <v>34</v>
      </c>
      <c r="C4" s="36" t="s">
        <v>35</v>
      </c>
      <c r="D4" s="36" t="s">
        <v>38</v>
      </c>
      <c r="E4" s="36" t="s">
        <v>42</v>
      </c>
      <c r="F4" s="983" t="s">
        <v>36</v>
      </c>
      <c r="G4" s="100" t="s">
        <v>173</v>
      </c>
      <c r="H4" s="715" t="s">
        <v>2</v>
      </c>
      <c r="I4" s="1234" t="s">
        <v>34</v>
      </c>
      <c r="J4" s="1234"/>
      <c r="K4" s="993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44110</v>
      </c>
      <c r="B5" s="161" t="s">
        <v>205</v>
      </c>
      <c r="C5" s="669">
        <v>113.19</v>
      </c>
      <c r="D5" s="275">
        <v>113.19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44111</v>
      </c>
      <c r="B6" s="161" t="s">
        <v>222</v>
      </c>
      <c r="C6" s="669">
        <v>124.42</v>
      </c>
      <c r="D6" s="275">
        <v>124.42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44"/>
      <c r="J6" s="1245"/>
      <c r="K6" s="481"/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1"/>
      <c r="H9" s="717"/>
      <c r="I9" s="1244"/>
      <c r="J9" s="1245"/>
      <c r="K9" s="481"/>
      <c r="L9" s="1248"/>
      <c r="M9" s="1249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44"/>
      <c r="J11" s="1245"/>
      <c r="K11" s="481"/>
      <c r="L11" s="1183"/>
      <c r="M11" s="124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44"/>
      <c r="J12" s="1245"/>
      <c r="K12" s="481"/>
      <c r="L12" s="1183"/>
      <c r="M12" s="124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237.61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988" t="s">
        <v>21</v>
      </c>
      <c r="K22" s="988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6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Bot="1">
      <c r="A36" s="339"/>
      <c r="B36" s="199"/>
      <c r="C36" s="1"/>
      <c r="D36" s="273"/>
      <c r="E36" s="366"/>
      <c r="F36" s="366"/>
      <c r="G36" s="366"/>
      <c r="H36" s="646" t="s">
        <v>162</v>
      </c>
      <c r="I36" s="661">
        <v>25796.49</v>
      </c>
      <c r="J36" s="648">
        <f>2.2+22+11+100+1+324+64.2+163+106+6+211.5+238+369+166+327.5+1+30+198</f>
        <v>2340.4</v>
      </c>
      <c r="K36" s="649">
        <v>1417.21</v>
      </c>
      <c r="L36" s="981">
        <f>1442+786+491+108+201+501+256+1197+2570+42+883.5+330+192+1658+539+1550.5+1020.5+410+1497+230+17+879+290.5+569+1403.5+696+517+2100+1076.5+482+811</f>
        <v>24746</v>
      </c>
      <c r="M36" s="104">
        <f t="shared" si="3"/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 thickTop="1">
      <c r="A37" s="339"/>
      <c r="B37" s="199"/>
      <c r="C37" s="1"/>
      <c r="D37" s="273"/>
      <c r="E37" s="84"/>
      <c r="F37" s="366"/>
      <c r="G37" s="366"/>
      <c r="H37" s="1152" t="s">
        <v>36</v>
      </c>
      <c r="I37" s="1154" t="s">
        <v>178</v>
      </c>
      <c r="J37" s="1155"/>
      <c r="K37" s="1156"/>
      <c r="L37" s="1160" t="s">
        <v>159</v>
      </c>
      <c r="M37" s="1160"/>
      <c r="N37" s="786" t="s">
        <v>370</v>
      </c>
      <c r="O37" s="448"/>
      <c r="P37" s="84"/>
      <c r="Q37" s="145"/>
      <c r="R37" s="145"/>
      <c r="S37" s="86"/>
      <c r="T37" s="86"/>
      <c r="U37" s="86"/>
      <c r="V37" s="86"/>
      <c r="W37" s="86"/>
      <c r="X37" s="86"/>
      <c r="Y37" s="366"/>
      <c r="Z37" s="366"/>
    </row>
    <row r="38" spans="1:26" ht="13.5" customHeight="1">
      <c r="A38" s="339"/>
      <c r="B38" s="199"/>
      <c r="C38" s="284"/>
      <c r="D38" s="273"/>
      <c r="E38" s="284"/>
      <c r="F38" s="366"/>
      <c r="G38" s="378"/>
      <c r="H38" s="1153"/>
      <c r="I38" s="1157"/>
      <c r="J38" s="1158"/>
      <c r="K38" s="1159"/>
      <c r="L38" s="1162"/>
      <c r="M38" s="1162"/>
      <c r="N38" s="787" t="s">
        <v>189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 ht="15.75" customHeight="1">
      <c r="A39" s="339"/>
      <c r="B39" s="199"/>
      <c r="C39" s="199"/>
      <c r="D39" s="273"/>
      <c r="E39" s="199"/>
      <c r="F39" s="366"/>
      <c r="G39" s="378"/>
      <c r="H39" s="529" t="s">
        <v>403</v>
      </c>
      <c r="I39" s="1231" t="s">
        <v>47</v>
      </c>
      <c r="J39" s="1231"/>
      <c r="K39" s="993">
        <v>328.13</v>
      </c>
      <c r="L39" s="282">
        <v>44119</v>
      </c>
      <c r="M39" s="1" t="s">
        <v>427</v>
      </c>
      <c r="N39" s="788">
        <v>132</v>
      </c>
      <c r="O39" s="448"/>
      <c r="P39" s="84"/>
      <c r="Q39" s="145"/>
      <c r="R39" s="84"/>
      <c r="S39" s="86"/>
      <c r="T39" s="86"/>
      <c r="U39" s="86"/>
      <c r="V39" s="294"/>
      <c r="W39" s="86"/>
      <c r="X39" s="86"/>
      <c r="Y39" s="366"/>
      <c r="Z39" s="366"/>
    </row>
    <row r="40" spans="1:26">
      <c r="A40" s="339"/>
      <c r="B40" s="366"/>
      <c r="C40" s="274"/>
      <c r="D40" s="273"/>
      <c r="E40" s="274"/>
      <c r="F40" s="366"/>
      <c r="G40" s="366"/>
      <c r="H40" s="529" t="s">
        <v>403</v>
      </c>
      <c r="I40" s="1229" t="s">
        <v>51</v>
      </c>
      <c r="J40" s="1229"/>
      <c r="K40" s="992">
        <v>71.83</v>
      </c>
      <c r="L40" s="282">
        <v>44119</v>
      </c>
      <c r="M40" s="1" t="s">
        <v>427</v>
      </c>
      <c r="N40" s="789">
        <v>40</v>
      </c>
      <c r="O40" s="448"/>
      <c r="P40" s="84"/>
      <c r="Q40" s="145"/>
      <c r="R40" s="273"/>
      <c r="S40" s="366"/>
      <c r="T40" s="86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199"/>
      <c r="F41" s="366"/>
      <c r="G41" s="366"/>
      <c r="H41" s="529" t="s">
        <v>403</v>
      </c>
      <c r="I41" s="1229" t="s">
        <v>52</v>
      </c>
      <c r="J41" s="1229"/>
      <c r="K41" s="992">
        <v>5.63</v>
      </c>
      <c r="L41" s="282">
        <v>44119</v>
      </c>
      <c r="M41" s="1" t="s">
        <v>427</v>
      </c>
      <c r="N41" s="789">
        <v>3</v>
      </c>
      <c r="O41" s="448"/>
      <c r="P41" s="84"/>
      <c r="Q41" s="145"/>
      <c r="R41" s="273"/>
      <c r="S41" s="366"/>
      <c r="T41" s="294"/>
      <c r="U41" s="86"/>
      <c r="V41" s="366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403</v>
      </c>
      <c r="I42" s="1229" t="s">
        <v>49</v>
      </c>
      <c r="J42" s="1248"/>
      <c r="K42" s="992">
        <v>314</v>
      </c>
      <c r="L42" s="294">
        <v>44124</v>
      </c>
      <c r="M42" s="1" t="s">
        <v>426</v>
      </c>
      <c r="N42" s="788">
        <v>200</v>
      </c>
      <c r="O42" s="448"/>
      <c r="P42" s="947"/>
      <c r="Q42" s="145"/>
      <c r="R42" s="990"/>
      <c r="S42" s="366"/>
      <c r="T42" s="294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366"/>
      <c r="F43" s="366"/>
      <c r="G43" s="366"/>
      <c r="H43" s="529" t="s">
        <v>403</v>
      </c>
      <c r="I43" s="1230" t="s">
        <v>59</v>
      </c>
      <c r="J43" s="1218"/>
      <c r="K43" s="455">
        <v>414.85</v>
      </c>
      <c r="L43" s="302" t="s">
        <v>177</v>
      </c>
      <c r="M43" s="1" t="s">
        <v>427</v>
      </c>
      <c r="N43" s="790">
        <v>102.73</v>
      </c>
      <c r="O43" s="1005"/>
      <c r="P43" s="942"/>
      <c r="Q43" s="145"/>
      <c r="R43" s="567"/>
      <c r="S43" s="366"/>
      <c r="T43" s="294"/>
      <c r="U43" s="86"/>
      <c r="V43" s="294"/>
      <c r="W43" s="366"/>
      <c r="X43" s="366"/>
      <c r="Y43" s="366"/>
    </row>
    <row r="44" spans="1:26">
      <c r="A44" s="340"/>
      <c r="B44" s="199"/>
      <c r="C44" s="199"/>
      <c r="D44" s="273"/>
      <c r="E44" s="199"/>
      <c r="F44" s="366"/>
      <c r="G44" s="366"/>
      <c r="H44" s="529" t="s">
        <v>403</v>
      </c>
      <c r="I44" s="1218" t="s">
        <v>68</v>
      </c>
      <c r="J44" s="1259"/>
      <c r="K44" s="992">
        <v>293.06</v>
      </c>
      <c r="L44" s="294">
        <v>44124</v>
      </c>
      <c r="M44" s="1" t="s">
        <v>427</v>
      </c>
      <c r="N44" s="790">
        <f>K44/2</f>
        <v>146.53</v>
      </c>
      <c r="O44" s="448"/>
      <c r="P44" s="444"/>
      <c r="Q44" s="363"/>
      <c r="R44" s="990"/>
      <c r="S44" s="366"/>
      <c r="T44" s="366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403</v>
      </c>
      <c r="I45" s="991" t="s">
        <v>174</v>
      </c>
      <c r="J45" s="995"/>
      <c r="K45" s="476">
        <f>337.71+180.88</f>
        <v>518.58999999999992</v>
      </c>
      <c r="L45" s="282">
        <v>44119</v>
      </c>
      <c r="M45" s="1" t="s">
        <v>427</v>
      </c>
      <c r="N45" s="791">
        <f>K45</f>
        <v>518.58999999999992</v>
      </c>
      <c r="O45" s="12"/>
      <c r="P45" s="682"/>
      <c r="Q45" s="36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199"/>
      <c r="F46" s="366"/>
      <c r="G46" s="366"/>
      <c r="H46" s="529" t="s">
        <v>241</v>
      </c>
      <c r="I46" s="991" t="s">
        <v>176</v>
      </c>
      <c r="J46" s="995"/>
      <c r="K46" s="455" t="s">
        <v>385</v>
      </c>
      <c r="L46" s="294">
        <v>44124</v>
      </c>
      <c r="M46" s="1" t="s">
        <v>427</v>
      </c>
      <c r="N46" s="789" t="str">
        <f>K46</f>
        <v>НЕТ</v>
      </c>
      <c r="O46" s="127"/>
      <c r="P46" s="84"/>
      <c r="Q46" s="363"/>
      <c r="R46" s="365"/>
      <c r="S46" s="366"/>
      <c r="T46" s="294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403</v>
      </c>
      <c r="I47" s="1218" t="s">
        <v>81</v>
      </c>
      <c r="J47" s="1219"/>
      <c r="K47" s="992">
        <v>1543</v>
      </c>
      <c r="L47" s="282">
        <v>44119</v>
      </c>
      <c r="M47" s="1" t="s">
        <v>427</v>
      </c>
      <c r="N47" s="789">
        <f>K47/2</f>
        <v>771.5</v>
      </c>
      <c r="O47" s="145"/>
      <c r="P47" s="84"/>
      <c r="Q47" s="84"/>
      <c r="R47" s="84"/>
      <c r="S47" s="84"/>
      <c r="T47" s="294"/>
      <c r="U47" s="366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403</v>
      </c>
      <c r="I48" s="1218" t="s">
        <v>181</v>
      </c>
      <c r="J48" s="1219"/>
      <c r="K48" s="992">
        <v>10</v>
      </c>
      <c r="L48" s="282">
        <v>44119</v>
      </c>
      <c r="M48" s="1" t="s">
        <v>427</v>
      </c>
      <c r="N48" s="791">
        <f>K48</f>
        <v>10</v>
      </c>
      <c r="O48" s="127"/>
      <c r="P48" s="145"/>
      <c r="Q48" s="363"/>
      <c r="R48" s="366"/>
      <c r="S48" s="366"/>
      <c r="T48" s="294"/>
      <c r="U48" s="294"/>
      <c r="V48" s="366"/>
      <c r="W48" s="294"/>
      <c r="X48" s="294"/>
      <c r="Y48" s="366"/>
    </row>
    <row r="49" spans="1:25">
      <c r="A49" s="340" t="s">
        <v>343</v>
      </c>
      <c r="B49" s="199"/>
      <c r="C49" s="366"/>
      <c r="D49" s="273"/>
      <c r="E49" s="232"/>
      <c r="F49" s="366"/>
      <c r="G49" s="366"/>
      <c r="H49" s="529" t="s">
        <v>403</v>
      </c>
      <c r="I49" s="1146" t="s">
        <v>61</v>
      </c>
      <c r="J49" s="1146"/>
      <c r="K49" s="1007">
        <v>884.45</v>
      </c>
      <c r="L49" s="294">
        <v>44124</v>
      </c>
      <c r="M49" s="1" t="s">
        <v>427</v>
      </c>
      <c r="N49" s="789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403</v>
      </c>
      <c r="I50" s="1146" t="s">
        <v>298</v>
      </c>
      <c r="J50" s="1146"/>
      <c r="K50" s="93">
        <f>207.37-129.37</f>
        <v>78</v>
      </c>
      <c r="L50" s="294">
        <v>44124</v>
      </c>
      <c r="M50" s="1" t="s">
        <v>427</v>
      </c>
      <c r="N50" s="788">
        <v>40</v>
      </c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403</v>
      </c>
      <c r="I51" s="1146" t="s">
        <v>299</v>
      </c>
      <c r="J51" s="1146"/>
      <c r="K51" s="93">
        <v>50</v>
      </c>
      <c r="L51" s="282">
        <v>44119</v>
      </c>
      <c r="M51" s="1" t="s">
        <v>427</v>
      </c>
      <c r="N51" s="789">
        <v>50</v>
      </c>
      <c r="P51" s="145"/>
      <c r="Q51" s="273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403</v>
      </c>
      <c r="I52" s="1146" t="s">
        <v>300</v>
      </c>
      <c r="J52" s="1146"/>
      <c r="K52" s="93">
        <v>150</v>
      </c>
      <c r="L52" s="282">
        <v>44134</v>
      </c>
      <c r="M52" s="1" t="s">
        <v>427</v>
      </c>
      <c r="N52" s="789">
        <v>150</v>
      </c>
      <c r="O52" s="12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403</v>
      </c>
      <c r="I53" s="1146" t="s">
        <v>325</v>
      </c>
      <c r="J53" s="1146"/>
      <c r="K53" s="93">
        <v>18</v>
      </c>
      <c r="L53" s="282">
        <v>44119</v>
      </c>
      <c r="M53" s="1" t="s">
        <v>427</v>
      </c>
      <c r="N53" s="790">
        <v>9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 t="s">
        <v>403</v>
      </c>
      <c r="I54" s="1150" t="s">
        <v>374</v>
      </c>
      <c r="J54" s="1151"/>
      <c r="K54" s="145">
        <v>906.85</v>
      </c>
      <c r="L54" s="282">
        <v>44134</v>
      </c>
      <c r="M54" s="1" t="s">
        <v>427</v>
      </c>
      <c r="N54" s="810">
        <f>K54</f>
        <v>906.85</v>
      </c>
      <c r="O54" s="150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 ht="15.75" thickBot="1">
      <c r="A55" s="341"/>
      <c r="B55" s="330"/>
      <c r="C55" s="331"/>
      <c r="D55" s="342"/>
      <c r="E55" s="330"/>
      <c r="F55" s="331"/>
      <c r="G55" s="331"/>
      <c r="H55" s="1257" t="s">
        <v>179</v>
      </c>
      <c r="I55" s="1237"/>
      <c r="J55" s="361">
        <f>SUM(K39:K54)</f>
        <v>5586.39</v>
      </c>
      <c r="K55" s="1147" t="s">
        <v>180</v>
      </c>
      <c r="L55" s="1147"/>
      <c r="M55" s="785">
        <v>0</v>
      </c>
      <c r="N55" s="792">
        <f>SUM(N39:N54)</f>
        <v>3080.2</v>
      </c>
      <c r="P55" s="145"/>
      <c r="Q55" s="365"/>
      <c r="R55" s="366"/>
      <c r="S55" s="366"/>
      <c r="T55" s="294"/>
      <c r="U55" s="366"/>
      <c r="V55" s="366"/>
      <c r="W55" s="366"/>
      <c r="X55" s="366"/>
      <c r="Y55" s="366"/>
    </row>
    <row r="56" spans="1:25" ht="15.75" thickTop="1">
      <c r="A56" s="366"/>
      <c r="B56" s="366"/>
      <c r="C56" s="366"/>
      <c r="D56" s="366"/>
      <c r="E56" s="366"/>
      <c r="F56" s="366"/>
      <c r="G56" s="366"/>
      <c r="H56" s="1210"/>
      <c r="I56" s="1210"/>
      <c r="J56" s="1210"/>
      <c r="K56" s="1210"/>
      <c r="L56" s="366"/>
      <c r="M56" s="442"/>
      <c r="N56" s="1"/>
      <c r="P56" s="145"/>
      <c r="Q56" s="365"/>
      <c r="R56" s="366"/>
      <c r="S56" s="366"/>
      <c r="T56" s="366"/>
      <c r="U56" s="366"/>
      <c r="V56" s="366"/>
      <c r="W56" s="366"/>
      <c r="X56" s="366"/>
      <c r="Y56" s="366"/>
    </row>
    <row r="57" spans="1:25" ht="15" customHeight="1">
      <c r="A57" s="1211" t="s">
        <v>436</v>
      </c>
      <c r="B57" s="1211"/>
      <c r="C57" s="1211"/>
      <c r="D57" s="1211"/>
      <c r="E57" s="1211"/>
      <c r="F57" s="1211"/>
      <c r="G57" s="1211"/>
      <c r="H57" s="1211"/>
      <c r="I57" s="1211"/>
      <c r="J57" s="1211"/>
      <c r="K57" s="1211"/>
      <c r="L57" s="1211"/>
      <c r="M57" s="1211"/>
      <c r="N57" s="1"/>
      <c r="O57" s="150"/>
      <c r="P57" s="145"/>
      <c r="Q57" s="365"/>
      <c r="R57" s="366"/>
      <c r="S57" s="366"/>
      <c r="T57" s="366"/>
      <c r="U57" s="366"/>
      <c r="V57" s="366"/>
      <c r="W57" s="366"/>
      <c r="X57" s="366"/>
    </row>
    <row r="58" spans="1:25" ht="15.75" customHeight="1" thickBot="1">
      <c r="A58" s="1212"/>
      <c r="B58" s="1212"/>
      <c r="C58" s="1212"/>
      <c r="D58" s="1212"/>
      <c r="E58" s="1212"/>
      <c r="F58" s="1212"/>
      <c r="G58" s="1212"/>
      <c r="H58" s="1212"/>
      <c r="I58" s="1212"/>
      <c r="J58" s="1212"/>
      <c r="K58" s="1212"/>
      <c r="L58" s="1212"/>
      <c r="M58" s="1212"/>
      <c r="N58" s="1"/>
      <c r="P58" s="145"/>
      <c r="Q58" s="365"/>
      <c r="R58" s="365"/>
      <c r="S58" s="990"/>
      <c r="T58" s="366"/>
      <c r="U58" s="366"/>
      <c r="V58" s="366"/>
      <c r="W58" s="366"/>
      <c r="X58" s="366"/>
    </row>
    <row r="59" spans="1:25" ht="15.75" thickTop="1">
      <c r="A59" s="1220" t="s">
        <v>346</v>
      </c>
      <c r="B59" s="1166"/>
      <c r="C59" s="1166"/>
      <c r="D59" s="1166"/>
      <c r="E59" s="1166"/>
      <c r="F59" s="1166"/>
      <c r="G59" s="1167"/>
      <c r="H59" s="1250" t="s">
        <v>345</v>
      </c>
      <c r="I59" s="1251"/>
      <c r="J59" s="1251"/>
      <c r="K59" s="1251"/>
      <c r="L59" s="1251"/>
      <c r="M59" s="1252"/>
      <c r="N59" s="1"/>
      <c r="P59" s="84"/>
      <c r="Q59" s="366"/>
      <c r="S59" s="274"/>
      <c r="T59" s="366"/>
      <c r="U59" s="366"/>
      <c r="V59" s="366"/>
      <c r="W59" s="366"/>
      <c r="X59" s="366"/>
    </row>
    <row r="60" spans="1:25">
      <c r="A60" s="324" t="s">
        <v>2</v>
      </c>
      <c r="B60" s="983" t="s">
        <v>34</v>
      </c>
      <c r="C60" s="36" t="s">
        <v>35</v>
      </c>
      <c r="D60" s="36" t="s">
        <v>38</v>
      </c>
      <c r="E60" s="36" t="s">
        <v>42</v>
      </c>
      <c r="F60" s="983" t="s">
        <v>36</v>
      </c>
      <c r="G60" s="100" t="s">
        <v>173</v>
      </c>
      <c r="H60" s="715" t="s">
        <v>2</v>
      </c>
      <c r="I60" s="1234" t="s">
        <v>34</v>
      </c>
      <c r="J60" s="1234"/>
      <c r="K60" s="993" t="s">
        <v>35</v>
      </c>
      <c r="L60" s="1253" t="s">
        <v>173</v>
      </c>
      <c r="M60" s="1254"/>
      <c r="N60" s="1"/>
      <c r="P60" s="449"/>
      <c r="Q60" s="366"/>
      <c r="S60" s="274"/>
      <c r="T60" s="366"/>
      <c r="U60" s="366"/>
      <c r="V60" s="366"/>
      <c r="W60" s="366"/>
      <c r="X60" s="366"/>
    </row>
    <row r="61" spans="1:25">
      <c r="A61" s="325">
        <v>44105</v>
      </c>
      <c r="B61" s="161" t="s">
        <v>396</v>
      </c>
      <c r="C61" s="669">
        <v>706.34</v>
      </c>
      <c r="D61" s="275">
        <v>706.34</v>
      </c>
      <c r="E61" s="576" t="str">
        <f>IF(C61-D61=0,"",C61-D61)</f>
        <v/>
      </c>
      <c r="F61" s="162" t="str">
        <f t="shared" ref="F61:F76" si="4">IF(C61=0,"",IF(C61-D61=0,"оплачено","ОЖИДАЕТСЯ оплата"))</f>
        <v>оплачено</v>
      </c>
      <c r="G61" s="162"/>
      <c r="H61" s="325"/>
      <c r="I61" s="1244"/>
      <c r="J61" s="1245"/>
      <c r="K61" s="481"/>
      <c r="L61" s="1246"/>
      <c r="M61" s="1247"/>
      <c r="N61" s="1"/>
      <c r="P61" s="449"/>
      <c r="Q61" s="366"/>
      <c r="S61" s="366"/>
      <c r="T61" s="84"/>
      <c r="U61" s="366"/>
      <c r="W61" s="366"/>
      <c r="X61" s="366"/>
    </row>
    <row r="62" spans="1:25">
      <c r="A62" s="325">
        <v>44119</v>
      </c>
      <c r="B62" s="161" t="s">
        <v>396</v>
      </c>
      <c r="C62" s="669">
        <v>1195.02</v>
      </c>
      <c r="D62" s="275">
        <v>1195.02</v>
      </c>
      <c r="E62" s="576" t="str">
        <f t="shared" ref="E62:E76" si="5">IF(C62-D62=0,"",C62-D62)</f>
        <v/>
      </c>
      <c r="F62" s="162" t="str">
        <f t="shared" si="4"/>
        <v>оплачено</v>
      </c>
      <c r="G62" s="162"/>
      <c r="H62" s="717"/>
      <c r="I62" s="1244"/>
      <c r="J62" s="1245"/>
      <c r="K62" s="481"/>
      <c r="L62" s="1246"/>
      <c r="M62" s="1247"/>
      <c r="N62" s="1"/>
      <c r="P62" s="449"/>
      <c r="Q62" s="366"/>
      <c r="S62" s="366"/>
      <c r="T62" s="366"/>
      <c r="U62" s="366"/>
      <c r="W62" s="366"/>
      <c r="X62" s="366"/>
    </row>
    <row r="63" spans="1:25">
      <c r="A63" s="325">
        <v>44123</v>
      </c>
      <c r="B63" s="161" t="s">
        <v>255</v>
      </c>
      <c r="C63" s="669">
        <v>314.25</v>
      </c>
      <c r="D63" s="275">
        <v>314.25</v>
      </c>
      <c r="E63" s="576" t="str">
        <f t="shared" si="5"/>
        <v/>
      </c>
      <c r="F63" s="162" t="str">
        <f t="shared" si="4"/>
        <v>оплачено</v>
      </c>
      <c r="G63" s="162"/>
      <c r="H63" s="717"/>
      <c r="I63" s="1244"/>
      <c r="J63" s="1245"/>
      <c r="K63" s="481"/>
      <c r="L63" s="1248"/>
      <c r="M63" s="1249"/>
      <c r="N63" s="1"/>
      <c r="P63" s="449"/>
      <c r="T63" s="366"/>
      <c r="U63" s="366"/>
    </row>
    <row r="64" spans="1:25">
      <c r="A64" s="325">
        <v>44125</v>
      </c>
      <c r="B64" s="161" t="s">
        <v>428</v>
      </c>
      <c r="C64" s="669">
        <v>524.25</v>
      </c>
      <c r="D64" s="275">
        <v>524.25</v>
      </c>
      <c r="E64" s="673" t="str">
        <f t="shared" si="5"/>
        <v/>
      </c>
      <c r="F64" s="161" t="str">
        <f t="shared" si="4"/>
        <v>оплачено</v>
      </c>
      <c r="G64" s="161"/>
      <c r="H64" s="717"/>
      <c r="I64" s="1244"/>
      <c r="J64" s="1245"/>
      <c r="K64" s="481"/>
      <c r="L64" s="1248"/>
      <c r="M64" s="1249"/>
      <c r="N64" s="1"/>
      <c r="P64" s="449"/>
      <c r="U64" s="366"/>
    </row>
    <row r="65" spans="1:21">
      <c r="A65" s="325">
        <v>44124</v>
      </c>
      <c r="B65" s="161" t="s">
        <v>429</v>
      </c>
      <c r="C65" s="1049">
        <v>359.46</v>
      </c>
      <c r="D65" s="531">
        <v>359.46</v>
      </c>
      <c r="E65" s="576" t="str">
        <f t="shared" si="5"/>
        <v/>
      </c>
      <c r="F65" s="162" t="str">
        <f t="shared" si="4"/>
        <v>оплачено</v>
      </c>
      <c r="G65" s="162"/>
      <c r="H65" s="717"/>
      <c r="I65" s="1244"/>
      <c r="J65" s="1245"/>
      <c r="K65" s="481"/>
      <c r="L65" s="1248"/>
      <c r="M65" s="1249"/>
      <c r="N65" s="1"/>
      <c r="O65" s="150"/>
      <c r="P65" s="571"/>
      <c r="U65" s="366"/>
    </row>
    <row r="66" spans="1:21">
      <c r="A66" s="325">
        <v>44137</v>
      </c>
      <c r="B66" s="161" t="s">
        <v>255</v>
      </c>
      <c r="C66" s="669">
        <v>387.5</v>
      </c>
      <c r="D66" s="275">
        <v>387.5</v>
      </c>
      <c r="E66" s="576" t="str">
        <f t="shared" si="5"/>
        <v/>
      </c>
      <c r="F66" s="162" t="str">
        <f t="shared" si="4"/>
        <v>оплачено</v>
      </c>
      <c r="G66" s="162"/>
      <c r="H66" s="717"/>
      <c r="I66" s="1244"/>
      <c r="J66" s="1245"/>
      <c r="K66" s="481"/>
      <c r="L66" s="1248"/>
      <c r="M66" s="1249"/>
      <c r="N66" s="1"/>
      <c r="P66" s="86"/>
      <c r="U66" s="366"/>
    </row>
    <row r="67" spans="1:21" ht="14.45" customHeight="1">
      <c r="A67" s="325"/>
      <c r="B67" s="161"/>
      <c r="C67" s="951"/>
      <c r="D67" s="951"/>
      <c r="E67" s="576" t="str">
        <f>IF(C67-D67=0,"",C67-D67)</f>
        <v/>
      </c>
      <c r="F67" s="162" t="str">
        <f>IF(C67=0,"",IF(C67-D67=0,"оплачено","ОЖИДАЕТСЯ оплата"))</f>
        <v/>
      </c>
      <c r="G67" s="162"/>
      <c r="H67" s="717"/>
      <c r="I67" s="1244"/>
      <c r="J67" s="1245"/>
      <c r="K67" s="481"/>
      <c r="L67" s="1183"/>
      <c r="M67" s="1241"/>
      <c r="N67" s="1"/>
      <c r="O67" s="150"/>
      <c r="P67" s="86"/>
    </row>
    <row r="68" spans="1:21" ht="14.45" customHeight="1">
      <c r="A68" s="325"/>
      <c r="B68" s="161"/>
      <c r="C68" s="275"/>
      <c r="D68" s="275"/>
      <c r="E68" s="576" t="str">
        <f>IF(C68-D68=0,"",C68-D68)</f>
        <v/>
      </c>
      <c r="F68" s="162" t="str">
        <f>IF(C68=0,"",IF(C68-D68=0,"оплачено","ОЖИДАЕТСЯ оплата"))</f>
        <v/>
      </c>
      <c r="G68" s="162"/>
      <c r="H68" s="717" t="str">
        <f t="shared" ref="H68:I76" si="6">IF(S11="","",S11)</f>
        <v/>
      </c>
      <c r="I68" s="1244"/>
      <c r="J68" s="1245"/>
      <c r="K68" s="481"/>
      <c r="L68" s="1183"/>
      <c r="M68" s="1241"/>
      <c r="N68" s="1"/>
    </row>
    <row r="69" spans="1:21" ht="14.45" customHeight="1">
      <c r="A69" s="325"/>
      <c r="B69" s="161"/>
      <c r="C69" s="275"/>
      <c r="D69" s="275"/>
      <c r="E69" s="576" t="str">
        <f t="shared" si="5"/>
        <v/>
      </c>
      <c r="F69" s="162" t="str">
        <f t="shared" si="4"/>
        <v/>
      </c>
      <c r="G69" s="162"/>
      <c r="H69" s="717" t="str">
        <f t="shared" si="6"/>
        <v/>
      </c>
      <c r="I69" s="1244" t="str">
        <f t="shared" si="6"/>
        <v/>
      </c>
      <c r="J69" s="1245"/>
      <c r="K69" s="481" t="str">
        <f t="shared" ref="K69:K76" si="7">IF(U12="","",U12)</f>
        <v/>
      </c>
      <c r="L69" s="1183"/>
      <c r="M69" s="1241"/>
      <c r="N69" s="1"/>
      <c r="O69" s="366"/>
    </row>
    <row r="70" spans="1:21">
      <c r="A70" s="325"/>
      <c r="B70" s="161"/>
      <c r="C70" s="275"/>
      <c r="D70" s="275"/>
      <c r="E70" s="576" t="str">
        <f t="shared" si="5"/>
        <v/>
      </c>
      <c r="F70" s="162" t="str">
        <f t="shared" si="4"/>
        <v/>
      </c>
      <c r="G70" s="162"/>
      <c r="H70" s="717" t="str">
        <f t="shared" si="6"/>
        <v/>
      </c>
      <c r="I70" s="1244" t="str">
        <f t="shared" si="6"/>
        <v/>
      </c>
      <c r="J70" s="1245"/>
      <c r="K70" s="481" t="str">
        <f t="shared" si="7"/>
        <v/>
      </c>
      <c r="L70" s="1183"/>
      <c r="M70" s="1241"/>
      <c r="N70" s="1"/>
      <c r="O70" s="366"/>
    </row>
    <row r="71" spans="1:21" s="86" customFormat="1">
      <c r="A71" s="325"/>
      <c r="B71" s="161"/>
      <c r="C71" s="275"/>
      <c r="D71" s="275"/>
      <c r="E71" s="576" t="str">
        <f t="shared" si="5"/>
        <v/>
      </c>
      <c r="F71" s="162" t="str">
        <f t="shared" si="4"/>
        <v/>
      </c>
      <c r="G71" s="162"/>
      <c r="H71" s="717" t="str">
        <f t="shared" si="6"/>
        <v/>
      </c>
      <c r="I71" s="1244" t="str">
        <f t="shared" si="6"/>
        <v/>
      </c>
      <c r="J71" s="1245"/>
      <c r="K71" s="481" t="str">
        <f t="shared" si="7"/>
        <v/>
      </c>
      <c r="L71" s="1248"/>
      <c r="M71" s="1249"/>
      <c r="N71" s="366"/>
      <c r="O71" s="84"/>
      <c r="P71" s="1"/>
      <c r="Q71" s="35"/>
      <c r="T71" s="35"/>
      <c r="U71" s="35"/>
    </row>
    <row r="72" spans="1:21">
      <c r="A72" s="325"/>
      <c r="B72" s="161"/>
      <c r="C72" s="275"/>
      <c r="D72" s="974"/>
      <c r="E72" s="576" t="str">
        <f t="shared" si="5"/>
        <v/>
      </c>
      <c r="F72" s="162" t="str">
        <f t="shared" si="4"/>
        <v/>
      </c>
      <c r="G72" s="162"/>
      <c r="H72" s="717" t="str">
        <f t="shared" si="6"/>
        <v/>
      </c>
      <c r="I72" s="1244" t="str">
        <f t="shared" si="6"/>
        <v/>
      </c>
      <c r="J72" s="1245"/>
      <c r="K72" s="481" t="str">
        <f t="shared" si="7"/>
        <v/>
      </c>
      <c r="L72" s="1183"/>
      <c r="M72" s="1241"/>
      <c r="N72" s="150"/>
      <c r="O72" s="366"/>
      <c r="P72" s="1"/>
      <c r="T72" s="86"/>
    </row>
    <row r="73" spans="1:21">
      <c r="A73" s="325"/>
      <c r="B73" s="161"/>
      <c r="C73" s="275"/>
      <c r="D73" s="275"/>
      <c r="E73" s="576" t="str">
        <f>IF(C73-D73=0,"",C73-D73)</f>
        <v/>
      </c>
      <c r="F73" s="162" t="str">
        <f>IF(C73=0,"",IF(C73-D73=0,"оплачено","ОЖИДАЕТСЯ оплата"))</f>
        <v/>
      </c>
      <c r="G73" s="162"/>
      <c r="H73" s="717" t="str">
        <f t="shared" si="6"/>
        <v/>
      </c>
      <c r="I73" s="1244" t="str">
        <f t="shared" si="6"/>
        <v/>
      </c>
      <c r="J73" s="1245"/>
      <c r="K73" s="481" t="str">
        <f t="shared" si="7"/>
        <v/>
      </c>
      <c r="L73" s="1183"/>
      <c r="M73" s="1241"/>
      <c r="N73" s="1"/>
      <c r="O73" s="84"/>
      <c r="P73" s="366"/>
    </row>
    <row r="74" spans="1:21">
      <c r="A74" s="325"/>
      <c r="B74" s="161"/>
      <c r="C74" s="275"/>
      <c r="D74" s="275"/>
      <c r="E74" s="576" t="str">
        <f t="shared" si="5"/>
        <v/>
      </c>
      <c r="F74" s="162" t="str">
        <f t="shared" si="4"/>
        <v/>
      </c>
      <c r="G74" s="162"/>
      <c r="H74" s="717" t="str">
        <f t="shared" si="6"/>
        <v/>
      </c>
      <c r="I74" s="1244" t="str">
        <f t="shared" si="6"/>
        <v/>
      </c>
      <c r="J74" s="1245"/>
      <c r="K74" s="481" t="str">
        <f t="shared" si="7"/>
        <v/>
      </c>
      <c r="L74" s="1183"/>
      <c r="M74" s="1241"/>
      <c r="N74" s="1"/>
      <c r="O74" s="84"/>
      <c r="P74" s="150"/>
    </row>
    <row r="75" spans="1:21">
      <c r="A75" s="325"/>
      <c r="B75" s="161"/>
      <c r="C75" s="275"/>
      <c r="D75" s="275"/>
      <c r="E75" s="576" t="str">
        <f t="shared" si="5"/>
        <v/>
      </c>
      <c r="F75" s="162" t="str">
        <f t="shared" si="4"/>
        <v/>
      </c>
      <c r="G75" s="162"/>
      <c r="H75" s="717" t="str">
        <f t="shared" si="6"/>
        <v/>
      </c>
      <c r="I75" s="1244" t="str">
        <f t="shared" si="6"/>
        <v/>
      </c>
      <c r="J75" s="1245"/>
      <c r="K75" s="481" t="str">
        <f t="shared" si="7"/>
        <v/>
      </c>
      <c r="L75" s="1183"/>
      <c r="M75" s="1241"/>
      <c r="N75" s="1"/>
      <c r="O75" s="366"/>
      <c r="P75" s="1"/>
      <c r="Q75" s="86"/>
    </row>
    <row r="76" spans="1:21">
      <c r="A76" s="325"/>
      <c r="B76" s="161"/>
      <c r="C76" s="275"/>
      <c r="D76" s="275"/>
      <c r="E76" s="576" t="str">
        <f t="shared" si="5"/>
        <v/>
      </c>
      <c r="F76" s="162" t="str">
        <f t="shared" si="4"/>
        <v/>
      </c>
      <c r="G76" s="162"/>
      <c r="H76" s="717" t="str">
        <f t="shared" si="6"/>
        <v/>
      </c>
      <c r="I76" s="1244" t="str">
        <f t="shared" si="6"/>
        <v/>
      </c>
      <c r="J76" s="1245"/>
      <c r="K76" s="481" t="str">
        <f t="shared" si="7"/>
        <v/>
      </c>
      <c r="L76" s="1183"/>
      <c r="M76" s="1241"/>
      <c r="N76" s="1"/>
      <c r="O76" s="84"/>
    </row>
    <row r="77" spans="1:21" ht="15.75" thickBot="1">
      <c r="A77" s="1221" t="s">
        <v>259</v>
      </c>
      <c r="B77" s="1222"/>
      <c r="C77" s="358">
        <f>SUM(C61:C76)</f>
        <v>3486.82</v>
      </c>
      <c r="D77" s="358"/>
      <c r="E77" s="576">
        <f>SUM(E61:E76)</f>
        <v>0</v>
      </c>
      <c r="F77" s="162"/>
      <c r="G77" s="451"/>
      <c r="H77" s="1238" t="s">
        <v>259</v>
      </c>
      <c r="I77" s="1239"/>
      <c r="J77" s="1240"/>
      <c r="K77" s="716">
        <f>SUM(K61:K76)</f>
        <v>0</v>
      </c>
      <c r="L77" s="1242"/>
      <c r="M77" s="1243"/>
      <c r="N77" s="1"/>
      <c r="O77" s="366"/>
      <c r="P77" s="84"/>
      <c r="U77" s="86"/>
    </row>
    <row r="78" spans="1:21" ht="15.75" thickTop="1">
      <c r="A78" s="351"/>
      <c r="B78" s="352"/>
      <c r="C78" s="353"/>
      <c r="D78" s="353"/>
      <c r="E78" s="354"/>
      <c r="F78" s="352"/>
      <c r="G78" s="376"/>
      <c r="H78" s="1168" t="s">
        <v>16</v>
      </c>
      <c r="I78" s="1170" t="s">
        <v>17</v>
      </c>
      <c r="J78" s="1170" t="s">
        <v>21</v>
      </c>
      <c r="K78" s="1170"/>
      <c r="L78" s="1172" t="s">
        <v>93</v>
      </c>
      <c r="M78" s="1174" t="s">
        <v>95</v>
      </c>
      <c r="N78" s="1"/>
      <c r="O78" s="84"/>
      <c r="P78" s="84"/>
    </row>
    <row r="79" spans="1:21" ht="24">
      <c r="A79" s="355"/>
      <c r="B79" s="201"/>
      <c r="C79" s="201"/>
      <c r="D79" s="201"/>
      <c r="E79" s="216"/>
      <c r="F79" s="201"/>
      <c r="G79" s="201"/>
      <c r="H79" s="1169"/>
      <c r="I79" s="1171"/>
      <c r="J79" s="988" t="s">
        <v>21</v>
      </c>
      <c r="K79" s="988" t="s">
        <v>25</v>
      </c>
      <c r="L79" s="1173"/>
      <c r="M79" s="1175"/>
      <c r="N79" s="1"/>
      <c r="O79" s="366"/>
      <c r="P79" s="84"/>
    </row>
    <row r="80" spans="1:21">
      <c r="A80" s="338"/>
      <c r="B80" s="199"/>
      <c r="C80" s="288"/>
      <c r="D80" s="232"/>
      <c r="E80" s="84"/>
      <c r="F80" s="199"/>
      <c r="G80" s="199"/>
      <c r="H80" s="347" t="s">
        <v>163</v>
      </c>
      <c r="I80" s="94">
        <v>2420.3999999999996</v>
      </c>
      <c r="J80" s="94">
        <v>115.5</v>
      </c>
      <c r="K80" s="989">
        <v>132.61000000000001</v>
      </c>
      <c r="L80" s="96">
        <v>22665.5</v>
      </c>
      <c r="M80" s="104">
        <f>L80-I80-J80-K80</f>
        <v>19996.989999999998</v>
      </c>
      <c r="N80" s="150"/>
      <c r="O80" s="449"/>
      <c r="P80" s="439"/>
      <c r="R80" s="86"/>
    </row>
    <row r="81" spans="1:26">
      <c r="A81" s="339"/>
      <c r="B81" s="199"/>
      <c r="C81" s="199"/>
      <c r="D81" s="273"/>
      <c r="E81" s="366"/>
      <c r="F81" s="84"/>
      <c r="G81" s="366"/>
      <c r="H81" s="347" t="s">
        <v>192</v>
      </c>
      <c r="I81" s="94">
        <v>7629.69</v>
      </c>
      <c r="J81" s="94">
        <v>352.29</v>
      </c>
      <c r="K81" s="94">
        <v>193.85000000000002</v>
      </c>
      <c r="L81" s="96">
        <v>10342</v>
      </c>
      <c r="M81" s="104">
        <f>M80-I81-J81-K81+L81</f>
        <v>22163.159999999996</v>
      </c>
      <c r="N81" s="1"/>
      <c r="O81" s="449"/>
      <c r="P81" s="439"/>
      <c r="R81" s="86"/>
    </row>
    <row r="82" spans="1:26">
      <c r="A82" s="339"/>
      <c r="B82" s="366"/>
      <c r="C82" s="199"/>
      <c r="D82" s="273"/>
      <c r="E82" s="366"/>
      <c r="F82" s="366"/>
      <c r="G82" s="366"/>
      <c r="H82" s="347" t="s">
        <v>199</v>
      </c>
      <c r="I82" s="298">
        <v>8423.6400000000012</v>
      </c>
      <c r="J82" s="94">
        <v>921.3</v>
      </c>
      <c r="K82" s="299">
        <v>312.46000000000004</v>
      </c>
      <c r="L82" s="299">
        <v>16668</v>
      </c>
      <c r="M82" s="104">
        <f>M81-I82-J82-K82+L82</f>
        <v>29173.759999999995</v>
      </c>
      <c r="N82" s="1"/>
      <c r="O82" s="449"/>
      <c r="P82" s="436"/>
      <c r="R82" s="86"/>
    </row>
    <row r="83" spans="1:26">
      <c r="A83" s="339"/>
      <c r="B83" s="1"/>
      <c r="C83" s="284"/>
      <c r="D83" s="273"/>
      <c r="E83" s="366"/>
      <c r="F83" s="366"/>
      <c r="G83" s="84"/>
      <c r="H83" s="347" t="s">
        <v>209</v>
      </c>
      <c r="I83" s="299">
        <v>8639.7199999999993</v>
      </c>
      <c r="J83" s="300">
        <v>749.49</v>
      </c>
      <c r="K83" s="552">
        <v>435.1</v>
      </c>
      <c r="L83" s="299">
        <v>17824.919999999998</v>
      </c>
      <c r="M83" s="104">
        <f>M82-I83-J83-K83+L83</f>
        <v>37174.369999999995</v>
      </c>
      <c r="N83" s="92" t="s">
        <v>313</v>
      </c>
      <c r="O83" s="658"/>
      <c r="P83" s="763"/>
      <c r="R83" s="86"/>
    </row>
    <row r="84" spans="1:26">
      <c r="A84" s="339"/>
      <c r="B84" s="199"/>
      <c r="C84" s="1"/>
      <c r="D84" s="273"/>
      <c r="E84" s="366"/>
      <c r="F84" s="366"/>
      <c r="G84" s="366"/>
      <c r="H84" s="348" t="s">
        <v>210</v>
      </c>
      <c r="I84" s="300">
        <v>12605.26</v>
      </c>
      <c r="J84" s="299">
        <v>600.5</v>
      </c>
      <c r="K84" s="300">
        <v>491.64</v>
      </c>
      <c r="L84" s="299">
        <v>15183.9</v>
      </c>
      <c r="M84" s="104">
        <v>36025.39</v>
      </c>
      <c r="N84" s="657">
        <v>38660.869999999995</v>
      </c>
      <c r="O84" s="145"/>
      <c r="P84" s="437"/>
      <c r="Q84" s="86"/>
      <c r="R84" s="86"/>
    </row>
    <row r="85" spans="1:26">
      <c r="A85" s="339"/>
      <c r="B85" s="199"/>
      <c r="C85" s="1"/>
      <c r="D85" s="273"/>
      <c r="E85" s="366"/>
      <c r="F85" s="366"/>
      <c r="G85" s="366"/>
      <c r="H85" s="379" t="s">
        <v>211</v>
      </c>
      <c r="I85" s="728">
        <v>11425.189999999999</v>
      </c>
      <c r="J85" s="438">
        <v>232.2</v>
      </c>
      <c r="K85" s="733">
        <v>262</v>
      </c>
      <c r="L85" s="644">
        <v>11864.4</v>
      </c>
      <c r="M85" s="104">
        <f>M84-I85-J85-K85+L85</f>
        <v>35970.400000000001</v>
      </c>
      <c r="N85" s="1"/>
      <c r="O85" s="366"/>
      <c r="P85" s="437"/>
      <c r="Q85" s="86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9</v>
      </c>
      <c r="I86" s="728">
        <v>13612.520000000002</v>
      </c>
      <c r="J86" s="438">
        <f>19+42+25.5+33+4+25+7.5+18+170+1+9+37.5+2+1.4</f>
        <v>394.9</v>
      </c>
      <c r="K86" s="733">
        <f>112.8+296.38+33.5</f>
        <v>442.68</v>
      </c>
      <c r="L86" s="645">
        <f>14352+1353+311+316+73+278</f>
        <v>16683</v>
      </c>
      <c r="M86" s="777">
        <v>37929.35</v>
      </c>
      <c r="N86" s="761" t="s">
        <v>355</v>
      </c>
      <c r="O86" s="762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47" t="s">
        <v>18</v>
      </c>
      <c r="I87" s="728">
        <v>14474.099999999999</v>
      </c>
      <c r="J87" s="438">
        <v>947.5</v>
      </c>
      <c r="K87" s="733">
        <v>526.15</v>
      </c>
      <c r="L87" s="645">
        <v>19238.8</v>
      </c>
      <c r="M87" s="104">
        <f>M86-I87-J87-K87+L87</f>
        <v>41220.399999999994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79" t="s">
        <v>19</v>
      </c>
      <c r="I88" s="660">
        <v>17170.439999999999</v>
      </c>
      <c r="J88" s="432">
        <v>3911.3</v>
      </c>
      <c r="K88" s="687">
        <f>21.5+122.1+41.6+353.89+95.92+8.2</f>
        <v>643.20999999999992</v>
      </c>
      <c r="L88" s="660">
        <f>660+513.5+514+683.5+535+212+2085+763+334+208+378+75+60+44+972+347+1461+81+303+363+12+44+73+133+667+281+234+225+789+767+1661+682+2828+477.5+365+873.5+390+553</f>
        <v>21647</v>
      </c>
      <c r="M88" s="104">
        <f>M87-I88-J88-K88+L88</f>
        <v>41142.449999999997</v>
      </c>
      <c r="N88" s="84"/>
      <c r="O88" s="366"/>
      <c r="P88" s="437"/>
      <c r="Q88" s="742"/>
      <c r="R88" s="86"/>
      <c r="V88" s="1"/>
    </row>
    <row r="89" spans="1:26">
      <c r="A89" s="339"/>
      <c r="B89" s="199"/>
      <c r="C89" s="1"/>
      <c r="D89" s="273"/>
      <c r="E89" s="366"/>
      <c r="F89" s="366"/>
      <c r="G89" s="366"/>
      <c r="H89" s="347" t="s">
        <v>20</v>
      </c>
      <c r="I89" s="728">
        <v>17084.789999999997</v>
      </c>
      <c r="J89" s="438">
        <v>1384.5</v>
      </c>
      <c r="K89" s="733">
        <f>231.74+381.32</f>
        <v>613.05999999999995</v>
      </c>
      <c r="L89" s="728">
        <f>861.5+275+194+301.5+390+1883.5+794+563+1402.5+380+670+229.5+35+275+150.5+18+76+68+310+1078+448+706+130+132+120+2048+130.5+296+608+1835+355+214.5+280+60+684+606</f>
        <v>18608</v>
      </c>
      <c r="M89" s="772">
        <v>43441.55</v>
      </c>
      <c r="N89" s="84"/>
      <c r="O89" s="366"/>
      <c r="P89" s="685"/>
      <c r="Q89" s="742"/>
      <c r="R89" s="86"/>
      <c r="V89" s="1"/>
    </row>
    <row r="90" spans="1:26">
      <c r="A90" s="339"/>
      <c r="B90" s="199"/>
      <c r="C90" s="1"/>
      <c r="D90" s="273"/>
      <c r="E90" s="366"/>
      <c r="F90" s="366"/>
      <c r="G90" s="366"/>
      <c r="H90" s="347" t="s">
        <v>148</v>
      </c>
      <c r="I90" s="728">
        <v>16010.099999999999</v>
      </c>
      <c r="J90" s="438">
        <f>16+65+35+15+24+192+4.6+315+19+6+29+4+35+35+15+160</f>
        <v>969.6</v>
      </c>
      <c r="K90" s="733">
        <f>318.55+297.05</f>
        <v>615.6</v>
      </c>
      <c r="L90" s="728">
        <f>2329.5+560+1456+491+2680+2008+1170+1743+283+1122+2144+623+348+597.5+612+1914+48.5+1270+194+20+375+514.5+108+1502+669+441+33+712+828+1156+829+50</f>
        <v>28831</v>
      </c>
      <c r="M90" s="104">
        <f>M89-I90-J90-K90+L90</f>
        <v>54677.250000000007</v>
      </c>
      <c r="N90" s="84"/>
      <c r="O90" s="366"/>
      <c r="P90" s="685"/>
      <c r="Q90" s="742"/>
      <c r="R90" s="86"/>
      <c r="V90" s="1"/>
    </row>
    <row r="91" spans="1:26" ht="15.75" thickBot="1">
      <c r="A91" s="339"/>
      <c r="B91" s="199"/>
      <c r="C91" s="1"/>
      <c r="D91" s="273"/>
      <c r="E91" s="366"/>
      <c r="F91" s="366"/>
      <c r="G91" s="366"/>
      <c r="H91" s="1001" t="s">
        <v>162</v>
      </c>
      <c r="I91" s="1002">
        <v>18487.2</v>
      </c>
      <c r="J91" s="1003"/>
      <c r="K91" s="1004">
        <v>733</v>
      </c>
      <c r="L91" s="1002">
        <f>1090.5+178+238+342+320+112+163+3418.5+747+1608+1004+396+30+1858+1508+198+163+100+490+552+1725+777+245+1514.5+850.5+1647+348+1827+454</f>
        <v>23904</v>
      </c>
      <c r="M91" s="104">
        <f>M90-I91-J91-K91+L91</f>
        <v>59361.05</v>
      </c>
      <c r="N91" s="84"/>
      <c r="O91" s="366"/>
      <c r="P91" s="685"/>
      <c r="Q91" s="742"/>
      <c r="R91" s="86"/>
      <c r="V91" s="1"/>
    </row>
    <row r="92" spans="1:26" ht="14.25" customHeight="1">
      <c r="A92" s="339"/>
      <c r="B92" s="199"/>
      <c r="C92" s="1"/>
      <c r="D92" s="273"/>
      <c r="E92" s="84"/>
      <c r="F92" s="366"/>
      <c r="G92" s="366"/>
      <c r="H92" s="1260" t="s">
        <v>36</v>
      </c>
      <c r="I92" s="1262" t="s">
        <v>178</v>
      </c>
      <c r="J92" s="1263"/>
      <c r="K92" s="1264"/>
      <c r="L92" s="1265" t="s">
        <v>159</v>
      </c>
      <c r="M92" s="1266"/>
      <c r="N92" s="150"/>
      <c r="O92" s="84"/>
      <c r="P92" s="437"/>
      <c r="Q92" s="86"/>
      <c r="R92" s="86"/>
      <c r="V92" s="1"/>
    </row>
    <row r="93" spans="1:26">
      <c r="A93" s="339"/>
      <c r="B93" s="199"/>
      <c r="C93" s="284"/>
      <c r="D93" s="273"/>
      <c r="E93" s="284"/>
      <c r="F93" s="366"/>
      <c r="G93" s="378"/>
      <c r="H93" s="1261"/>
      <c r="I93" s="1157"/>
      <c r="J93" s="1158"/>
      <c r="K93" s="1159"/>
      <c r="L93" s="1162"/>
      <c r="M93" s="1267"/>
      <c r="N93" s="1"/>
      <c r="O93" s="84"/>
      <c r="P93" s="685"/>
      <c r="Q93" s="86"/>
      <c r="R93" s="366"/>
      <c r="S93" s="1"/>
      <c r="V93" s="1"/>
      <c r="W93" s="1"/>
      <c r="X93" s="1"/>
      <c r="Y93" s="1"/>
    </row>
    <row r="94" spans="1:26">
      <c r="A94" s="339"/>
      <c r="B94" s="199"/>
      <c r="C94" s="199"/>
      <c r="D94" s="273"/>
      <c r="E94" s="199"/>
      <c r="F94" s="366"/>
      <c r="G94" s="378"/>
      <c r="H94" s="529" t="s">
        <v>403</v>
      </c>
      <c r="I94" s="1164" t="s">
        <v>47</v>
      </c>
      <c r="J94" s="1164"/>
      <c r="K94" s="993">
        <v>34</v>
      </c>
      <c r="L94" s="282">
        <v>44058</v>
      </c>
      <c r="M94" s="111" t="s">
        <v>104</v>
      </c>
      <c r="O94" s="366"/>
      <c r="P94" s="685"/>
      <c r="Q94" s="86"/>
      <c r="R94" s="366"/>
      <c r="S94" s="1"/>
      <c r="T94" s="1"/>
      <c r="V94" s="282"/>
      <c r="W94" s="1"/>
      <c r="X94" s="1"/>
      <c r="Y94" s="1"/>
    </row>
    <row r="95" spans="1:26">
      <c r="A95" s="339"/>
      <c r="B95" s="366"/>
      <c r="C95" s="274"/>
      <c r="D95" s="273"/>
      <c r="E95" s="274"/>
      <c r="F95" s="366"/>
      <c r="G95" s="366"/>
      <c r="H95" s="996" t="s">
        <v>410</v>
      </c>
      <c r="I95" s="1149" t="s">
        <v>51</v>
      </c>
      <c r="J95" s="1149"/>
      <c r="K95" s="992">
        <v>0</v>
      </c>
      <c r="L95" s="282">
        <v>44058</v>
      </c>
      <c r="M95" s="111" t="s">
        <v>104</v>
      </c>
      <c r="N95" s="506"/>
      <c r="O95" s="366"/>
      <c r="P95" s="685"/>
      <c r="Q95" s="571"/>
      <c r="R95" s="86"/>
      <c r="S95" s="1"/>
      <c r="T95" s="1"/>
      <c r="V95" s="282"/>
      <c r="W95" s="1"/>
      <c r="X95" s="1"/>
      <c r="Y95" s="1"/>
    </row>
    <row r="96" spans="1:26">
      <c r="A96" s="340"/>
      <c r="B96" s="366"/>
      <c r="C96" s="366"/>
      <c r="D96" s="273"/>
      <c r="E96" s="199"/>
      <c r="F96" s="366"/>
      <c r="G96" s="366"/>
      <c r="H96" s="529" t="s">
        <v>403</v>
      </c>
      <c r="I96" s="1149" t="s">
        <v>52</v>
      </c>
      <c r="J96" s="1149"/>
      <c r="K96" s="992">
        <v>0.94</v>
      </c>
      <c r="L96" s="282">
        <v>44058</v>
      </c>
      <c r="M96" s="111" t="s">
        <v>104</v>
      </c>
      <c r="O96" s="366"/>
      <c r="P96" s="685"/>
      <c r="Q96" s="86"/>
      <c r="R96" s="990"/>
      <c r="S96" s="1"/>
      <c r="T96" s="1"/>
      <c r="V96" s="282"/>
      <c r="W96" s="282"/>
      <c r="X96" s="282"/>
      <c r="Y96" s="1"/>
      <c r="Z96" s="1"/>
    </row>
    <row r="97" spans="1:26">
      <c r="A97" s="340"/>
      <c r="B97" s="366"/>
      <c r="C97" s="366"/>
      <c r="D97" s="273"/>
      <c r="E97" s="366"/>
      <c r="F97" s="366"/>
      <c r="G97" s="366"/>
      <c r="H97" s="529" t="s">
        <v>403</v>
      </c>
      <c r="I97" s="1229" t="s">
        <v>49</v>
      </c>
      <c r="J97" s="1229"/>
      <c r="K97" s="992">
        <v>89</v>
      </c>
      <c r="L97" s="294"/>
      <c r="M97" s="111" t="s">
        <v>160</v>
      </c>
      <c r="N97" s="35" t="s">
        <v>387</v>
      </c>
      <c r="O97" s="84"/>
      <c r="P97" s="685"/>
      <c r="Q97" s="366"/>
      <c r="R97" s="86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366"/>
      <c r="C98" s="366"/>
      <c r="D98" s="273"/>
      <c r="E98" s="366"/>
      <c r="F98" s="366"/>
      <c r="G98" s="366"/>
      <c r="H98" s="529" t="s">
        <v>403</v>
      </c>
      <c r="I98" s="1217" t="s">
        <v>59</v>
      </c>
      <c r="J98" s="1217"/>
      <c r="K98" s="994">
        <v>635.83000000000004</v>
      </c>
      <c r="L98" s="302" t="s">
        <v>177</v>
      </c>
      <c r="M98" s="111" t="s">
        <v>104</v>
      </c>
      <c r="N98" s="506"/>
      <c r="O98" s="84" t="s">
        <v>388</v>
      </c>
      <c r="P98" s="685"/>
      <c r="Q98" s="480"/>
      <c r="R98" s="990"/>
      <c r="S98" s="1"/>
      <c r="T98" s="282"/>
      <c r="U98" s="1"/>
      <c r="V98" s="1"/>
      <c r="W98" s="282"/>
      <c r="X98" s="282"/>
      <c r="Y98" s="1"/>
      <c r="Z98" s="1"/>
    </row>
    <row r="99" spans="1:26">
      <c r="A99" s="340"/>
      <c r="B99" s="199"/>
      <c r="C99" s="199"/>
      <c r="D99" s="273"/>
      <c r="E99" s="199"/>
      <c r="F99" s="366"/>
      <c r="G99" s="366"/>
      <c r="H99" s="529" t="s">
        <v>403</v>
      </c>
      <c r="I99" s="1218" t="s">
        <v>68</v>
      </c>
      <c r="J99" s="1219"/>
      <c r="K99" s="992">
        <v>69.45</v>
      </c>
      <c r="L99" s="282">
        <v>44063</v>
      </c>
      <c r="M99" s="111" t="s">
        <v>104</v>
      </c>
      <c r="O99" s="366"/>
      <c r="P99" s="437"/>
      <c r="Q99" s="366"/>
      <c r="R99" s="990"/>
      <c r="S99" s="1"/>
      <c r="T99" s="282"/>
      <c r="U99" s="1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199"/>
      <c r="F100" s="366"/>
      <c r="G100" s="366"/>
      <c r="H100" s="529" t="s">
        <v>403</v>
      </c>
      <c r="I100" s="1218" t="s">
        <v>174</v>
      </c>
      <c r="J100" s="1219"/>
      <c r="K100" s="992">
        <v>95</v>
      </c>
      <c r="L100" s="282">
        <v>44058</v>
      </c>
      <c r="M100" s="111" t="s">
        <v>104</v>
      </c>
      <c r="O100" s="84"/>
      <c r="P100" s="86"/>
      <c r="Q100" s="366"/>
      <c r="R100" s="990"/>
      <c r="S100" s="990"/>
      <c r="T100" s="282"/>
      <c r="U100" s="282"/>
      <c r="V100" s="282"/>
      <c r="W100" s="1"/>
      <c r="X100" s="1"/>
      <c r="Y100" s="1"/>
      <c r="Z100" s="1"/>
    </row>
    <row r="101" spans="1:26">
      <c r="A101" s="340"/>
      <c r="B101" s="199"/>
      <c r="C101" s="366"/>
      <c r="D101" s="273"/>
      <c r="E101" s="199"/>
      <c r="F101" s="366"/>
      <c r="G101" s="366"/>
      <c r="H101" s="997" t="s">
        <v>241</v>
      </c>
      <c r="I101" s="985" t="s">
        <v>176</v>
      </c>
      <c r="J101" s="986"/>
      <c r="K101" s="992" t="s">
        <v>258</v>
      </c>
      <c r="L101" s="282">
        <v>44063</v>
      </c>
      <c r="M101" s="111" t="s">
        <v>104</v>
      </c>
      <c r="O101" s="84"/>
      <c r="P101" s="86"/>
      <c r="Q101" s="366"/>
      <c r="R101" s="485"/>
      <c r="S101" s="150"/>
      <c r="T101" s="1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403</v>
      </c>
      <c r="I102" s="1218" t="s">
        <v>81</v>
      </c>
      <c r="J102" s="1219"/>
      <c r="K102" s="992">
        <v>848.1</v>
      </c>
      <c r="L102" s="282">
        <v>44053</v>
      </c>
      <c r="M102" s="111" t="s">
        <v>104</v>
      </c>
      <c r="O102" s="84"/>
      <c r="P102" s="86"/>
      <c r="Q102" s="485"/>
      <c r="R102" s="365"/>
      <c r="S102" s="150"/>
      <c r="T102" s="282"/>
      <c r="U102" s="282"/>
      <c r="V102" s="282"/>
      <c r="W102" s="282"/>
      <c r="X102" s="282"/>
      <c r="Y102" s="366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529" t="s">
        <v>403</v>
      </c>
      <c r="I103" s="1218" t="s">
        <v>53</v>
      </c>
      <c r="J103" s="1219"/>
      <c r="K103" s="455">
        <v>10</v>
      </c>
      <c r="L103" s="282">
        <v>44058</v>
      </c>
      <c r="M103" s="111" t="s">
        <v>104</v>
      </c>
      <c r="N103" s="506"/>
      <c r="O103" s="84"/>
      <c r="P103" s="86"/>
      <c r="Q103" s="990"/>
      <c r="R103" s="1017"/>
      <c r="S103" s="1"/>
      <c r="T103" s="282"/>
      <c r="U103" s="282"/>
      <c r="V103" s="282"/>
      <c r="W103" s="282"/>
      <c r="X103" s="282"/>
      <c r="Y103" s="366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529" t="s">
        <v>403</v>
      </c>
      <c r="I104" s="1230" t="s">
        <v>300</v>
      </c>
      <c r="J104" s="1230"/>
      <c r="K104" s="676">
        <v>100</v>
      </c>
      <c r="L104" s="282">
        <v>44073</v>
      </c>
      <c r="M104" s="111" t="s">
        <v>104</v>
      </c>
      <c r="O104" s="84"/>
      <c r="P104" s="86"/>
      <c r="Q104" s="990"/>
      <c r="R104" s="1017"/>
      <c r="S104" s="366"/>
      <c r="T104" s="282"/>
      <c r="U104" s="282"/>
      <c r="V104" s="282"/>
      <c r="W104" s="282"/>
      <c r="X104" s="282"/>
      <c r="Y104" s="1"/>
      <c r="Z104" s="1"/>
    </row>
    <row r="105" spans="1:26">
      <c r="A105" s="340"/>
      <c r="B105" s="199"/>
      <c r="C105" s="366"/>
      <c r="D105" s="273"/>
      <c r="E105" s="232"/>
      <c r="F105" s="366"/>
      <c r="G105" s="366"/>
      <c r="H105" s="529" t="s">
        <v>403</v>
      </c>
      <c r="I105" s="1230" t="s">
        <v>325</v>
      </c>
      <c r="J105" s="1230"/>
      <c r="K105" s="676">
        <v>9</v>
      </c>
      <c r="L105" s="282">
        <v>44058</v>
      </c>
      <c r="M105" s="111" t="s">
        <v>104</v>
      </c>
      <c r="O105" s="84"/>
      <c r="P105" s="86"/>
      <c r="Q105" s="990"/>
      <c r="R105" s="1017"/>
      <c r="S105" s="366"/>
      <c r="T105" s="282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 t="s">
        <v>403</v>
      </c>
      <c r="I106" s="1150" t="s">
        <v>374</v>
      </c>
      <c r="J106" s="1151"/>
      <c r="K106" s="676">
        <f>636.22+797.04-K100</f>
        <v>1338.26</v>
      </c>
      <c r="L106" s="282">
        <v>44073</v>
      </c>
      <c r="M106" s="111" t="s">
        <v>104</v>
      </c>
      <c r="O106" s="84"/>
      <c r="P106" s="86"/>
      <c r="Q106" s="990"/>
      <c r="R106" s="1017"/>
      <c r="S106" s="366"/>
      <c r="T106" s="282"/>
      <c r="U106" s="282"/>
      <c r="V106" s="282"/>
      <c r="W106" s="282"/>
      <c r="X106" s="282"/>
      <c r="Y106" s="1"/>
      <c r="Z106" s="1"/>
    </row>
    <row r="107" spans="1:26" ht="15.75" thickBot="1">
      <c r="A107" s="341"/>
      <c r="B107" s="330"/>
      <c r="C107" s="331"/>
      <c r="D107" s="342"/>
      <c r="E107" s="330"/>
      <c r="F107" s="331"/>
      <c r="G107" s="331"/>
      <c r="H107" s="1268" t="s">
        <v>179</v>
      </c>
      <c r="I107" s="1269"/>
      <c r="J107" s="998">
        <f>SUM(K94:K106)</f>
        <v>3229.58</v>
      </c>
      <c r="K107" s="1270" t="s">
        <v>180</v>
      </c>
      <c r="L107" s="1270"/>
      <c r="M107" s="999">
        <v>0</v>
      </c>
      <c r="O107" s="84"/>
      <c r="P107" s="86"/>
      <c r="Q107" s="990"/>
      <c r="R107" s="365"/>
      <c r="S107" s="366"/>
      <c r="T107" s="282"/>
      <c r="U107" s="282"/>
      <c r="V107" s="1"/>
      <c r="W107" s="282"/>
      <c r="X107" s="282"/>
      <c r="Y107" s="1"/>
      <c r="Z107" s="1"/>
    </row>
    <row r="108" spans="1:26" ht="15.75" thickTop="1">
      <c r="C108" s="507"/>
      <c r="D108" s="507"/>
      <c r="O108" s="84"/>
      <c r="P108" s="86"/>
      <c r="Q108" s="990"/>
      <c r="R108" s="365"/>
      <c r="S108" s="366"/>
      <c r="T108" s="282"/>
      <c r="U108" s="282"/>
      <c r="V108" s="1"/>
      <c r="W108" s="282"/>
      <c r="X108" s="282"/>
      <c r="Y108" s="1"/>
      <c r="Z108" s="1"/>
    </row>
    <row r="109" spans="1:26" ht="15" customHeight="1">
      <c r="A109" s="1211" t="s">
        <v>415</v>
      </c>
      <c r="B109" s="1211"/>
      <c r="C109" s="1211"/>
      <c r="D109" s="1211"/>
      <c r="E109" s="1211"/>
      <c r="F109" s="1211"/>
      <c r="G109" s="1211"/>
      <c r="H109" s="1211"/>
      <c r="I109" s="1211"/>
      <c r="J109" s="1211"/>
      <c r="K109" s="1211"/>
      <c r="L109" s="1211"/>
      <c r="M109" s="1211"/>
      <c r="O109" s="84"/>
      <c r="P109" s="86"/>
      <c r="Q109" s="990"/>
      <c r="R109" s="1017"/>
      <c r="S109" s="1"/>
      <c r="T109" s="282"/>
      <c r="U109" s="282"/>
      <c r="V109" s="1"/>
      <c r="W109" s="1"/>
      <c r="X109" s="1"/>
      <c r="Y109" s="1"/>
      <c r="Z109" s="1"/>
    </row>
    <row r="110" spans="1:26" ht="15.75" customHeight="1" thickBot="1">
      <c r="A110" s="1212"/>
      <c r="B110" s="1212"/>
      <c r="C110" s="1212"/>
      <c r="D110" s="1212"/>
      <c r="E110" s="1212"/>
      <c r="F110" s="1212"/>
      <c r="G110" s="1212"/>
      <c r="H110" s="1212"/>
      <c r="I110" s="1212"/>
      <c r="J110" s="1212"/>
      <c r="K110" s="1212"/>
      <c r="L110" s="1212"/>
      <c r="M110" s="1212"/>
      <c r="O110" s="84"/>
      <c r="P110" s="86"/>
      <c r="Q110" s="990"/>
      <c r="R110" s="1017"/>
      <c r="S110" s="1"/>
      <c r="T110" s="1"/>
      <c r="U110" s="282"/>
      <c r="V110" s="1"/>
      <c r="W110" s="1"/>
      <c r="X110" s="1"/>
      <c r="Y110" s="1"/>
      <c r="Z110" s="1"/>
    </row>
    <row r="111" spans="1:26" ht="15.75" thickTop="1">
      <c r="A111" s="1255" t="s">
        <v>43</v>
      </c>
      <c r="B111" s="1227"/>
      <c r="C111" s="1227"/>
      <c r="D111" s="1227"/>
      <c r="E111" s="1227"/>
      <c r="F111" s="1256"/>
      <c r="G111" s="323"/>
      <c r="O111" s="84"/>
      <c r="P111" s="86"/>
      <c r="Q111" s="686"/>
      <c r="R111" s="1017"/>
      <c r="S111" s="1"/>
      <c r="T111" s="1"/>
      <c r="U111" s="282"/>
      <c r="V111" s="1"/>
      <c r="W111" s="1"/>
      <c r="X111" s="1"/>
      <c r="Y111" s="1"/>
      <c r="Z111" s="1"/>
    </row>
    <row r="112" spans="1:26">
      <c r="A112" s="1144" t="s">
        <v>371</v>
      </c>
      <c r="B112" s="1145"/>
      <c r="C112" s="984" t="s">
        <v>35</v>
      </c>
      <c r="D112" s="984" t="s">
        <v>38</v>
      </c>
      <c r="E112" s="984" t="s">
        <v>42</v>
      </c>
      <c r="F112" s="984" t="s">
        <v>44</v>
      </c>
      <c r="G112" s="1"/>
      <c r="O112" s="84"/>
      <c r="P112" s="86"/>
      <c r="Q112" s="990"/>
      <c r="R112" s="1017"/>
      <c r="S112" s="1"/>
      <c r="T112" s="1"/>
      <c r="U112" s="1"/>
      <c r="W112" s="1"/>
      <c r="X112" s="1"/>
      <c r="Y112" s="1"/>
      <c r="Z112" s="1"/>
    </row>
    <row r="113" spans="1:26">
      <c r="A113" s="1248" t="s">
        <v>40</v>
      </c>
      <c r="B113" s="1224"/>
      <c r="C113" s="482">
        <v>884.45</v>
      </c>
      <c r="D113" s="482"/>
      <c r="E113" s="482"/>
      <c r="F113" s="3"/>
      <c r="G113" s="1"/>
      <c r="O113" s="84"/>
      <c r="P113" s="86"/>
      <c r="Q113" s="990"/>
      <c r="R113" s="1017"/>
      <c r="S113" s="1"/>
      <c r="T113" s="1"/>
      <c r="U113" s="1"/>
      <c r="W113" s="1"/>
      <c r="X113" s="1"/>
      <c r="Y113" s="1"/>
      <c r="Z113" s="1"/>
    </row>
    <row r="114" spans="1:26">
      <c r="A114" s="340"/>
      <c r="B114" s="366"/>
      <c r="C114" s="514">
        <f>SUM(C113:C113)</f>
        <v>884.45</v>
      </c>
      <c r="D114" s="366"/>
      <c r="E114" s="84"/>
      <c r="F114" s="366"/>
      <c r="G114" s="1"/>
      <c r="K114" s="506"/>
      <c r="O114" s="84"/>
      <c r="P114" s="86"/>
      <c r="Q114" s="990"/>
      <c r="R114" s="1017"/>
      <c r="T114" s="1"/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90"/>
      <c r="R115" s="1017"/>
      <c r="U115" s="1"/>
      <c r="Z115" s="1"/>
    </row>
    <row r="116" spans="1:26">
      <c r="A116" s="340"/>
      <c r="B116" s="366"/>
      <c r="C116" s="366"/>
      <c r="D116" s="366"/>
      <c r="E116" s="366"/>
      <c r="F116" s="366"/>
      <c r="G116" s="1"/>
      <c r="M116" s="506"/>
      <c r="O116" s="84"/>
      <c r="P116" s="86"/>
      <c r="Q116" s="990"/>
      <c r="R116" s="1017"/>
      <c r="U116" s="1"/>
      <c r="Z116" s="1"/>
    </row>
    <row r="117" spans="1:26">
      <c r="A117" s="340"/>
      <c r="B117" s="366"/>
      <c r="C117" s="366"/>
      <c r="D117" s="366"/>
      <c r="E117" s="366"/>
      <c r="F117" s="366"/>
      <c r="G117" s="1"/>
      <c r="O117" s="84"/>
      <c r="P117" s="86"/>
      <c r="Q117" s="990"/>
      <c r="R117" s="1017"/>
      <c r="U117" s="1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90"/>
      <c r="R118" s="1017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990"/>
      <c r="R119" s="1017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990"/>
      <c r="R120" s="1017"/>
    </row>
    <row r="121" spans="1:26">
      <c r="A121" s="43"/>
      <c r="B121" s="1"/>
      <c r="C121" s="366"/>
      <c r="D121" s="1"/>
      <c r="E121" s="1"/>
      <c r="F121" s="1"/>
      <c r="G121" s="1"/>
      <c r="M121" s="366"/>
      <c r="O121" s="84"/>
      <c r="P121" s="86"/>
      <c r="Q121" s="990"/>
      <c r="R121" s="1017"/>
    </row>
    <row r="122" spans="1:26">
      <c r="A122" s="43"/>
      <c r="B122" s="1"/>
      <c r="C122" s="366"/>
      <c r="D122" s="1"/>
      <c r="E122" s="1"/>
      <c r="F122" s="1"/>
      <c r="G122" s="1"/>
      <c r="M122" s="366"/>
      <c r="O122" s="84"/>
      <c r="P122" s="86"/>
      <c r="Q122" s="990"/>
      <c r="R122" s="1017"/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990"/>
      <c r="R123" s="1017"/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990"/>
      <c r="R124" s="1017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86"/>
      <c r="R125" s="1017"/>
    </row>
    <row r="126" spans="1:26">
      <c r="A126" s="43"/>
      <c r="B126" s="1"/>
      <c r="C126" s="366"/>
      <c r="D126" s="1"/>
      <c r="E126" s="1"/>
      <c r="F126" s="1"/>
      <c r="G126" s="1"/>
      <c r="M126" s="1"/>
      <c r="O126" s="84"/>
      <c r="P126" s="86"/>
      <c r="Q126" s="86"/>
      <c r="R126" s="1017"/>
    </row>
    <row r="127" spans="1:26">
      <c r="A127" s="43"/>
      <c r="B127" s="1"/>
      <c r="C127" s="366"/>
      <c r="D127" s="1"/>
      <c r="E127" s="1"/>
      <c r="F127" s="1"/>
      <c r="G127" s="1"/>
      <c r="O127" s="84"/>
      <c r="P127" s="86"/>
      <c r="Q127" s="86"/>
      <c r="R127" s="1017"/>
    </row>
    <row r="128" spans="1:26">
      <c r="A128" s="43"/>
      <c r="B128" s="1"/>
      <c r="C128" s="366"/>
      <c r="D128" s="1"/>
      <c r="E128" s="1"/>
      <c r="F128" s="1"/>
      <c r="G128" s="1"/>
      <c r="O128" s="84"/>
      <c r="P128" s="86"/>
      <c r="Q128" s="86"/>
      <c r="R128" s="1017"/>
    </row>
    <row r="129" spans="1:26">
      <c r="C129" s="447"/>
      <c r="O129" s="84"/>
      <c r="P129" s="86"/>
      <c r="Q129" s="86"/>
      <c r="R129" s="145"/>
    </row>
    <row r="130" spans="1:26">
      <c r="A130" s="12"/>
      <c r="C130" s="447"/>
      <c r="O130" s="84"/>
      <c r="P130" s="86"/>
      <c r="Q130" s="86"/>
      <c r="R130" s="366"/>
    </row>
    <row r="131" spans="1:26">
      <c r="C131" s="447"/>
      <c r="O131" s="84"/>
      <c r="R131" s="366"/>
    </row>
    <row r="132" spans="1:26" s="1" customFormat="1" ht="12.75" customHeight="1">
      <c r="A132" s="449"/>
      <c r="B132" s="199"/>
      <c r="D132" s="273"/>
      <c r="E132" s="366"/>
      <c r="F132" s="366"/>
      <c r="G132" s="366"/>
      <c r="H132" s="565"/>
      <c r="I132" s="942"/>
      <c r="J132" s="437"/>
      <c r="K132" s="643"/>
      <c r="L132" s="643"/>
      <c r="M132" s="436"/>
      <c r="O132" s="84"/>
      <c r="P132" s="84"/>
      <c r="Q132" s="145"/>
      <c r="R132" s="84"/>
      <c r="S132" s="84"/>
      <c r="T132" s="366"/>
      <c r="U132" s="366"/>
      <c r="V132" s="366"/>
      <c r="W132" s="366"/>
      <c r="X132" s="366"/>
      <c r="Y132" s="366"/>
      <c r="Z132" s="366"/>
    </row>
    <row r="133" spans="1:26">
      <c r="C133" s="447"/>
      <c r="O133" s="84"/>
      <c r="R133" s="366"/>
    </row>
    <row r="134" spans="1:26">
      <c r="C134" s="447"/>
      <c r="O134" s="150"/>
      <c r="R134" s="366"/>
    </row>
    <row r="135" spans="1:26">
      <c r="C135" s="447"/>
      <c r="R135" s="366"/>
    </row>
    <row r="136" spans="1:26">
      <c r="C136" s="447"/>
      <c r="R136" s="366"/>
    </row>
    <row r="137" spans="1:26">
      <c r="C137" s="447"/>
      <c r="R137" s="950"/>
    </row>
    <row r="138" spans="1:26">
      <c r="C138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7:H38"/>
    <mergeCell ref="I37:K38"/>
    <mergeCell ref="L37:M38"/>
    <mergeCell ref="I39:J39"/>
    <mergeCell ref="I40:J40"/>
    <mergeCell ref="I41:J41"/>
    <mergeCell ref="A20:B20"/>
    <mergeCell ref="H20:J20"/>
    <mergeCell ref="L20:M20"/>
    <mergeCell ref="H21:H22"/>
    <mergeCell ref="I21:I22"/>
    <mergeCell ref="J21:K21"/>
    <mergeCell ref="L21:L22"/>
    <mergeCell ref="M21:M22"/>
    <mergeCell ref="I50:J50"/>
    <mergeCell ref="I51:J51"/>
    <mergeCell ref="I52:J52"/>
    <mergeCell ref="I53:J53"/>
    <mergeCell ref="I54:J54"/>
    <mergeCell ref="H55:I55"/>
    <mergeCell ref="I42:J42"/>
    <mergeCell ref="I43:J43"/>
    <mergeCell ref="I44:J44"/>
    <mergeCell ref="I47:J47"/>
    <mergeCell ref="I48:J48"/>
    <mergeCell ref="I49:J49"/>
    <mergeCell ref="I61:J61"/>
    <mergeCell ref="L61:M61"/>
    <mergeCell ref="I62:J62"/>
    <mergeCell ref="L62:M62"/>
    <mergeCell ref="I63:J63"/>
    <mergeCell ref="L63:M63"/>
    <mergeCell ref="K55:L55"/>
    <mergeCell ref="H56:K56"/>
    <mergeCell ref="A57:M58"/>
    <mergeCell ref="A59:G59"/>
    <mergeCell ref="H59:M59"/>
    <mergeCell ref="I60:J60"/>
    <mergeCell ref="L60:M60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76:J76"/>
    <mergeCell ref="L76:M76"/>
    <mergeCell ref="A77:B77"/>
    <mergeCell ref="H77:J77"/>
    <mergeCell ref="L77:M77"/>
    <mergeCell ref="H78:H79"/>
    <mergeCell ref="I78:I79"/>
    <mergeCell ref="J78:K78"/>
    <mergeCell ref="L78:L79"/>
    <mergeCell ref="M78:M79"/>
    <mergeCell ref="I97:J97"/>
    <mergeCell ref="I98:J98"/>
    <mergeCell ref="I99:J99"/>
    <mergeCell ref="I100:J100"/>
    <mergeCell ref="I102:J102"/>
    <mergeCell ref="I103:J103"/>
    <mergeCell ref="H92:H93"/>
    <mergeCell ref="I92:K93"/>
    <mergeCell ref="L92:M93"/>
    <mergeCell ref="I94:J94"/>
    <mergeCell ref="I95:J95"/>
    <mergeCell ref="I96:J96"/>
    <mergeCell ref="A111:F111"/>
    <mergeCell ref="A112:B112"/>
    <mergeCell ref="A113:B113"/>
    <mergeCell ref="I104:J104"/>
    <mergeCell ref="I105:J105"/>
    <mergeCell ref="I106:J106"/>
    <mergeCell ref="H107:I107"/>
    <mergeCell ref="K107:L107"/>
    <mergeCell ref="A109:M110"/>
  </mergeCells>
  <printOptions horizontalCentered="1" verticalCentered="1"/>
  <pageMargins left="0" right="0" top="0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198" zoomScale="70" zoomScaleNormal="70" zoomScaleSheetLayoutView="85" workbookViewId="0">
      <selection activeCell="E198" sqref="E198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179" t="s">
        <v>28</v>
      </c>
      <c r="B1" s="1176"/>
      <c r="C1" s="1176"/>
      <c r="D1" s="1176"/>
      <c r="E1" s="1176"/>
      <c r="F1" s="1176"/>
      <c r="G1" s="1180"/>
      <c r="H1" s="394"/>
      <c r="I1" s="1177" t="s">
        <v>43</v>
      </c>
      <c r="J1" s="1177"/>
      <c r="K1" s="1177"/>
      <c r="L1" s="1177"/>
      <c r="M1" s="1178"/>
      <c r="N1" s="1176" t="s">
        <v>60</v>
      </c>
      <c r="O1" s="1176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181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185" t="s">
        <v>16</v>
      </c>
      <c r="I7" s="1171" t="s">
        <v>17</v>
      </c>
      <c r="J7" s="1171" t="s">
        <v>21</v>
      </c>
      <c r="K7" s="1171"/>
      <c r="L7" s="1173" t="s">
        <v>93</v>
      </c>
      <c r="M7" s="1175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182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185"/>
      <c r="I8" s="1171"/>
      <c r="J8" s="372" t="s">
        <v>21</v>
      </c>
      <c r="K8" s="372" t="s">
        <v>25</v>
      </c>
      <c r="L8" s="1173"/>
      <c r="M8" s="1175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1149" t="s">
        <v>47</v>
      </c>
      <c r="J18" s="1149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1149" t="s">
        <v>51</v>
      </c>
      <c r="J19" s="1149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1149" t="s">
        <v>52</v>
      </c>
      <c r="J20" s="1149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1149" t="s">
        <v>53</v>
      </c>
      <c r="J21" s="1149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1149" t="s">
        <v>54</v>
      </c>
      <c r="J22" s="1149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1149" t="s">
        <v>49</v>
      </c>
      <c r="J23" s="1149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183" t="s">
        <v>48</v>
      </c>
      <c r="J24" s="1184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183" t="s">
        <v>57</v>
      </c>
      <c r="J25" s="1184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1146" t="s">
        <v>59</v>
      </c>
      <c r="J26" s="1146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1150" t="s">
        <v>68</v>
      </c>
      <c r="J27" s="1151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1150" t="s">
        <v>81</v>
      </c>
      <c r="J28" s="1151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198" t="s">
        <v>195</v>
      </c>
      <c r="J34" s="1198"/>
      <c r="K34" s="1198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199"/>
      <c r="J35" s="1199"/>
      <c r="K35" s="1199"/>
      <c r="L35" s="374"/>
      <c r="M35" s="374"/>
      <c r="N35" s="1191"/>
      <c r="O35" s="1191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192" t="s">
        <v>28</v>
      </c>
      <c r="B37" s="1193"/>
      <c r="C37" s="1193"/>
      <c r="D37" s="1193"/>
      <c r="E37" s="1193"/>
      <c r="F37" s="1193"/>
      <c r="G37" s="1193"/>
      <c r="H37" s="107"/>
      <c r="I37" s="1177" t="s">
        <v>103</v>
      </c>
      <c r="J37" s="1177"/>
      <c r="K37" s="1177"/>
      <c r="L37" s="1177"/>
      <c r="M37" s="1194"/>
      <c r="N37" s="1193" t="s">
        <v>60</v>
      </c>
      <c r="O37" s="1193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195" t="s">
        <v>16</v>
      </c>
      <c r="I43" s="1171" t="s">
        <v>17</v>
      </c>
      <c r="J43" s="1171" t="s">
        <v>21</v>
      </c>
      <c r="K43" s="1171"/>
      <c r="L43" s="1173" t="s">
        <v>93</v>
      </c>
      <c r="M43" s="1186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185"/>
      <c r="I44" s="1171"/>
      <c r="J44" s="372" t="s">
        <v>21</v>
      </c>
      <c r="K44" s="372" t="s">
        <v>25</v>
      </c>
      <c r="L44" s="1173"/>
      <c r="M44" s="1186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187" t="s">
        <v>35</v>
      </c>
      <c r="O46" s="1188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189" t="s">
        <v>122</v>
      </c>
      <c r="I50" s="1190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1149" t="s">
        <v>47</v>
      </c>
      <c r="J54" s="1149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1149" t="s">
        <v>51</v>
      </c>
      <c r="J55" s="1149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1149" t="s">
        <v>52</v>
      </c>
      <c r="J56" s="1149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1149" t="s">
        <v>53</v>
      </c>
      <c r="J57" s="1149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1149" t="s">
        <v>54</v>
      </c>
      <c r="J58" s="1149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1149" t="s">
        <v>49</v>
      </c>
      <c r="J59" s="1149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183" t="s">
        <v>48</v>
      </c>
      <c r="J60" s="1184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183" t="s">
        <v>57</v>
      </c>
      <c r="J61" s="1184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1146" t="s">
        <v>59</v>
      </c>
      <c r="J62" s="1146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1150" t="s">
        <v>68</v>
      </c>
      <c r="J63" s="1151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1150" t="s">
        <v>81</v>
      </c>
      <c r="J64" s="1151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196" t="s">
        <v>28</v>
      </c>
      <c r="B67" s="1197"/>
      <c r="C67" s="1197"/>
      <c r="D67" s="1197"/>
      <c r="E67" s="1197"/>
      <c r="F67" s="1197"/>
      <c r="G67" s="1197"/>
      <c r="H67" s="108"/>
      <c r="I67" s="1197" t="s">
        <v>136</v>
      </c>
      <c r="J67" s="1197"/>
      <c r="K67" s="1197"/>
      <c r="L67" s="1197"/>
      <c r="M67" s="1197"/>
      <c r="N67" s="1193" t="s">
        <v>60</v>
      </c>
      <c r="O67" s="1193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185" t="s">
        <v>16</v>
      </c>
      <c r="I73" s="1171" t="s">
        <v>17</v>
      </c>
      <c r="J73" s="1171" t="s">
        <v>21</v>
      </c>
      <c r="K73" s="1171"/>
      <c r="L73" s="1173" t="s">
        <v>93</v>
      </c>
      <c r="M73" s="1173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185"/>
      <c r="I74" s="1171"/>
      <c r="J74" s="372" t="s">
        <v>21</v>
      </c>
      <c r="K74" s="372" t="s">
        <v>25</v>
      </c>
      <c r="L74" s="1173"/>
      <c r="M74" s="1173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201" t="s">
        <v>196</v>
      </c>
      <c r="P75" s="1201"/>
      <c r="Q75" s="1201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202"/>
      <c r="P76" s="1202"/>
      <c r="Q76" s="1202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200" t="s">
        <v>122</v>
      </c>
      <c r="I80" s="1190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1149" t="s">
        <v>47</v>
      </c>
      <c r="J89" s="1149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1149" t="s">
        <v>51</v>
      </c>
      <c r="J90" s="1149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1149" t="s">
        <v>52</v>
      </c>
      <c r="J91" s="1149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1149" t="s">
        <v>53</v>
      </c>
      <c r="J92" s="1149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1149"/>
      <c r="J93" s="1149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1149" t="s">
        <v>49</v>
      </c>
      <c r="J94" s="1149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183" t="s">
        <v>48</v>
      </c>
      <c r="J95" s="1184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183" t="s">
        <v>57</v>
      </c>
      <c r="J96" s="1184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1146" t="s">
        <v>59</v>
      </c>
      <c r="J97" s="1146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1150" t="s">
        <v>68</v>
      </c>
      <c r="J98" s="1151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1150" t="s">
        <v>81</v>
      </c>
      <c r="J99" s="1151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165" t="s">
        <v>28</v>
      </c>
      <c r="B113" s="1166"/>
      <c r="C113" s="1166"/>
      <c r="D113" s="1166"/>
      <c r="E113" s="1166"/>
      <c r="F113" s="1166"/>
      <c r="G113" s="1167"/>
      <c r="H113" s="323"/>
      <c r="I113" s="1166" t="s">
        <v>158</v>
      </c>
      <c r="J113" s="1166"/>
      <c r="K113" s="1166"/>
      <c r="L113" s="1166"/>
      <c r="M113" s="1167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185" t="s">
        <v>16</v>
      </c>
      <c r="I119" s="1171" t="s">
        <v>17</v>
      </c>
      <c r="J119" s="1171" t="s">
        <v>21</v>
      </c>
      <c r="K119" s="1171"/>
      <c r="L119" s="1173" t="s">
        <v>93</v>
      </c>
      <c r="M119" s="1175" t="s">
        <v>95</v>
      </c>
      <c r="O119" s="1201" t="s">
        <v>197</v>
      </c>
      <c r="P119" s="1201"/>
      <c r="Q119" s="1201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185"/>
      <c r="I120" s="1171"/>
      <c r="J120" s="372" t="s">
        <v>21</v>
      </c>
      <c r="K120" s="372" t="s">
        <v>25</v>
      </c>
      <c r="L120" s="1173"/>
      <c r="M120" s="1175"/>
      <c r="O120" s="1202"/>
      <c r="P120" s="1202"/>
      <c r="Q120" s="1202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200" t="s">
        <v>122</v>
      </c>
      <c r="I126" s="1190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1149" t="s">
        <v>47</v>
      </c>
      <c r="J130" s="1149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1149" t="s">
        <v>51</v>
      </c>
      <c r="J131" s="1149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1149" t="s">
        <v>52</v>
      </c>
      <c r="J132" s="1149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1149" t="s">
        <v>49</v>
      </c>
      <c r="J133" s="1149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183" t="s">
        <v>53</v>
      </c>
      <c r="J134" s="1184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1146" t="s">
        <v>59</v>
      </c>
      <c r="J135" s="1146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1150" t="s">
        <v>68</v>
      </c>
      <c r="J136" s="1151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1150" t="s">
        <v>81</v>
      </c>
      <c r="J137" s="1151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165" t="s">
        <v>28</v>
      </c>
      <c r="B148" s="1166"/>
      <c r="C148" s="1166"/>
      <c r="D148" s="1166"/>
      <c r="E148" s="1166"/>
      <c r="F148" s="1166"/>
      <c r="G148" s="1167"/>
      <c r="H148" s="345"/>
      <c r="I148" s="1166" t="s">
        <v>165</v>
      </c>
      <c r="J148" s="1166"/>
      <c r="K148" s="1166"/>
      <c r="L148" s="1166"/>
      <c r="M148" s="1167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1148" t="s">
        <v>264</v>
      </c>
      <c r="Q163" s="1148"/>
      <c r="R163" s="1148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1148"/>
      <c r="Q164" s="1148"/>
      <c r="R164" s="1148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1148"/>
      <c r="Q165" s="1148"/>
      <c r="R165" s="1148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168" t="s">
        <v>16</v>
      </c>
      <c r="I167" s="1170" t="s">
        <v>17</v>
      </c>
      <c r="J167" s="1170" t="s">
        <v>21</v>
      </c>
      <c r="K167" s="1170"/>
      <c r="L167" s="1172" t="s">
        <v>93</v>
      </c>
      <c r="M167" s="1174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169"/>
      <c r="I168" s="1171"/>
      <c r="J168" s="537" t="s">
        <v>21</v>
      </c>
      <c r="K168" s="537" t="s">
        <v>25</v>
      </c>
      <c r="L168" s="1173"/>
      <c r="M168" s="1175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152" t="s">
        <v>36</v>
      </c>
      <c r="I175" s="1154" t="s">
        <v>178</v>
      </c>
      <c r="J175" s="1155"/>
      <c r="K175" s="1156"/>
      <c r="L175" s="1160" t="s">
        <v>159</v>
      </c>
      <c r="M175" s="1161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153"/>
      <c r="I176" s="1157"/>
      <c r="J176" s="1158"/>
      <c r="K176" s="1159"/>
      <c r="L176" s="1162"/>
      <c r="M176" s="1163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164" t="s">
        <v>47</v>
      </c>
      <c r="J177" s="1164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1149" t="s">
        <v>51</v>
      </c>
      <c r="J178" s="1149"/>
      <c r="K178" s="536">
        <v>60.19</v>
      </c>
      <c r="L178" s="282">
        <v>43783</v>
      </c>
      <c r="M178" s="44" t="s">
        <v>170</v>
      </c>
      <c r="N178" s="362" t="s">
        <v>56</v>
      </c>
      <c r="O178" s="1149" t="s">
        <v>47</v>
      </c>
      <c r="P178" s="1149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1149" t="s">
        <v>52</v>
      </c>
      <c r="J179" s="1149"/>
      <c r="K179" s="536">
        <v>4.95</v>
      </c>
      <c r="L179" s="282">
        <v>43783</v>
      </c>
      <c r="M179" s="44" t="s">
        <v>170</v>
      </c>
      <c r="O179" s="1149" t="s">
        <v>51</v>
      </c>
      <c r="P179" s="1149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1149" t="s">
        <v>49</v>
      </c>
      <c r="J180" s="1149"/>
      <c r="K180" s="536">
        <v>234.75</v>
      </c>
      <c r="L180" s="282">
        <v>43791</v>
      </c>
      <c r="M180" s="44" t="s">
        <v>171</v>
      </c>
      <c r="N180" s="344" t="s">
        <v>56</v>
      </c>
      <c r="O180" s="1149" t="s">
        <v>52</v>
      </c>
      <c r="P180" s="1149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1146" t="s">
        <v>59</v>
      </c>
      <c r="J181" s="1146"/>
      <c r="K181" s="540">
        <v>1147.99</v>
      </c>
      <c r="L181" s="302" t="s">
        <v>177</v>
      </c>
      <c r="M181" s="44" t="s">
        <v>170</v>
      </c>
      <c r="N181" s="344" t="s">
        <v>56</v>
      </c>
      <c r="O181" s="1149" t="s">
        <v>49</v>
      </c>
      <c r="P181" s="1149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1150" t="s">
        <v>68</v>
      </c>
      <c r="J182" s="1151"/>
      <c r="K182" s="536">
        <v>176.72</v>
      </c>
      <c r="L182" s="282">
        <v>43791</v>
      </c>
      <c r="M182" s="44" t="s">
        <v>170</v>
      </c>
      <c r="N182" s="344"/>
      <c r="O182" s="1146" t="s">
        <v>59</v>
      </c>
      <c r="P182" s="1146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1150" t="s">
        <v>68</v>
      </c>
      <c r="P183" s="1151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1150" t="s">
        <v>81</v>
      </c>
      <c r="J185" s="1151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144" t="s">
        <v>181</v>
      </c>
      <c r="J186" s="1145"/>
      <c r="K186" s="549"/>
      <c r="L186" s="282" t="s">
        <v>182</v>
      </c>
      <c r="M186" s="44"/>
      <c r="N186" s="366"/>
      <c r="O186" s="1150" t="s">
        <v>81</v>
      </c>
      <c r="P186" s="1151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1146" t="s">
        <v>61</v>
      </c>
      <c r="J187" s="1146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1147" t="s">
        <v>180</v>
      </c>
      <c r="L188" s="1147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203" t="s">
        <v>28</v>
      </c>
      <c r="B199" s="1204"/>
      <c r="C199" s="1204"/>
      <c r="D199" s="1204"/>
      <c r="E199" s="1204"/>
      <c r="F199" s="1204"/>
      <c r="G199" s="1205"/>
      <c r="H199" s="1206" t="s">
        <v>220</v>
      </c>
      <c r="I199" s="1177"/>
      <c r="J199" s="1177"/>
      <c r="K199" s="1177"/>
      <c r="L199" s="1177"/>
      <c r="M199" s="1178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207"/>
      <c r="I200" s="1208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209" t="s">
        <v>39</v>
      </c>
      <c r="I201" s="1184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209" t="s">
        <v>40</v>
      </c>
      <c r="I202" s="1184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168" t="s">
        <v>16</v>
      </c>
      <c r="I218" s="1170" t="s">
        <v>17</v>
      </c>
      <c r="J218" s="1170" t="s">
        <v>21</v>
      </c>
      <c r="K218" s="1170"/>
      <c r="L218" s="1172" t="s">
        <v>93</v>
      </c>
      <c r="M218" s="1174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169"/>
      <c r="I219" s="1171"/>
      <c r="J219" s="587" t="s">
        <v>21</v>
      </c>
      <c r="K219" s="587" t="s">
        <v>25</v>
      </c>
      <c r="L219" s="1173"/>
      <c r="M219" s="1175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1148" t="s">
        <v>309</v>
      </c>
      <c r="P225" s="1148"/>
      <c r="Q225" s="1148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152" t="s">
        <v>36</v>
      </c>
      <c r="I226" s="1154" t="s">
        <v>178</v>
      </c>
      <c r="J226" s="1155"/>
      <c r="K226" s="1156"/>
      <c r="L226" s="1160" t="s">
        <v>159</v>
      </c>
      <c r="M226" s="1161"/>
      <c r="O226" s="1148"/>
      <c r="P226" s="1148"/>
      <c r="Q226" s="1148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153"/>
      <c r="I227" s="1157"/>
      <c r="J227" s="1158"/>
      <c r="K227" s="1159"/>
      <c r="L227" s="1162"/>
      <c r="M227" s="1163"/>
      <c r="O227" s="1148"/>
      <c r="P227" s="1148"/>
      <c r="Q227" s="1148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164" t="s">
        <v>47</v>
      </c>
      <c r="J228" s="1164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1149" t="s">
        <v>51</v>
      </c>
      <c r="J229" s="1149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1149" t="s">
        <v>52</v>
      </c>
      <c r="J230" s="1149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1149" t="s">
        <v>49</v>
      </c>
      <c r="J231" s="1149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1146" t="s">
        <v>59</v>
      </c>
      <c r="J232" s="1146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1150" t="s">
        <v>68</v>
      </c>
      <c r="J233" s="1151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1150" t="s">
        <v>81</v>
      </c>
      <c r="J236" s="1151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1150" t="s">
        <v>181</v>
      </c>
      <c r="J237" s="1151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1146" t="s">
        <v>61</v>
      </c>
      <c r="J238" s="1146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1147" t="s">
        <v>180</v>
      </c>
      <c r="L239" s="1147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210"/>
      <c r="I240" s="1210"/>
      <c r="J240" s="1210"/>
      <c r="K240" s="1210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211" t="s">
        <v>208</v>
      </c>
      <c r="C241" s="1211"/>
      <c r="D241" s="1211"/>
      <c r="E241" s="1211"/>
      <c r="F241" s="1211"/>
      <c r="G241" s="1211"/>
      <c r="H241" s="1211"/>
      <c r="I241" s="1211"/>
      <c r="J241" s="1211"/>
      <c r="K241" s="1211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212"/>
      <c r="C242" s="1212"/>
      <c r="D242" s="1212"/>
      <c r="E242" s="1212"/>
      <c r="F242" s="1212"/>
      <c r="G242" s="1212"/>
      <c r="H242" s="1212"/>
      <c r="I242" s="1212"/>
      <c r="J242" s="1212"/>
      <c r="K242" s="1212"/>
      <c r="L242" s="1"/>
      <c r="M242" s="1"/>
      <c r="O242" s="1"/>
      <c r="P242" s="1"/>
      <c r="Q242" s="1"/>
      <c r="R242" s="1"/>
      <c r="S242" s="111"/>
    </row>
    <row r="243" spans="1:19" ht="15.75" thickTop="1">
      <c r="A243" s="1165" t="s">
        <v>28</v>
      </c>
      <c r="B243" s="1166"/>
      <c r="C243" s="1166"/>
      <c r="D243" s="1166"/>
      <c r="E243" s="1166"/>
      <c r="F243" s="1166"/>
      <c r="G243" s="1167"/>
      <c r="H243" s="1213" t="s">
        <v>202</v>
      </c>
      <c r="I243" s="1214"/>
      <c r="J243" s="1214"/>
      <c r="K243" s="1214"/>
      <c r="L243" s="1214"/>
      <c r="M243" s="1215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168" t="s">
        <v>16</v>
      </c>
      <c r="I262" s="1170" t="s">
        <v>17</v>
      </c>
      <c r="J262" s="1170" t="s">
        <v>21</v>
      </c>
      <c r="K262" s="1170"/>
      <c r="L262" s="1172" t="s">
        <v>93</v>
      </c>
      <c r="M262" s="1174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169"/>
      <c r="I263" s="1171"/>
      <c r="J263" s="587" t="s">
        <v>21</v>
      </c>
      <c r="K263" s="587" t="s">
        <v>25</v>
      </c>
      <c r="L263" s="1173"/>
      <c r="M263" s="1175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152" t="s">
        <v>36</v>
      </c>
      <c r="I270" s="1154" t="s">
        <v>178</v>
      </c>
      <c r="J270" s="1155"/>
      <c r="K270" s="1156"/>
      <c r="L270" s="1160" t="s">
        <v>159</v>
      </c>
      <c r="M270" s="1161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153"/>
      <c r="I271" s="1157"/>
      <c r="J271" s="1158"/>
      <c r="K271" s="1159"/>
      <c r="L271" s="1162"/>
      <c r="M271" s="1163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164" t="s">
        <v>47</v>
      </c>
      <c r="J272" s="1164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1149" t="s">
        <v>51</v>
      </c>
      <c r="J273" s="1149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1149" t="s">
        <v>52</v>
      </c>
      <c r="J274" s="1149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1149" t="s">
        <v>49</v>
      </c>
      <c r="J275" s="1149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1146" t="s">
        <v>59</v>
      </c>
      <c r="J276" s="1146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1150" t="s">
        <v>68</v>
      </c>
      <c r="J277" s="1151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1150" t="s">
        <v>81</v>
      </c>
      <c r="J280" s="1151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1150" t="s">
        <v>53</v>
      </c>
      <c r="J281" s="1151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1146" t="s">
        <v>61</v>
      </c>
      <c r="J282" s="1146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1147" t="s">
        <v>180</v>
      </c>
      <c r="L283" s="1147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134" t="s">
        <v>28</v>
      </c>
      <c r="B285" s="1135"/>
      <c r="C285" s="1135"/>
      <c r="D285" s="1135"/>
      <c r="E285" s="1135"/>
      <c r="F285" s="1135"/>
      <c r="G285" s="1136"/>
      <c r="H285" s="1137" t="s">
        <v>236</v>
      </c>
      <c r="I285" s="1138"/>
      <c r="J285" s="1138"/>
      <c r="K285" s="1138"/>
      <c r="L285" s="1138"/>
      <c r="M285" s="1139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140"/>
      <c r="I286" s="1141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142" t="s">
        <v>39</v>
      </c>
      <c r="I287" s="1143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142" t="s">
        <v>40</v>
      </c>
      <c r="I288" s="1143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1101" t="s">
        <v>376</v>
      </c>
      <c r="P299" s="1101"/>
      <c r="Q299" s="1101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1101"/>
      <c r="P300" s="1101"/>
      <c r="Q300" s="1101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1101"/>
      <c r="P301" s="1101"/>
      <c r="Q301" s="1101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1101"/>
      <c r="P302" s="1101"/>
      <c r="Q302" s="1101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1101"/>
      <c r="P303" s="1101"/>
      <c r="Q303" s="1101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126" t="s">
        <v>16</v>
      </c>
      <c r="I304" s="1128" t="s">
        <v>17</v>
      </c>
      <c r="J304" s="1128" t="s">
        <v>21</v>
      </c>
      <c r="K304" s="1128"/>
      <c r="L304" s="1130" t="s">
        <v>93</v>
      </c>
      <c r="M304" s="1132" t="s">
        <v>95</v>
      </c>
      <c r="N304" s="818"/>
      <c r="O304" s="1101"/>
      <c r="P304" s="1101"/>
      <c r="Q304" s="1101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127"/>
      <c r="I305" s="1129"/>
      <c r="J305" s="845" t="s">
        <v>21</v>
      </c>
      <c r="K305" s="845" t="s">
        <v>25</v>
      </c>
      <c r="L305" s="1131"/>
      <c r="M305" s="1133"/>
      <c r="N305" s="818"/>
      <c r="O305" s="1101"/>
      <c r="P305" s="1101"/>
      <c r="Q305" s="1101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1101"/>
      <c r="P306" s="1101"/>
      <c r="Q306" s="1101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1101"/>
      <c r="P307" s="1101"/>
      <c r="Q307" s="1101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1101"/>
      <c r="P308" s="1101"/>
      <c r="Q308" s="1101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1101"/>
      <c r="P309" s="1101"/>
      <c r="Q309" s="1101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1101"/>
      <c r="P310" s="1101"/>
      <c r="Q310" s="1101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1101"/>
      <c r="P311" s="1101"/>
      <c r="Q311" s="1101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1101"/>
      <c r="P312" s="1101"/>
      <c r="Q312" s="1101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1101"/>
      <c r="P313" s="1101"/>
      <c r="Q313" s="1101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1102" t="s">
        <v>36</v>
      </c>
      <c r="I314" s="1104" t="s">
        <v>178</v>
      </c>
      <c r="J314" s="1105"/>
      <c r="K314" s="1106"/>
      <c r="L314" s="1110" t="s">
        <v>159</v>
      </c>
      <c r="M314" s="1111"/>
      <c r="N314" s="818"/>
      <c r="O314" s="1101"/>
      <c r="P314" s="1101"/>
      <c r="Q314" s="1101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1103"/>
      <c r="I315" s="1107"/>
      <c r="J315" s="1108"/>
      <c r="K315" s="1109"/>
      <c r="L315" s="1112"/>
      <c r="M315" s="1113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114" t="s">
        <v>47</v>
      </c>
      <c r="J316" s="1114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115" t="s">
        <v>51</v>
      </c>
      <c r="J317" s="1115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115" t="s">
        <v>52</v>
      </c>
      <c r="J318" s="1115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115" t="s">
        <v>49</v>
      </c>
      <c r="J319" s="1115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1099" t="s">
        <v>59</v>
      </c>
      <c r="J320" s="1099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1097" t="s">
        <v>68</v>
      </c>
      <c r="J321" s="1098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1097" t="s">
        <v>81</v>
      </c>
      <c r="J324" s="1098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1097" t="s">
        <v>181</v>
      </c>
      <c r="J325" s="1098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1099" t="s">
        <v>61</v>
      </c>
      <c r="J326" s="1099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116" t="s">
        <v>180</v>
      </c>
      <c r="L327" s="1116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117"/>
      <c r="I328" s="1117"/>
      <c r="J328" s="1117"/>
      <c r="K328" s="1117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118" t="s">
        <v>238</v>
      </c>
      <c r="C329" s="1118"/>
      <c r="D329" s="1118"/>
      <c r="E329" s="1118"/>
      <c r="F329" s="1118"/>
      <c r="G329" s="1118"/>
      <c r="H329" s="1118"/>
      <c r="I329" s="1118"/>
      <c r="J329" s="1118"/>
      <c r="K329" s="1118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119"/>
      <c r="C330" s="1119"/>
      <c r="D330" s="1119"/>
      <c r="E330" s="1119"/>
      <c r="F330" s="1119"/>
      <c r="G330" s="1119"/>
      <c r="H330" s="1119"/>
      <c r="I330" s="1119"/>
      <c r="J330" s="1119"/>
      <c r="K330" s="1119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120" t="s">
        <v>28</v>
      </c>
      <c r="B331" s="1121"/>
      <c r="C331" s="1121"/>
      <c r="D331" s="1121"/>
      <c r="E331" s="1121"/>
      <c r="F331" s="1121"/>
      <c r="G331" s="1122"/>
      <c r="H331" s="1123" t="s">
        <v>202</v>
      </c>
      <c r="I331" s="1124"/>
      <c r="J331" s="1124"/>
      <c r="K331" s="1124"/>
      <c r="L331" s="1124"/>
      <c r="M331" s="1125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126" t="s">
        <v>16</v>
      </c>
      <c r="I350" s="1128" t="s">
        <v>17</v>
      </c>
      <c r="J350" s="1128" t="s">
        <v>21</v>
      </c>
      <c r="K350" s="1128"/>
      <c r="L350" s="1130" t="s">
        <v>93</v>
      </c>
      <c r="M350" s="1132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127"/>
      <c r="I351" s="1129"/>
      <c r="J351" s="845" t="s">
        <v>21</v>
      </c>
      <c r="K351" s="845" t="s">
        <v>25</v>
      </c>
      <c r="L351" s="1131"/>
      <c r="M351" s="1133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1102" t="s">
        <v>36</v>
      </c>
      <c r="I358" s="1104" t="s">
        <v>178</v>
      </c>
      <c r="J358" s="1105"/>
      <c r="K358" s="1106"/>
      <c r="L358" s="1110" t="s">
        <v>159</v>
      </c>
      <c r="M358" s="1111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1103"/>
      <c r="I359" s="1107"/>
      <c r="J359" s="1108"/>
      <c r="K359" s="1109"/>
      <c r="L359" s="1112"/>
      <c r="M359" s="1113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114" t="s">
        <v>47</v>
      </c>
      <c r="J360" s="1114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115" t="s">
        <v>51</v>
      </c>
      <c r="J361" s="1115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115" t="s">
        <v>52</v>
      </c>
      <c r="J362" s="1115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115" t="s">
        <v>49</v>
      </c>
      <c r="J363" s="1115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1099" t="s">
        <v>59</v>
      </c>
      <c r="J364" s="1099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1097" t="s">
        <v>68</v>
      </c>
      <c r="J365" s="1098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1097" t="s">
        <v>81</v>
      </c>
      <c r="J368" s="1098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1097" t="s">
        <v>53</v>
      </c>
      <c r="J369" s="1098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1099" t="s">
        <v>61</v>
      </c>
      <c r="J370" s="1099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1100" t="s">
        <v>180</v>
      </c>
      <c r="L371" s="1100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="115" zoomScaleNormal="115" zoomScaleSheetLayoutView="115" zoomScalePageLayoutView="70" workbookViewId="0">
      <pane xSplit="1" ySplit="1" topLeftCell="B31" activePane="bottomRight" state="frozen"/>
      <selection pane="topRight" activeCell="B1" sqref="B1"/>
      <selection pane="bottomLeft" activeCell="A4" sqref="A4"/>
      <selection pane="bottomRight" activeCell="G45" sqref="G45"/>
    </sheetView>
  </sheetViews>
  <sheetFormatPr defaultColWidth="9.140625" defaultRowHeight="15"/>
  <cols>
    <col min="1" max="1" width="12.7109375" style="35" customWidth="1"/>
    <col min="2" max="2" width="6" style="35" customWidth="1"/>
    <col min="3" max="7" width="14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96">
        <v>415</v>
      </c>
      <c r="F2" s="913">
        <v>389.9</v>
      </c>
      <c r="G2" s="227"/>
      <c r="H2" s="1008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>
        <v>736.05</v>
      </c>
      <c r="F3" s="913"/>
      <c r="G3" s="227">
        <v>288.89999999999998</v>
      </c>
      <c r="H3" s="1008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>
        <v>1176.6099999999999</v>
      </c>
      <c r="F4" s="913"/>
      <c r="G4" s="227">
        <v>530.70000000000005</v>
      </c>
      <c r="H4" s="1008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>
        <v>396</v>
      </c>
      <c r="E5" s="796"/>
      <c r="F5" s="913"/>
      <c r="G5" s="227">
        <v>746</v>
      </c>
      <c r="H5" s="1008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>
        <v>799.3</v>
      </c>
      <c r="E6" s="796"/>
      <c r="F6" s="913">
        <v>398</v>
      </c>
      <c r="G6" s="227"/>
      <c r="H6" s="1008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>
        <v>829.8</v>
      </c>
      <c r="F7" s="913">
        <v>187.5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>
        <v>685.1</v>
      </c>
      <c r="F8" s="913">
        <v>455.4</v>
      </c>
      <c r="G8" s="227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>
        <v>968.4</v>
      </c>
      <c r="F9" s="913"/>
      <c r="G9" s="227">
        <v>360.4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>
        <v>867.1</v>
      </c>
      <c r="E10" s="778">
        <v>46</v>
      </c>
      <c r="F10" s="913"/>
      <c r="G10" s="227">
        <v>329.6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>
        <v>578.70000000000005</v>
      </c>
      <c r="E11" s="796"/>
      <c r="F11" s="913"/>
      <c r="G11" s="227">
        <v>382.8</v>
      </c>
      <c r="H11" s="226"/>
      <c r="I11" s="1008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>
        <v>435</v>
      </c>
      <c r="E12" s="796"/>
      <c r="F12" s="913">
        <v>701.9</v>
      </c>
      <c r="G12" s="227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>
        <v>466.25</v>
      </c>
      <c r="F13" s="913">
        <v>787.2</v>
      </c>
      <c r="G13" s="227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>
        <v>657.5</v>
      </c>
      <c r="F14" s="913">
        <v>411.3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>
        <v>898.2</v>
      </c>
      <c r="E15" s="796"/>
      <c r="F15" s="913"/>
      <c r="G15" s="227">
        <v>582</v>
      </c>
      <c r="H15" s="1008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>
        <v>972.3</v>
      </c>
      <c r="E16" s="796"/>
      <c r="F16" s="913"/>
      <c r="G16" s="227">
        <v>983.1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>
        <v>1341.5</v>
      </c>
      <c r="F17" s="913">
        <v>926</v>
      </c>
      <c r="G17" s="227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>
        <v>1041.9000000000001</v>
      </c>
      <c r="G18" s="1013">
        <v>1435.9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>
        <v>1693.93</v>
      </c>
      <c r="E19" s="22"/>
      <c r="F19" s="913"/>
      <c r="G19" s="227">
        <v>1057.3</v>
      </c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>
        <v>905.6</v>
      </c>
      <c r="E20" s="778">
        <v>20</v>
      </c>
      <c r="F20" s="913"/>
      <c r="G20" s="227">
        <v>827.4</v>
      </c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778">
        <v>38</v>
      </c>
      <c r="E21" s="22">
        <v>1270.3</v>
      </c>
      <c r="F21" s="913">
        <v>635</v>
      </c>
      <c r="G21" s="227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>
        <v>743.98</v>
      </c>
      <c r="F22" s="913"/>
      <c r="G22" s="227">
        <v>643.1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>
        <v>1007.9</v>
      </c>
      <c r="E23" s="22"/>
      <c r="F23" s="913"/>
      <c r="G23" s="227">
        <v>822.4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>
        <v>791.7</v>
      </c>
      <c r="E24" s="22"/>
      <c r="F24" s="913">
        <v>728.2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>
        <v>566.74</v>
      </c>
      <c r="F25" s="913">
        <v>1106.4000000000001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>
        <v>650.29999999999995</v>
      </c>
      <c r="F26" s="913">
        <v>514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>
        <v>769.88</v>
      </c>
      <c r="E27" s="22"/>
      <c r="F27" s="913"/>
      <c r="G27" s="227">
        <v>505.5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>
        <v>572</v>
      </c>
      <c r="E28" s="22"/>
      <c r="F28" s="913"/>
      <c r="G28" s="227">
        <v>360.4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>
        <v>605.85</v>
      </c>
      <c r="F29" s="913">
        <v>203.9</v>
      </c>
      <c r="G29" s="227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>
        <v>707.7</v>
      </c>
      <c r="E30" s="22"/>
      <c r="F30" s="913">
        <v>304.5</v>
      </c>
      <c r="G30" s="227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>
        <v>1009.3</v>
      </c>
      <c r="F31" s="966"/>
      <c r="G31" s="1012">
        <v>480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6">
        <f t="shared" si="0"/>
        <v>6</v>
      </c>
      <c r="C32" s="17">
        <v>44135</v>
      </c>
      <c r="D32" s="22">
        <v>685</v>
      </c>
      <c r="E32" s="22">
        <v>53.6</v>
      </c>
      <c r="F32" s="741"/>
      <c r="G32" s="226">
        <v>773.5</v>
      </c>
      <c r="H32" s="1011"/>
      <c r="I32" s="767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582" t="s">
        <v>225</v>
      </c>
      <c r="D33" s="248">
        <v>15</v>
      </c>
      <c r="E33" s="248">
        <v>16</v>
      </c>
      <c r="F33" s="248">
        <f>COUNT(F2:F32)</f>
        <v>15</v>
      </c>
      <c r="G33" s="248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12118.310000000001</v>
      </c>
      <c r="E34" s="969">
        <f>SUM(E2:E32)</f>
        <v>12242.279999999999</v>
      </c>
      <c r="F34" s="969">
        <f>SUM(F2:F32)</f>
        <v>8791.1</v>
      </c>
      <c r="G34" s="969">
        <f>SUM(G2:G32)</f>
        <v>11109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12093.75</v>
      </c>
      <c r="E35" s="238">
        <v>11998.04</v>
      </c>
      <c r="F35" s="238">
        <v>8665.25</v>
      </c>
      <c r="G35" s="238">
        <v>11047.8</v>
      </c>
      <c r="H35" s="12"/>
      <c r="I35" s="292">
        <f>SUM(D2:E32)+G18</f>
        <v>25796.490000000005</v>
      </c>
      <c r="J35" s="292">
        <f>SUM(F2:G32)-G18</f>
        <v>18464.2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24.56000000000131</v>
      </c>
      <c r="E36" s="88">
        <f t="shared" si="1"/>
        <v>244.23999999999796</v>
      </c>
      <c r="F36" s="88">
        <f t="shared" si="1"/>
        <v>125.85000000000036</v>
      </c>
      <c r="G36" s="88">
        <f t="shared" si="1"/>
        <v>61.200000000000728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0.25</v>
      </c>
      <c r="E37" s="89">
        <f t="shared" si="2"/>
        <v>2.44</v>
      </c>
      <c r="F37" s="89">
        <f>ROUND(F36*1%,2)</f>
        <v>1.26</v>
      </c>
      <c r="G37" s="89">
        <f>ROUND(G36*1%,2)</f>
        <v>0.61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362.81</v>
      </c>
      <c r="E38" s="89">
        <f t="shared" ref="E38" si="3">ROUND(3%*E35,2)</f>
        <v>359.94</v>
      </c>
      <c r="F38" s="89">
        <f>ROUND(3%*F35,2)</f>
        <v>259.95999999999998</v>
      </c>
      <c r="G38" s="89">
        <f>ROUND(3%*G35,2)</f>
        <v>331.43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>
        <f>ROUND(25*F33,2)</f>
        <v>375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hidden="1" customHeight="1">
      <c r="B41" s="21"/>
      <c r="C41" s="242"/>
      <c r="D41" s="18"/>
      <c r="E41" s="241"/>
      <c r="F41" s="87"/>
      <c r="G41" s="87"/>
      <c r="H41" s="12"/>
      <c r="I41" s="283"/>
      <c r="J41" s="145"/>
      <c r="K41" s="366"/>
      <c r="L41" s="366"/>
      <c r="M41" s="366"/>
      <c r="N41" s="366"/>
      <c r="O41" s="366"/>
      <c r="P41" s="366"/>
    </row>
    <row r="42" spans="1:22" ht="14.1" customHeight="1">
      <c r="B42" s="21"/>
      <c r="C42" s="242" t="s">
        <v>26</v>
      </c>
      <c r="D42" s="18"/>
      <c r="E42" s="241"/>
      <c r="F42" s="87"/>
      <c r="G42" s="980">
        <v>300</v>
      </c>
      <c r="H42" s="12" t="s">
        <v>431</v>
      </c>
      <c r="I42" s="283" t="s">
        <v>432</v>
      </c>
      <c r="J42" s="1016" t="s">
        <v>433</v>
      </c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2" t="s">
        <v>430</v>
      </c>
      <c r="D43" s="18"/>
      <c r="E43" s="241"/>
      <c r="F43" s="87"/>
      <c r="G43" s="980">
        <v>52</v>
      </c>
      <c r="H43" s="12"/>
      <c r="I43" s="283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D37+D38+D39+D40-D41</f>
        <v>713.06</v>
      </c>
      <c r="E44" s="456" t="e">
        <f>E37+E38+E39+E40-#REF!-E41</f>
        <v>#REF!</v>
      </c>
      <c r="F44" s="456" t="e">
        <f>F37+F38+F40-F41-#REF!</f>
        <v>#REF!</v>
      </c>
      <c r="G44" s="456">
        <f>G37+G38+G39+G40-G42-G43</f>
        <v>445.03999999999996</v>
      </c>
      <c r="H44" s="8"/>
      <c r="I44" s="145"/>
      <c r="J44" s="145" t="s">
        <v>434</v>
      </c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713.06</v>
      </c>
      <c r="E45" s="287">
        <f>E37+E38+E39+E40</f>
        <v>732.38</v>
      </c>
      <c r="F45" s="287">
        <f>F37+F38+F40</f>
        <v>636.22</v>
      </c>
      <c r="G45" s="287">
        <f>G37+G38+G39+G40</f>
        <v>797.04</v>
      </c>
      <c r="I45" s="462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/>
      <c r="J46" s="366"/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1271"/>
      <c r="D47" s="1191"/>
      <c r="E47" s="1191"/>
      <c r="F47" s="1191"/>
      <c r="G47" s="1191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/>
      <c r="E48" s="145"/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7"/>
      <c r="G49" s="8"/>
      <c r="H49" s="207"/>
      <c r="I49" s="68"/>
      <c r="J49" s="283"/>
      <c r="K49" s="101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18"/>
      <c r="E50" s="518"/>
      <c r="F50" s="550"/>
      <c r="G50" s="518"/>
      <c r="H50" s="519"/>
      <c r="I50" s="1009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18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366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G47"/>
  </mergeCells>
  <conditionalFormatting sqref="B2:G32">
    <cfRule type="expression" dxfId="23" priority="1">
      <formula>$B2=7</formula>
    </cfRule>
    <cfRule type="expression" dxfId="22" priority="2">
      <formula>$B2=6</formula>
    </cfRule>
  </conditionalFormatting>
  <pageMargins left="0.7" right="0.7" top="0.75" bottom="0.75" header="0.3" footer="0.3"/>
  <pageSetup paperSize="11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Normal="100" zoomScaleSheetLayoutView="115" zoomScalePageLayoutView="70" workbookViewId="0">
      <pane xSplit="1" ySplit="1" topLeftCell="B12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ColWidth="9.140625" defaultRowHeight="15"/>
  <cols>
    <col min="1" max="1" width="12.7109375" style="35" customWidth="1"/>
    <col min="2" max="2" width="6" style="35" customWidth="1"/>
    <col min="3" max="7" width="16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96">
        <v>415</v>
      </c>
      <c r="F2" s="913">
        <v>389.9</v>
      </c>
      <c r="G2" s="227"/>
      <c r="H2" s="984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>
        <v>736.05</v>
      </c>
      <c r="F3" s="913"/>
      <c r="G3" s="227">
        <v>288.89999999999998</v>
      </c>
      <c r="H3" s="984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>
        <v>1176.6099999999999</v>
      </c>
      <c r="F4" s="913"/>
      <c r="G4" s="227">
        <v>530.70000000000005</v>
      </c>
      <c r="H4" s="984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>
        <v>396</v>
      </c>
      <c r="E5" s="796"/>
      <c r="F5" s="913"/>
      <c r="G5" s="227">
        <v>746</v>
      </c>
      <c r="H5" s="984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>
        <v>799.3</v>
      </c>
      <c r="E6" s="796"/>
      <c r="F6" s="913">
        <v>398</v>
      </c>
      <c r="G6" s="227"/>
      <c r="H6" s="984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>
        <v>829.8</v>
      </c>
      <c r="F7" s="913">
        <v>187.5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>
        <v>685.1</v>
      </c>
      <c r="F8" s="913">
        <v>455.4</v>
      </c>
      <c r="G8" s="227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>
        <v>968.4</v>
      </c>
      <c r="F9" s="913"/>
      <c r="G9" s="227">
        <v>360.4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>
        <v>867.1</v>
      </c>
      <c r="E10" s="778">
        <v>46</v>
      </c>
      <c r="F10" s="913"/>
      <c r="G10" s="227">
        <v>329.6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>
        <v>578.70000000000005</v>
      </c>
      <c r="E11" s="796"/>
      <c r="F11" s="913"/>
      <c r="G11" s="227">
        <v>382.8</v>
      </c>
      <c r="H11" s="226"/>
      <c r="I11" s="984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>
        <v>435</v>
      </c>
      <c r="E12" s="796"/>
      <c r="F12" s="913">
        <v>701.9</v>
      </c>
      <c r="G12" s="227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>
        <v>466.25</v>
      </c>
      <c r="F13" s="913">
        <v>787.2</v>
      </c>
      <c r="G13" s="227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>
        <v>657.5</v>
      </c>
      <c r="F14" s="913">
        <v>411.3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>
        <v>898.2</v>
      </c>
      <c r="E15" s="796"/>
      <c r="F15" s="913"/>
      <c r="G15" s="227">
        <v>582</v>
      </c>
      <c r="H15" s="984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>
        <v>972.3</v>
      </c>
      <c r="E16" s="796"/>
      <c r="F16" s="913"/>
      <c r="G16" s="227">
        <v>983.1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>
        <v>1341.5</v>
      </c>
      <c r="F17" s="913">
        <v>926</v>
      </c>
      <c r="G17" s="227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>
        <v>1041.9000000000001</v>
      </c>
      <c r="G18" s="1013">
        <v>1435.9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>
        <v>1693.93</v>
      </c>
      <c r="E19" s="22"/>
      <c r="F19" s="913"/>
      <c r="G19" s="227">
        <v>1057.3</v>
      </c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>
        <v>905.6</v>
      </c>
      <c r="E20" s="778">
        <v>20</v>
      </c>
      <c r="F20" s="913"/>
      <c r="G20" s="227">
        <v>827.4</v>
      </c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778">
        <v>38</v>
      </c>
      <c r="E21" s="22">
        <v>1270.3</v>
      </c>
      <c r="F21" s="913">
        <v>635</v>
      </c>
      <c r="G21" s="227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>
        <v>743.98</v>
      </c>
      <c r="F22" s="913"/>
      <c r="G22" s="227">
        <v>643.1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>
        <v>1007.9</v>
      </c>
      <c r="E23" s="22"/>
      <c r="F23" s="913"/>
      <c r="G23" s="227">
        <v>822.4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>
        <v>791.7</v>
      </c>
      <c r="E24" s="22"/>
      <c r="F24" s="913">
        <v>728.2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>
        <v>566.74</v>
      </c>
      <c r="F25" s="913">
        <v>1106.4000000000001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>
        <v>650.29999999999995</v>
      </c>
      <c r="F26" s="913">
        <v>514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>
        <v>769.88</v>
      </c>
      <c r="E27" s="22"/>
      <c r="F27" s="913"/>
      <c r="G27" s="227">
        <v>505.5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>
        <v>572</v>
      </c>
      <c r="E28" s="22"/>
      <c r="F28" s="913"/>
      <c r="G28" s="227">
        <v>360.4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>
        <v>605.85</v>
      </c>
      <c r="F29" s="913">
        <v>203.9</v>
      </c>
      <c r="G29" s="227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>
        <v>707.7</v>
      </c>
      <c r="E30" s="22"/>
      <c r="F30" s="913">
        <v>304.5</v>
      </c>
      <c r="G30" s="227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>
        <v>1009.3</v>
      </c>
      <c r="F31" s="966"/>
      <c r="G31" s="1012">
        <v>480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6">
        <f t="shared" si="0"/>
        <v>6</v>
      </c>
      <c r="C32" s="17">
        <v>44135</v>
      </c>
      <c r="D32" s="22">
        <v>685</v>
      </c>
      <c r="E32" s="22">
        <v>53.6</v>
      </c>
      <c r="F32" s="741"/>
      <c r="G32" s="226">
        <v>796.5</v>
      </c>
      <c r="H32" s="1011"/>
      <c r="I32" s="767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582" t="s">
        <v>225</v>
      </c>
      <c r="D33" s="248">
        <v>15</v>
      </c>
      <c r="E33" s="248">
        <v>15</v>
      </c>
      <c r="F33" s="248">
        <f>COUNT(F2:F32)</f>
        <v>15</v>
      </c>
      <c r="G33" s="248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12118.310000000001</v>
      </c>
      <c r="E34" s="969">
        <f>SUM(E2:E32)</f>
        <v>12242.279999999999</v>
      </c>
      <c r="F34" s="969">
        <f>SUM(F2:F32)</f>
        <v>8791.1</v>
      </c>
      <c r="G34" s="969">
        <f>SUM(G2:G32)</f>
        <v>11132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12093.75</v>
      </c>
      <c r="E35" s="238">
        <v>11998.04</v>
      </c>
      <c r="F35" s="238">
        <v>8665.25</v>
      </c>
      <c r="G35" s="238">
        <v>11047.8</v>
      </c>
      <c r="H35" s="12"/>
      <c r="I35" s="292">
        <f>SUM(D2:E32)+G18</f>
        <v>25796.490000000005</v>
      </c>
      <c r="J35" s="292">
        <f>SUM(F2:G32)-G18</f>
        <v>18487.2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24.56000000000131</v>
      </c>
      <c r="E36" s="88">
        <f t="shared" si="1"/>
        <v>244.23999999999796</v>
      </c>
      <c r="F36" s="88">
        <f t="shared" si="1"/>
        <v>125.85000000000036</v>
      </c>
      <c r="G36" s="88">
        <f t="shared" si="1"/>
        <v>84.200000000000728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0.25</v>
      </c>
      <c r="E37" s="89">
        <f t="shared" si="2"/>
        <v>2.44</v>
      </c>
      <c r="F37" s="89">
        <f>ROUND(F36*1%,2)</f>
        <v>1.26</v>
      </c>
      <c r="G37" s="89">
        <f>ROUND(G36*1%,2)</f>
        <v>0.84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362.81</v>
      </c>
      <c r="E38" s="89">
        <f t="shared" ref="E38" si="3">ROUND(3%*E35,2)</f>
        <v>359.94</v>
      </c>
      <c r="F38" s="89">
        <f>ROUND(3%*F35,2)</f>
        <v>259.95999999999998</v>
      </c>
      <c r="G38" s="89">
        <f>ROUND(3%*G35,2)</f>
        <v>331.43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300</v>
      </c>
      <c r="F40" s="87">
        <f>ROUND(25*F33,2)</f>
        <v>375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>
      <c r="B41" s="1014"/>
      <c r="C41" s="1015" t="s">
        <v>48</v>
      </c>
      <c r="E41" s="241"/>
      <c r="F41" s="87">
        <v>300</v>
      </c>
      <c r="G41" s="87">
        <v>108.82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>
      <c r="B42" s="21"/>
      <c r="C42" s="242" t="s">
        <v>94</v>
      </c>
      <c r="D42" s="18">
        <v>337.71</v>
      </c>
      <c r="E42" s="241">
        <v>180.88</v>
      </c>
      <c r="F42" s="87"/>
      <c r="G42" s="87">
        <v>44</v>
      </c>
      <c r="H42" s="1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2" t="s">
        <v>430</v>
      </c>
      <c r="D43" s="18"/>
      <c r="E43" s="241"/>
      <c r="F43" s="87">
        <v>96</v>
      </c>
      <c r="G43" s="980">
        <v>52</v>
      </c>
      <c r="H43" s="12">
        <v>2150.21</v>
      </c>
      <c r="I43" s="283" t="s">
        <v>287</v>
      </c>
      <c r="J43" s="145" t="s">
        <v>288</v>
      </c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D45-D42</f>
        <v>375.34999999999997</v>
      </c>
      <c r="E44" s="456">
        <f>E45-E42</f>
        <v>531.5</v>
      </c>
      <c r="F44" s="456">
        <f>F37+F38++F40-F41-F43</f>
        <v>240.22000000000003</v>
      </c>
      <c r="G44" s="456">
        <f>G37+G38+G39+G40-G41-G42-G43</f>
        <v>592.45000000000005</v>
      </c>
      <c r="H44" s="8"/>
      <c r="I44" s="145">
        <v>828.4</v>
      </c>
      <c r="J44" s="145">
        <v>316.8</v>
      </c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713.06</v>
      </c>
      <c r="E45" s="287">
        <f>E37+E38+E39+E40</f>
        <v>712.38</v>
      </c>
      <c r="F45" s="287">
        <f>F37+F38+F40</f>
        <v>636.22</v>
      </c>
      <c r="G45" s="287">
        <f>G37+G38+G39+G40</f>
        <v>797.27</v>
      </c>
      <c r="I45" s="462">
        <v>588.80999999999995</v>
      </c>
      <c r="J45" s="366">
        <v>416.2</v>
      </c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>
        <f>I45+I44</f>
        <v>1417.21</v>
      </c>
      <c r="J46" s="145">
        <f>SUM(J44:J45)</f>
        <v>733</v>
      </c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363"/>
      <c r="D47" s="1010"/>
      <c r="E47" s="1010"/>
      <c r="F47" s="363"/>
      <c r="G47" s="1010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/>
      <c r="E48" s="145"/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"/>
      <c r="G49" s="8"/>
      <c r="H49" s="207"/>
      <c r="I49" s="68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18"/>
      <c r="E50" s="518"/>
      <c r="F50" s="550"/>
      <c r="G50" s="518"/>
      <c r="H50" s="519"/>
      <c r="I50" s="987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18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366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B2:G32">
    <cfRule type="expression" dxfId="21" priority="1">
      <formula>$B2=7</formula>
    </cfRule>
    <cfRule type="expression" dxfId="20" priority="2">
      <formula>$B2=6</formula>
    </cfRule>
  </conditionalFormatting>
  <pageMargins left="0.7" right="0.7" top="0.75" bottom="0.75" header="0.3" footer="0.3"/>
  <pageSetup paperSize="11" scale="7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0"/>
  <sheetViews>
    <sheetView topLeftCell="A91" zoomScale="85" zoomScaleNormal="85" zoomScaleSheetLayoutView="70" zoomScalePageLayoutView="70" workbookViewId="0">
      <selection activeCell="O109" sqref="O10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1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439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1022"/>
      <c r="O2" s="1023"/>
      <c r="P2" s="1023"/>
      <c r="Q2" s="1023"/>
      <c r="R2" s="366"/>
      <c r="S2" s="1023"/>
      <c r="T2" s="1023"/>
      <c r="U2" s="1023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1022"/>
      <c r="O3" s="366"/>
      <c r="P3" s="366"/>
      <c r="Q3" s="366"/>
      <c r="R3" s="366"/>
      <c r="S3" s="366"/>
      <c r="T3" s="366"/>
      <c r="U3" s="366"/>
      <c r="V3" s="1023"/>
      <c r="W3" s="1023"/>
      <c r="X3" s="366"/>
      <c r="Y3" s="1023"/>
      <c r="Z3" s="668"/>
      <c r="AA3" s="366"/>
      <c r="AB3" s="366"/>
      <c r="AC3" s="366"/>
      <c r="AD3" s="102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1018" t="s">
        <v>34</v>
      </c>
      <c r="C4" s="36" t="s">
        <v>35</v>
      </c>
      <c r="D4" s="36" t="s">
        <v>38</v>
      </c>
      <c r="E4" s="36" t="s">
        <v>42</v>
      </c>
      <c r="F4" s="1018" t="s">
        <v>36</v>
      </c>
      <c r="G4" s="100" t="s">
        <v>173</v>
      </c>
      <c r="H4" s="715" t="s">
        <v>2</v>
      </c>
      <c r="I4" s="1234" t="s">
        <v>34</v>
      </c>
      <c r="J4" s="1234"/>
      <c r="K4" s="1024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44110</v>
      </c>
      <c r="B5" s="161" t="s">
        <v>205</v>
      </c>
      <c r="C5" s="669">
        <v>113.19</v>
      </c>
      <c r="D5" s="275">
        <v>113.19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44111</v>
      </c>
      <c r="B6" s="161" t="s">
        <v>222</v>
      </c>
      <c r="C6" s="669">
        <v>124.42</v>
      </c>
      <c r="D6" s="275">
        <v>124.42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44"/>
      <c r="J6" s="1245"/>
      <c r="K6" s="481"/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>
        <v>44145</v>
      </c>
      <c r="B7" s="161" t="s">
        <v>395</v>
      </c>
      <c r="C7" s="669">
        <v>299.60000000000002</v>
      </c>
      <c r="D7" s="275">
        <v>299.60000000000002</v>
      </c>
      <c r="E7" s="576" t="str">
        <f t="shared" si="0"/>
        <v/>
      </c>
      <c r="F7" s="162" t="str">
        <f t="shared" si="1"/>
        <v>оплачено</v>
      </c>
      <c r="G7" s="161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44154</v>
      </c>
      <c r="B8" s="161" t="s">
        <v>257</v>
      </c>
      <c r="C8" s="669">
        <v>140.46</v>
      </c>
      <c r="D8" s="275">
        <v>140.46</v>
      </c>
      <c r="E8" s="576" t="str">
        <f t="shared" si="0"/>
        <v/>
      </c>
      <c r="F8" s="162" t="str">
        <f t="shared" si="1"/>
        <v>оплачено</v>
      </c>
      <c r="G8" s="161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44154</v>
      </c>
      <c r="B9" s="161" t="s">
        <v>221</v>
      </c>
      <c r="C9" s="669">
        <v>281.10000000000002</v>
      </c>
      <c r="D9" s="275">
        <v>281.10000000000002</v>
      </c>
      <c r="E9" s="576" t="str">
        <f t="shared" si="0"/>
        <v/>
      </c>
      <c r="F9" s="162" t="str">
        <f t="shared" si="1"/>
        <v>оплачено</v>
      </c>
      <c r="G9" s="161"/>
      <c r="H9" s="717"/>
      <c r="I9" s="1244"/>
      <c r="J9" s="1245"/>
      <c r="K9" s="481"/>
      <c r="L9" s="1248"/>
      <c r="M9" s="1249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44144</v>
      </c>
      <c r="B10" s="161" t="s">
        <v>354</v>
      </c>
      <c r="C10" s="669">
        <v>312.68</v>
      </c>
      <c r="D10" s="669">
        <v>312.68</v>
      </c>
      <c r="E10" s="576" t="str">
        <f t="shared" si="0"/>
        <v/>
      </c>
      <c r="F10" s="162" t="str">
        <f t="shared" si="1"/>
        <v>оплачено</v>
      </c>
      <c r="G10" s="161"/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44"/>
      <c r="J11" s="1245"/>
      <c r="K11" s="481"/>
      <c r="L11" s="1183"/>
      <c r="M11" s="1241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44"/>
      <c r="J12" s="1245"/>
      <c r="K12" s="481"/>
      <c r="L12" s="1183"/>
      <c r="M12" s="1241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1271.45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1021" t="s">
        <v>21</v>
      </c>
      <c r="K22" s="1021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5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>
      <c r="A36" s="339"/>
      <c r="B36" s="199"/>
      <c r="C36" s="1"/>
      <c r="D36" s="273"/>
      <c r="E36" s="366"/>
      <c r="F36" s="366"/>
      <c r="G36" s="366"/>
      <c r="H36" s="347" t="s">
        <v>162</v>
      </c>
      <c r="I36" s="728">
        <v>25796.49</v>
      </c>
      <c r="J36" s="438">
        <f>2.2+22+11+100+1+324+64.2+163+106+6+211.5+238+369+166+327.5+1+30+198</f>
        <v>2340.4</v>
      </c>
      <c r="K36" s="645">
        <v>1417.21</v>
      </c>
      <c r="L36" s="1000">
        <f>1442+786+491+108+201+501+256+1197+2570+42+883.5+330+192+1658+539+1550.5+1020.5+410+1497+230+17+879+290.5+569+1403.5+696+517+2100+1076.5+482+811</f>
        <v>24746</v>
      </c>
      <c r="M36" s="104">
        <f>M35-I36-J36-K36+L36</f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 thickBot="1">
      <c r="A37" s="339"/>
      <c r="B37" s="199"/>
      <c r="C37" s="1"/>
      <c r="D37" s="273"/>
      <c r="E37" s="366"/>
      <c r="F37" s="366"/>
      <c r="G37" s="366"/>
      <c r="H37" s="646" t="s">
        <v>163</v>
      </c>
      <c r="I37" s="661">
        <v>26221.170000000002</v>
      </c>
      <c r="J37" s="648">
        <f>16.8+18.5+21+481+291+23+197.5+70.2+18+706.5+91+23+42+175+2+617+9+611</f>
        <v>3413.5</v>
      </c>
      <c r="K37" s="649">
        <f>538.23+638.25</f>
        <v>1176.48</v>
      </c>
      <c r="L37" s="981">
        <f>600+18+110+3039+866+639+533.5+48+72+1216+449.5+602+112+5408+228+20+1228+80+1766.5+1774+202+236+466+411.5+30.5+195+5659.5+327.5</f>
        <v>26337.5</v>
      </c>
      <c r="M37" s="104">
        <f>M36-I37-J37-K37+L37</f>
        <v>73818.600000000006</v>
      </c>
      <c r="N37" s="1"/>
      <c r="O37" s="448"/>
      <c r="P37" s="84"/>
      <c r="Q37" s="145"/>
      <c r="R37" s="84"/>
      <c r="S37" s="571"/>
      <c r="T37" s="86"/>
      <c r="U37" s="86"/>
      <c r="V37" s="86"/>
      <c r="W37" s="86"/>
      <c r="X37" s="86"/>
      <c r="Y37" s="366"/>
      <c r="Z37" s="366"/>
    </row>
    <row r="38" spans="1:26" ht="12.75" customHeight="1" thickTop="1">
      <c r="A38" s="339"/>
      <c r="B38" s="199"/>
      <c r="C38" s="1"/>
      <c r="D38" s="273"/>
      <c r="E38" s="84"/>
      <c r="F38" s="366"/>
      <c r="G38" s="366"/>
      <c r="H38" s="1152" t="s">
        <v>36</v>
      </c>
      <c r="I38" s="1154" t="s">
        <v>178</v>
      </c>
      <c r="J38" s="1155"/>
      <c r="K38" s="1156"/>
      <c r="L38" s="1160" t="s">
        <v>159</v>
      </c>
      <c r="M38" s="1160"/>
      <c r="N38" s="786" t="s">
        <v>370</v>
      </c>
      <c r="O38" s="448"/>
      <c r="P38" s="84"/>
      <c r="Q38" s="145"/>
      <c r="R38" s="145"/>
      <c r="S38" s="86"/>
      <c r="T38" s="86"/>
      <c r="U38" s="86"/>
      <c r="V38" s="86"/>
      <c r="W38" s="86"/>
      <c r="X38" s="86"/>
      <c r="Y38" s="366"/>
      <c r="Z38" s="366"/>
    </row>
    <row r="39" spans="1:26" ht="13.5" customHeight="1">
      <c r="A39" s="339"/>
      <c r="B39" s="199"/>
      <c r="C39" s="284"/>
      <c r="D39" s="273"/>
      <c r="E39" s="284"/>
      <c r="F39" s="366"/>
      <c r="G39" s="378"/>
      <c r="H39" s="1153"/>
      <c r="I39" s="1157"/>
      <c r="J39" s="1158"/>
      <c r="K39" s="1159"/>
      <c r="L39" s="1162"/>
      <c r="M39" s="1162"/>
      <c r="N39" s="787" t="s">
        <v>189</v>
      </c>
      <c r="O39" s="448"/>
      <c r="P39" s="84"/>
      <c r="Q39" s="145"/>
      <c r="R39" s="84"/>
      <c r="S39" s="86"/>
      <c r="T39" s="86"/>
      <c r="U39" s="86"/>
      <c r="V39" s="294"/>
      <c r="W39" s="86"/>
      <c r="X39" s="86"/>
      <c r="Y39" s="366"/>
      <c r="Z39" s="366"/>
    </row>
    <row r="40" spans="1:26" ht="15.75" customHeight="1">
      <c r="A40" s="339"/>
      <c r="B40" s="199"/>
      <c r="C40" s="199"/>
      <c r="D40" s="273"/>
      <c r="E40" s="199"/>
      <c r="F40" s="366"/>
      <c r="G40" s="378"/>
      <c r="H40" s="529" t="s">
        <v>91</v>
      </c>
      <c r="I40" s="1231" t="s">
        <v>47</v>
      </c>
      <c r="J40" s="1231"/>
      <c r="K40" s="1030">
        <v>328.13</v>
      </c>
      <c r="L40" s="282">
        <v>44119</v>
      </c>
      <c r="M40" s="1" t="s">
        <v>427</v>
      </c>
      <c r="N40" s="788">
        <v>132</v>
      </c>
      <c r="O40" s="448"/>
      <c r="P40" s="84"/>
      <c r="Q40" s="145"/>
      <c r="R40" s="84"/>
      <c r="S40" s="86"/>
      <c r="T40" s="86"/>
      <c r="U40" s="86"/>
      <c r="V40" s="294"/>
      <c r="W40" s="86"/>
      <c r="X40" s="86"/>
      <c r="Y40" s="366"/>
      <c r="Z40" s="366"/>
    </row>
    <row r="41" spans="1:26">
      <c r="A41" s="339"/>
      <c r="B41" s="366"/>
      <c r="C41" s="274"/>
      <c r="D41" s="273"/>
      <c r="E41" s="274"/>
      <c r="F41" s="366"/>
      <c r="G41" s="366"/>
      <c r="H41" s="529" t="s">
        <v>91</v>
      </c>
      <c r="I41" s="1229" t="s">
        <v>51</v>
      </c>
      <c r="J41" s="1229"/>
      <c r="K41" s="1029">
        <v>71.83</v>
      </c>
      <c r="L41" s="282">
        <v>44119</v>
      </c>
      <c r="M41" s="1" t="s">
        <v>427</v>
      </c>
      <c r="N41" s="789">
        <v>40</v>
      </c>
      <c r="O41" s="448"/>
      <c r="P41" s="84"/>
      <c r="Q41" s="145"/>
      <c r="R41" s="273"/>
      <c r="S41" s="366"/>
      <c r="T41" s="86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199"/>
      <c r="F42" s="366"/>
      <c r="G42" s="366"/>
      <c r="H42" s="529" t="s">
        <v>91</v>
      </c>
      <c r="I42" s="1229" t="s">
        <v>52</v>
      </c>
      <c r="J42" s="1229"/>
      <c r="K42" s="1029">
        <v>5.63</v>
      </c>
      <c r="L42" s="282">
        <v>44119</v>
      </c>
      <c r="M42" s="1" t="s">
        <v>427</v>
      </c>
      <c r="N42" s="789">
        <v>3</v>
      </c>
      <c r="O42" s="448"/>
      <c r="P42" s="84"/>
      <c r="Q42" s="145"/>
      <c r="R42" s="273"/>
      <c r="S42" s="366"/>
      <c r="T42" s="294"/>
      <c r="U42" s="86"/>
      <c r="V42" s="366"/>
      <c r="W42" s="294"/>
      <c r="X42" s="294"/>
      <c r="Y42" s="366"/>
    </row>
    <row r="43" spans="1:26">
      <c r="A43" s="340"/>
      <c r="B43" s="366"/>
      <c r="C43" s="366"/>
      <c r="D43" s="273"/>
      <c r="E43" s="366"/>
      <c r="F43" s="366"/>
      <c r="G43" s="366"/>
      <c r="H43" s="529" t="s">
        <v>91</v>
      </c>
      <c r="I43" s="1229" t="s">
        <v>49</v>
      </c>
      <c r="J43" s="1248"/>
      <c r="K43" s="1029">
        <v>314</v>
      </c>
      <c r="L43" s="294">
        <v>44124</v>
      </c>
      <c r="M43" s="1" t="s">
        <v>426</v>
      </c>
      <c r="N43" s="788">
        <v>200</v>
      </c>
      <c r="O43" s="448"/>
      <c r="P43" s="947"/>
      <c r="Q43" s="145"/>
      <c r="R43" s="1023"/>
      <c r="S43" s="366"/>
      <c r="T43" s="294"/>
      <c r="U43" s="86"/>
      <c r="V43" s="294"/>
      <c r="W43" s="294"/>
      <c r="X43" s="294"/>
      <c r="Y43" s="366"/>
    </row>
    <row r="44" spans="1:26">
      <c r="A44" s="340"/>
      <c r="B44" s="366"/>
      <c r="C44" s="366"/>
      <c r="D44" s="273"/>
      <c r="E44" s="366"/>
      <c r="F44" s="366"/>
      <c r="G44" s="366"/>
      <c r="H44" s="529" t="s">
        <v>91</v>
      </c>
      <c r="I44" s="1230" t="s">
        <v>59</v>
      </c>
      <c r="J44" s="1218"/>
      <c r="K44" s="455">
        <v>144.91</v>
      </c>
      <c r="L44" s="302" t="s">
        <v>177</v>
      </c>
      <c r="M44" s="1" t="s">
        <v>427</v>
      </c>
      <c r="N44" s="790">
        <v>102.73</v>
      </c>
      <c r="O44" s="1005"/>
      <c r="P44" s="942"/>
      <c r="Q44" s="145"/>
      <c r="R44" s="567"/>
      <c r="S44" s="366"/>
      <c r="T44" s="294"/>
      <c r="U44" s="86"/>
      <c r="V44" s="294"/>
      <c r="W44" s="366"/>
      <c r="X44" s="366"/>
      <c r="Y44" s="366"/>
    </row>
    <row r="45" spans="1:26">
      <c r="A45" s="340"/>
      <c r="B45" s="199"/>
      <c r="C45" s="199"/>
      <c r="D45" s="273"/>
      <c r="E45" s="199"/>
      <c r="F45" s="366"/>
      <c r="G45" s="366"/>
      <c r="H45" s="529" t="s">
        <v>91</v>
      </c>
      <c r="I45" s="1218" t="s">
        <v>68</v>
      </c>
      <c r="J45" s="1259"/>
      <c r="K45" s="1029">
        <f>143.6*2</f>
        <v>287.2</v>
      </c>
      <c r="L45" s="294">
        <v>44124</v>
      </c>
      <c r="M45" s="1" t="s">
        <v>427</v>
      </c>
      <c r="N45" s="790">
        <f>K45/2</f>
        <v>143.6</v>
      </c>
      <c r="O45" s="448"/>
      <c r="P45" s="444"/>
      <c r="Q45" s="363"/>
      <c r="R45" s="1023"/>
      <c r="S45" s="366"/>
      <c r="T45" s="366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199"/>
      <c r="F46" s="366"/>
      <c r="G46" s="366"/>
      <c r="H46" s="529" t="s">
        <v>91</v>
      </c>
      <c r="I46" s="1028" t="s">
        <v>174</v>
      </c>
      <c r="J46" s="1032"/>
      <c r="K46" s="476">
        <f>337.71+180.88</f>
        <v>518.58999999999992</v>
      </c>
      <c r="L46" s="282">
        <v>44119</v>
      </c>
      <c r="M46" s="1" t="s">
        <v>427</v>
      </c>
      <c r="N46" s="791">
        <f>K46</f>
        <v>518.58999999999992</v>
      </c>
      <c r="O46" s="12"/>
      <c r="P46" s="1025"/>
      <c r="Q46" s="363"/>
      <c r="R46" s="365"/>
      <c r="S46" s="366"/>
      <c r="T46" s="294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199"/>
      <c r="F47" s="366"/>
      <c r="G47" s="366"/>
      <c r="H47" s="1033" t="s">
        <v>241</v>
      </c>
      <c r="I47" s="1028" t="s">
        <v>176</v>
      </c>
      <c r="J47" s="1032"/>
      <c r="K47" s="455" t="s">
        <v>385</v>
      </c>
      <c r="L47" s="294">
        <v>44124</v>
      </c>
      <c r="M47" s="1" t="s">
        <v>427</v>
      </c>
      <c r="N47" s="789" t="str">
        <f>K47</f>
        <v>НЕТ</v>
      </c>
      <c r="O47" s="448"/>
      <c r="P47" s="84"/>
      <c r="Q47" s="363"/>
      <c r="R47" s="365"/>
      <c r="S47" s="366"/>
      <c r="T47" s="294"/>
      <c r="U47" s="294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91</v>
      </c>
      <c r="I48" s="1218" t="s">
        <v>81</v>
      </c>
      <c r="J48" s="1219"/>
      <c r="K48" s="1029">
        <v>1547.02</v>
      </c>
      <c r="L48" s="282">
        <v>44119</v>
      </c>
      <c r="M48" s="1" t="s">
        <v>427</v>
      </c>
      <c r="N48" s="789">
        <f>K48/2</f>
        <v>773.51</v>
      </c>
      <c r="O48" s="145"/>
      <c r="P48" s="84"/>
      <c r="Q48" s="84"/>
      <c r="R48" s="84"/>
      <c r="S48" s="84"/>
      <c r="T48" s="294"/>
      <c r="U48" s="366"/>
      <c r="V48" s="294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410</v>
      </c>
      <c r="I49" s="1218" t="s">
        <v>181</v>
      </c>
      <c r="J49" s="1219"/>
      <c r="K49" s="1029">
        <v>10</v>
      </c>
      <c r="L49" s="282">
        <v>44119</v>
      </c>
      <c r="M49" s="1" t="s">
        <v>427</v>
      </c>
      <c r="N49" s="791">
        <f>K49</f>
        <v>10</v>
      </c>
      <c r="O49" s="127"/>
      <c r="P49" s="145"/>
      <c r="Q49" s="363"/>
      <c r="R49" s="366"/>
      <c r="S49" s="366"/>
      <c r="T49" s="294"/>
      <c r="U49" s="294"/>
      <c r="V49" s="366"/>
      <c r="W49" s="294"/>
      <c r="X49" s="294"/>
      <c r="Y49" s="366"/>
    </row>
    <row r="50" spans="1:25">
      <c r="A50" s="340" t="s">
        <v>343</v>
      </c>
      <c r="B50" s="199"/>
      <c r="C50" s="366"/>
      <c r="D50" s="273"/>
      <c r="E50" s="232"/>
      <c r="F50" s="366"/>
      <c r="G50" s="366"/>
      <c r="H50" s="529" t="s">
        <v>91</v>
      </c>
      <c r="I50" s="1146" t="s">
        <v>61</v>
      </c>
      <c r="J50" s="1146"/>
      <c r="K50" s="1007">
        <v>981.43</v>
      </c>
      <c r="L50" s="294">
        <v>44124</v>
      </c>
      <c r="M50" s="1" t="s">
        <v>427</v>
      </c>
      <c r="N50" s="789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91</v>
      </c>
      <c r="I51" s="1146" t="s">
        <v>298</v>
      </c>
      <c r="J51" s="1146"/>
      <c r="K51" s="93">
        <f>207.37-129.37</f>
        <v>78</v>
      </c>
      <c r="L51" s="294">
        <v>44124</v>
      </c>
      <c r="M51" s="1" t="s">
        <v>427</v>
      </c>
      <c r="N51" s="788">
        <v>40</v>
      </c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91</v>
      </c>
      <c r="I52" s="1146" t="s">
        <v>299</v>
      </c>
      <c r="J52" s="1146"/>
      <c r="K52" s="93">
        <v>50</v>
      </c>
      <c r="L52" s="282">
        <v>44119</v>
      </c>
      <c r="M52" s="1" t="s">
        <v>427</v>
      </c>
      <c r="N52" s="789">
        <v>50</v>
      </c>
      <c r="P52" s="145"/>
      <c r="Q52" s="273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91</v>
      </c>
      <c r="I53" s="1146" t="s">
        <v>300</v>
      </c>
      <c r="J53" s="1146"/>
      <c r="K53" s="93">
        <v>150</v>
      </c>
      <c r="L53" s="282">
        <v>44134</v>
      </c>
      <c r="M53" s="1" t="s">
        <v>427</v>
      </c>
      <c r="N53" s="789">
        <v>150</v>
      </c>
      <c r="O53" s="12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 t="s">
        <v>91</v>
      </c>
      <c r="I54" s="1146" t="s">
        <v>325</v>
      </c>
      <c r="J54" s="1146"/>
      <c r="K54" s="93">
        <v>18</v>
      </c>
      <c r="L54" s="282">
        <v>44119</v>
      </c>
      <c r="M54" s="1" t="s">
        <v>427</v>
      </c>
      <c r="N54" s="790">
        <v>9</v>
      </c>
      <c r="O54" s="150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>
      <c r="A55" s="340"/>
      <c r="B55" s="199"/>
      <c r="C55" s="366"/>
      <c r="D55" s="273"/>
      <c r="E55" s="232"/>
      <c r="F55" s="366"/>
      <c r="G55" s="366"/>
      <c r="H55" s="529" t="s">
        <v>91</v>
      </c>
      <c r="I55" s="1150" t="s">
        <v>374</v>
      </c>
      <c r="J55" s="1151"/>
      <c r="K55" s="145">
        <v>912.71</v>
      </c>
      <c r="L55" s="282">
        <v>44134</v>
      </c>
      <c r="M55" s="1" t="s">
        <v>427</v>
      </c>
      <c r="N55" s="810">
        <f>K55</f>
        <v>912.71</v>
      </c>
      <c r="O55" s="150"/>
      <c r="P55" s="145"/>
      <c r="Q55" s="365"/>
      <c r="R55" s="365"/>
      <c r="S55" s="366"/>
      <c r="T55" s="294"/>
      <c r="U55" s="294"/>
      <c r="V55" s="366"/>
      <c r="W55" s="294"/>
      <c r="X55" s="294"/>
      <c r="Y55" s="366"/>
    </row>
    <row r="56" spans="1:25" ht="15.75" thickBot="1">
      <c r="A56" s="341"/>
      <c r="B56" s="330"/>
      <c r="C56" s="331"/>
      <c r="D56" s="342"/>
      <c r="E56" s="330"/>
      <c r="F56" s="331"/>
      <c r="G56" s="331"/>
      <c r="H56" s="1257" t="s">
        <v>179</v>
      </c>
      <c r="I56" s="1237"/>
      <c r="J56" s="361">
        <f>SUM(K40:K55)</f>
        <v>5417.45</v>
      </c>
      <c r="K56" s="1147" t="s">
        <v>180</v>
      </c>
      <c r="L56" s="1147"/>
      <c r="M56" s="785">
        <v>0</v>
      </c>
      <c r="N56" s="792">
        <f>SUM(N40:N55)</f>
        <v>3085.1400000000003</v>
      </c>
      <c r="P56" s="145"/>
      <c r="Q56" s="365"/>
      <c r="R56" s="366"/>
      <c r="S56" s="366"/>
      <c r="T56" s="294"/>
      <c r="U56" s="366"/>
      <c r="V56" s="366"/>
      <c r="W56" s="366"/>
      <c r="X56" s="366"/>
      <c r="Y56" s="366"/>
    </row>
    <row r="57" spans="1:25" ht="15.75" thickTop="1">
      <c r="A57" s="366"/>
      <c r="B57" s="366"/>
      <c r="C57" s="366"/>
      <c r="D57" s="366"/>
      <c r="E57" s="366"/>
      <c r="F57" s="366"/>
      <c r="G57" s="366"/>
      <c r="H57" s="1210"/>
      <c r="I57" s="1210"/>
      <c r="J57" s="1210"/>
      <c r="K57" s="1210"/>
      <c r="L57" s="366"/>
      <c r="M57" s="442"/>
      <c r="N57" s="1"/>
      <c r="P57" s="145"/>
      <c r="Q57" s="365"/>
      <c r="R57" s="366"/>
      <c r="S57" s="366"/>
      <c r="T57" s="366"/>
      <c r="U57" s="366"/>
      <c r="V57" s="366"/>
      <c r="W57" s="366"/>
      <c r="X57" s="366"/>
      <c r="Y57" s="366"/>
    </row>
    <row r="58" spans="1:25" ht="15" customHeight="1">
      <c r="A58" s="1211" t="s">
        <v>438</v>
      </c>
      <c r="B58" s="1211"/>
      <c r="C58" s="1211"/>
      <c r="D58" s="1211"/>
      <c r="E58" s="1211"/>
      <c r="F58" s="1211"/>
      <c r="G58" s="1211"/>
      <c r="H58" s="1211"/>
      <c r="I58" s="1211"/>
      <c r="J58" s="1211"/>
      <c r="K58" s="1211"/>
      <c r="L58" s="1211"/>
      <c r="M58" s="1211"/>
      <c r="N58" s="1"/>
      <c r="O58" s="150"/>
      <c r="P58" s="145"/>
      <c r="Q58" s="365"/>
      <c r="R58" s="366"/>
      <c r="S58" s="366"/>
      <c r="T58" s="366"/>
      <c r="U58" s="366"/>
      <c r="V58" s="366"/>
      <c r="W58" s="366"/>
      <c r="X58" s="366"/>
    </row>
    <row r="59" spans="1:25" ht="15.75" customHeight="1" thickBot="1">
      <c r="A59" s="1212"/>
      <c r="B59" s="1212"/>
      <c r="C59" s="1212"/>
      <c r="D59" s="1212"/>
      <c r="E59" s="1212"/>
      <c r="F59" s="1212"/>
      <c r="G59" s="1212"/>
      <c r="H59" s="1212"/>
      <c r="I59" s="1212"/>
      <c r="J59" s="1212"/>
      <c r="K59" s="1212"/>
      <c r="L59" s="1212"/>
      <c r="M59" s="1212"/>
      <c r="N59" s="1"/>
      <c r="P59" s="145"/>
      <c r="Q59" s="365"/>
      <c r="R59" s="365"/>
      <c r="S59" s="1023"/>
      <c r="T59" s="366"/>
      <c r="U59" s="366"/>
      <c r="V59" s="366"/>
      <c r="W59" s="366"/>
      <c r="X59" s="366"/>
    </row>
    <row r="60" spans="1:25" ht="15.75" thickTop="1">
      <c r="A60" s="1220" t="s">
        <v>346</v>
      </c>
      <c r="B60" s="1166"/>
      <c r="C60" s="1166"/>
      <c r="D60" s="1166"/>
      <c r="E60" s="1166"/>
      <c r="F60" s="1166"/>
      <c r="G60" s="1167"/>
      <c r="H60" s="1250" t="s">
        <v>345</v>
      </c>
      <c r="I60" s="1251"/>
      <c r="J60" s="1251"/>
      <c r="K60" s="1251"/>
      <c r="L60" s="1251"/>
      <c r="M60" s="1252"/>
      <c r="N60" s="1"/>
      <c r="P60" s="84"/>
      <c r="Q60" s="366"/>
      <c r="S60" s="274"/>
      <c r="T60" s="366"/>
      <c r="U60" s="366"/>
      <c r="V60" s="366"/>
      <c r="W60" s="366"/>
      <c r="X60" s="366"/>
    </row>
    <row r="61" spans="1:25">
      <c r="A61" s="324" t="s">
        <v>2</v>
      </c>
      <c r="B61" s="1018" t="s">
        <v>34</v>
      </c>
      <c r="C61" s="36" t="s">
        <v>35</v>
      </c>
      <c r="D61" s="36" t="s">
        <v>38</v>
      </c>
      <c r="E61" s="36" t="s">
        <v>42</v>
      </c>
      <c r="F61" s="1018" t="s">
        <v>36</v>
      </c>
      <c r="G61" s="100" t="s">
        <v>173</v>
      </c>
      <c r="H61" s="715" t="s">
        <v>2</v>
      </c>
      <c r="I61" s="1234" t="s">
        <v>34</v>
      </c>
      <c r="J61" s="1234"/>
      <c r="K61" s="1024" t="s">
        <v>35</v>
      </c>
      <c r="L61" s="1253" t="s">
        <v>173</v>
      </c>
      <c r="M61" s="1254"/>
      <c r="N61" s="1"/>
      <c r="P61" s="449"/>
      <c r="Q61" s="366"/>
      <c r="S61" s="274"/>
      <c r="T61" s="366"/>
      <c r="U61" s="366"/>
      <c r="V61" s="366"/>
      <c r="W61" s="366"/>
      <c r="X61" s="366"/>
    </row>
    <row r="62" spans="1:25">
      <c r="A62" s="325">
        <v>44137</v>
      </c>
      <c r="B62" s="161" t="s">
        <v>382</v>
      </c>
      <c r="C62" s="669">
        <v>236.23</v>
      </c>
      <c r="D62" s="275">
        <v>236.23</v>
      </c>
      <c r="E62" s="576" t="str">
        <f>IF(C62-D62=0,"",C62-D62)</f>
        <v/>
      </c>
      <c r="F62" s="162" t="str">
        <f t="shared" ref="F62:F77" si="4">IF(C62=0,"",IF(C62-D62=0,"оплачено","ОЖИДАЕТСЯ оплата"))</f>
        <v>оплачено</v>
      </c>
      <c r="G62" s="162"/>
      <c r="H62" s="325"/>
      <c r="I62" s="1244"/>
      <c r="J62" s="1245"/>
      <c r="K62" s="481"/>
      <c r="L62" s="1246"/>
      <c r="M62" s="1247"/>
      <c r="N62" s="1"/>
      <c r="P62" s="449"/>
      <c r="Q62" s="366"/>
      <c r="S62" s="366"/>
      <c r="T62" s="84"/>
      <c r="U62" s="366"/>
      <c r="W62" s="366"/>
      <c r="X62" s="366"/>
    </row>
    <row r="63" spans="1:25">
      <c r="A63" s="325"/>
      <c r="B63" s="161" t="s">
        <v>437</v>
      </c>
      <c r="C63" s="669">
        <v>406.76</v>
      </c>
      <c r="D63" s="275">
        <v>406.76</v>
      </c>
      <c r="E63" s="576" t="str">
        <f t="shared" ref="E63:E77" si="5">IF(C63-D63=0,"",C63-D63)</f>
        <v/>
      </c>
      <c r="F63" s="162" t="str">
        <f t="shared" si="4"/>
        <v>оплачено</v>
      </c>
      <c r="G63" s="162"/>
      <c r="H63" s="717"/>
      <c r="I63" s="1244"/>
      <c r="J63" s="1245"/>
      <c r="K63" s="481"/>
      <c r="L63" s="1246"/>
      <c r="M63" s="1247"/>
      <c r="N63" s="1"/>
      <c r="P63" s="449"/>
      <c r="Q63" s="366"/>
      <c r="S63" s="366"/>
      <c r="T63" s="366"/>
      <c r="U63" s="366"/>
      <c r="W63" s="366"/>
      <c r="X63" s="366"/>
    </row>
    <row r="64" spans="1:25">
      <c r="A64" s="325"/>
      <c r="B64" s="161"/>
      <c r="C64" s="275"/>
      <c r="D64" s="275"/>
      <c r="E64" s="576" t="str">
        <f t="shared" si="5"/>
        <v/>
      </c>
      <c r="F64" s="162" t="str">
        <f t="shared" si="4"/>
        <v/>
      </c>
      <c r="G64" s="162"/>
      <c r="H64" s="717"/>
      <c r="I64" s="1244"/>
      <c r="J64" s="1245"/>
      <c r="K64" s="481"/>
      <c r="L64" s="1248"/>
      <c r="M64" s="1249"/>
      <c r="N64" s="1"/>
      <c r="P64" s="449"/>
      <c r="T64" s="366"/>
      <c r="U64" s="366"/>
    </row>
    <row r="65" spans="1:21">
      <c r="A65" s="325"/>
      <c r="B65" s="161"/>
      <c r="C65" s="275"/>
      <c r="D65" s="275"/>
      <c r="E65" s="673" t="str">
        <f t="shared" si="5"/>
        <v/>
      </c>
      <c r="F65" s="161" t="str">
        <f t="shared" si="4"/>
        <v/>
      </c>
      <c r="G65" s="161"/>
      <c r="H65" s="717"/>
      <c r="I65" s="1244"/>
      <c r="J65" s="1245"/>
      <c r="K65" s="481"/>
      <c r="L65" s="1248"/>
      <c r="M65" s="1249"/>
      <c r="N65" s="1"/>
      <c r="P65" s="449"/>
      <c r="U65" s="366"/>
    </row>
    <row r="66" spans="1:21">
      <c r="A66" s="325"/>
      <c r="B66" s="161" t="s">
        <v>382</v>
      </c>
      <c r="C66" s="1049">
        <v>288.67</v>
      </c>
      <c r="D66" s="531">
        <v>288.67</v>
      </c>
      <c r="E66" s="576" t="str">
        <f t="shared" si="5"/>
        <v/>
      </c>
      <c r="F66" s="162" t="str">
        <f t="shared" si="4"/>
        <v>оплачено</v>
      </c>
      <c r="G66" s="162"/>
      <c r="H66" s="717"/>
      <c r="I66" s="1244"/>
      <c r="J66" s="1245"/>
      <c r="K66" s="481"/>
      <c r="L66" s="1248"/>
      <c r="M66" s="1249"/>
      <c r="N66" s="1"/>
      <c r="O66" s="150"/>
      <c r="P66" s="571"/>
      <c r="U66" s="366"/>
    </row>
    <row r="67" spans="1:21">
      <c r="A67" s="325"/>
      <c r="B67" s="161" t="s">
        <v>396</v>
      </c>
      <c r="C67" s="669">
        <v>843.64</v>
      </c>
      <c r="D67" s="275">
        <v>843.64</v>
      </c>
      <c r="E67" s="576" t="str">
        <f t="shared" si="5"/>
        <v/>
      </c>
      <c r="F67" s="162" t="str">
        <f t="shared" si="4"/>
        <v>оплачено</v>
      </c>
      <c r="G67" s="162"/>
      <c r="H67" s="717"/>
      <c r="I67" s="1244"/>
      <c r="J67" s="1245"/>
      <c r="K67" s="481"/>
      <c r="L67" s="1248"/>
      <c r="M67" s="1249"/>
      <c r="N67" s="1"/>
      <c r="P67" s="86"/>
      <c r="U67" s="366"/>
    </row>
    <row r="68" spans="1:21" ht="14.45" customHeight="1">
      <c r="A68" s="325">
        <v>44139</v>
      </c>
      <c r="B68" s="161" t="s">
        <v>396</v>
      </c>
      <c r="C68" s="1050">
        <v>1513.41</v>
      </c>
      <c r="D68" s="951">
        <v>1513.41</v>
      </c>
      <c r="E68" s="576" t="str">
        <f>IF(C68-D68=0,"",C68-D68)</f>
        <v/>
      </c>
      <c r="F68" s="162" t="str">
        <f>IF(C68=0,"",IF(C68-D68=0,"оплачено","ОЖИДАЕТСЯ оплата"))</f>
        <v>оплачено</v>
      </c>
      <c r="G68" s="162"/>
      <c r="H68" s="717"/>
      <c r="I68" s="1244"/>
      <c r="J68" s="1245"/>
      <c r="K68" s="481"/>
      <c r="L68" s="1183"/>
      <c r="M68" s="1241"/>
      <c r="N68" s="1"/>
      <c r="O68" s="150"/>
      <c r="P68" s="86"/>
    </row>
    <row r="69" spans="1:21" ht="14.45" customHeight="1">
      <c r="A69" s="325"/>
      <c r="B69" s="161"/>
      <c r="C69" s="275"/>
      <c r="D69" s="275"/>
      <c r="E69" s="576" t="str">
        <f>IF(C69-D69=0,"",C69-D69)</f>
        <v/>
      </c>
      <c r="F69" s="162" t="str">
        <f>IF(C69=0,"",IF(C69-D69=0,"оплачено","ОЖИДАЕТСЯ оплата"))</f>
        <v/>
      </c>
      <c r="G69" s="162"/>
      <c r="H69" s="717" t="str">
        <f t="shared" ref="H69:I77" si="6">IF(S11="","",S11)</f>
        <v/>
      </c>
      <c r="I69" s="1244"/>
      <c r="J69" s="1245"/>
      <c r="K69" s="481"/>
      <c r="L69" s="1183"/>
      <c r="M69" s="1241"/>
      <c r="N69" s="1"/>
    </row>
    <row r="70" spans="1:21" ht="14.45" customHeight="1">
      <c r="A70" s="325"/>
      <c r="B70" s="161"/>
      <c r="C70" s="275"/>
      <c r="D70" s="275"/>
      <c r="E70" s="576" t="str">
        <f t="shared" si="5"/>
        <v/>
      </c>
      <c r="F70" s="162" t="str">
        <f t="shared" si="4"/>
        <v/>
      </c>
      <c r="G70" s="162"/>
      <c r="H70" s="717" t="str">
        <f t="shared" si="6"/>
        <v/>
      </c>
      <c r="I70" s="1244" t="str">
        <f t="shared" si="6"/>
        <v/>
      </c>
      <c r="J70" s="1245"/>
      <c r="K70" s="481" t="str">
        <f t="shared" ref="K70:K77" si="7">IF(U12="","",U12)</f>
        <v/>
      </c>
      <c r="L70" s="1183"/>
      <c r="M70" s="1241"/>
      <c r="N70" s="1"/>
      <c r="O70" s="366"/>
    </row>
    <row r="71" spans="1:21">
      <c r="A71" s="325"/>
      <c r="B71" s="161"/>
      <c r="C71" s="275"/>
      <c r="D71" s="275"/>
      <c r="E71" s="576" t="str">
        <f t="shared" si="5"/>
        <v/>
      </c>
      <c r="F71" s="162" t="str">
        <f t="shared" si="4"/>
        <v/>
      </c>
      <c r="G71" s="162"/>
      <c r="H71" s="717" t="str">
        <f t="shared" si="6"/>
        <v/>
      </c>
      <c r="I71" s="1244" t="str">
        <f t="shared" si="6"/>
        <v/>
      </c>
      <c r="J71" s="1245"/>
      <c r="K71" s="481" t="str">
        <f t="shared" si="7"/>
        <v/>
      </c>
      <c r="L71" s="1183"/>
      <c r="M71" s="1241"/>
      <c r="N71" s="1"/>
      <c r="O71" s="366"/>
    </row>
    <row r="72" spans="1:21" s="86" customFormat="1">
      <c r="A72" s="325"/>
      <c r="B72" s="161"/>
      <c r="C72" s="275"/>
      <c r="D72" s="275"/>
      <c r="E72" s="576" t="str">
        <f t="shared" si="5"/>
        <v/>
      </c>
      <c r="F72" s="162" t="str">
        <f t="shared" si="4"/>
        <v/>
      </c>
      <c r="G72" s="162"/>
      <c r="H72" s="717" t="str">
        <f t="shared" si="6"/>
        <v/>
      </c>
      <c r="I72" s="1244" t="str">
        <f t="shared" si="6"/>
        <v/>
      </c>
      <c r="J72" s="1245"/>
      <c r="K72" s="481" t="str">
        <f t="shared" si="7"/>
        <v/>
      </c>
      <c r="L72" s="1248"/>
      <c r="M72" s="1249"/>
      <c r="N72" s="366"/>
      <c r="O72" s="84"/>
      <c r="P72" s="1"/>
      <c r="Q72" s="35"/>
      <c r="T72" s="35"/>
      <c r="U72" s="35"/>
    </row>
    <row r="73" spans="1:21">
      <c r="A73" s="325"/>
      <c r="B73" s="161"/>
      <c r="C73" s="275"/>
      <c r="D73" s="974"/>
      <c r="E73" s="576" t="str">
        <f t="shared" si="5"/>
        <v/>
      </c>
      <c r="F73" s="162" t="str">
        <f t="shared" si="4"/>
        <v/>
      </c>
      <c r="G73" s="162"/>
      <c r="H73" s="717" t="str">
        <f t="shared" si="6"/>
        <v/>
      </c>
      <c r="I73" s="1244" t="str">
        <f t="shared" si="6"/>
        <v/>
      </c>
      <c r="J73" s="1245"/>
      <c r="K73" s="481" t="str">
        <f t="shared" si="7"/>
        <v/>
      </c>
      <c r="L73" s="1183"/>
      <c r="M73" s="1241"/>
      <c r="N73" s="150"/>
      <c r="O73" s="366"/>
      <c r="P73" s="1"/>
      <c r="T73" s="86"/>
    </row>
    <row r="74" spans="1:21">
      <c r="A74" s="325"/>
      <c r="B74" s="161"/>
      <c r="C74" s="275"/>
      <c r="D74" s="275"/>
      <c r="E74" s="576" t="str">
        <f>IF(C74-D74=0,"",C74-D74)</f>
        <v/>
      </c>
      <c r="F74" s="162" t="str">
        <f>IF(C74=0,"",IF(C74-D74=0,"оплачено","ОЖИДАЕТСЯ оплата"))</f>
        <v/>
      </c>
      <c r="G74" s="162"/>
      <c r="H74" s="717" t="str">
        <f t="shared" si="6"/>
        <v/>
      </c>
      <c r="I74" s="1244" t="str">
        <f t="shared" si="6"/>
        <v/>
      </c>
      <c r="J74" s="1245"/>
      <c r="K74" s="481" t="str">
        <f t="shared" si="7"/>
        <v/>
      </c>
      <c r="L74" s="1183"/>
      <c r="M74" s="1241"/>
      <c r="N74" s="1"/>
      <c r="O74" s="84"/>
      <c r="P74" s="366"/>
    </row>
    <row r="75" spans="1:21">
      <c r="A75" s="325"/>
      <c r="B75" s="161"/>
      <c r="C75" s="275"/>
      <c r="D75" s="275"/>
      <c r="E75" s="576" t="str">
        <f t="shared" si="5"/>
        <v/>
      </c>
      <c r="F75" s="162" t="str">
        <f t="shared" si="4"/>
        <v/>
      </c>
      <c r="G75" s="162"/>
      <c r="H75" s="717" t="str">
        <f t="shared" si="6"/>
        <v/>
      </c>
      <c r="I75" s="1244" t="str">
        <f t="shared" si="6"/>
        <v/>
      </c>
      <c r="J75" s="1245"/>
      <c r="K75" s="481" t="str">
        <f t="shared" si="7"/>
        <v/>
      </c>
      <c r="L75" s="1183"/>
      <c r="M75" s="1241"/>
      <c r="N75" s="1"/>
      <c r="O75" s="84"/>
      <c r="P75" s="150"/>
    </row>
    <row r="76" spans="1:21">
      <c r="A76" s="325"/>
      <c r="B76" s="161"/>
      <c r="C76" s="275"/>
      <c r="D76" s="275"/>
      <c r="E76" s="576" t="str">
        <f t="shared" si="5"/>
        <v/>
      </c>
      <c r="F76" s="162" t="str">
        <f t="shared" si="4"/>
        <v/>
      </c>
      <c r="G76" s="162"/>
      <c r="H76" s="717" t="str">
        <f t="shared" si="6"/>
        <v/>
      </c>
      <c r="I76" s="1244" t="str">
        <f t="shared" si="6"/>
        <v/>
      </c>
      <c r="J76" s="1245"/>
      <c r="K76" s="481" t="str">
        <f t="shared" si="7"/>
        <v/>
      </c>
      <c r="L76" s="1183"/>
      <c r="M76" s="1241"/>
      <c r="N76" s="1"/>
      <c r="O76" s="366"/>
      <c r="P76" s="1"/>
      <c r="Q76" s="86"/>
    </row>
    <row r="77" spans="1:21">
      <c r="A77" s="325"/>
      <c r="B77" s="161"/>
      <c r="C77" s="275"/>
      <c r="D77" s="275"/>
      <c r="E77" s="576" t="str">
        <f t="shared" si="5"/>
        <v/>
      </c>
      <c r="F77" s="162" t="str">
        <f t="shared" si="4"/>
        <v/>
      </c>
      <c r="G77" s="162"/>
      <c r="H77" s="717" t="str">
        <f t="shared" si="6"/>
        <v/>
      </c>
      <c r="I77" s="1244" t="str">
        <f t="shared" si="6"/>
        <v/>
      </c>
      <c r="J77" s="1245"/>
      <c r="K77" s="481" t="str">
        <f t="shared" si="7"/>
        <v/>
      </c>
      <c r="L77" s="1183"/>
      <c r="M77" s="1241"/>
      <c r="N77" s="1"/>
      <c r="O77" s="84"/>
    </row>
    <row r="78" spans="1:21" ht="15.75" thickBot="1">
      <c r="A78" s="1221" t="s">
        <v>259</v>
      </c>
      <c r="B78" s="1222"/>
      <c r="C78" s="358">
        <f>SUM(C62:C77)</f>
        <v>3288.71</v>
      </c>
      <c r="D78" s="358"/>
      <c r="E78" s="576">
        <f>SUM(E62:E77)</f>
        <v>0</v>
      </c>
      <c r="F78" s="162"/>
      <c r="G78" s="451"/>
      <c r="H78" s="1238" t="s">
        <v>259</v>
      </c>
      <c r="I78" s="1239"/>
      <c r="J78" s="1240"/>
      <c r="K78" s="716">
        <f>SUM(K62:K77)</f>
        <v>0</v>
      </c>
      <c r="L78" s="1242"/>
      <c r="M78" s="1243"/>
      <c r="N78" s="1"/>
      <c r="O78" s="366"/>
      <c r="P78" s="84"/>
      <c r="U78" s="86"/>
    </row>
    <row r="79" spans="1:21" ht="15.75" thickTop="1">
      <c r="A79" s="351"/>
      <c r="B79" s="352"/>
      <c r="C79" s="353"/>
      <c r="D79" s="353"/>
      <c r="E79" s="354"/>
      <c r="F79" s="352"/>
      <c r="G79" s="376"/>
      <c r="H79" s="1168" t="s">
        <v>16</v>
      </c>
      <c r="I79" s="1170" t="s">
        <v>17</v>
      </c>
      <c r="J79" s="1170" t="s">
        <v>21</v>
      </c>
      <c r="K79" s="1170"/>
      <c r="L79" s="1172" t="s">
        <v>93</v>
      </c>
      <c r="M79" s="1174" t="s">
        <v>95</v>
      </c>
      <c r="N79" s="1"/>
      <c r="O79" s="84"/>
      <c r="P79" s="84"/>
    </row>
    <row r="80" spans="1:21" ht="24">
      <c r="A80" s="355"/>
      <c r="B80" s="201"/>
      <c r="C80" s="201"/>
      <c r="D80" s="201"/>
      <c r="E80" s="216"/>
      <c r="F80" s="201"/>
      <c r="G80" s="201"/>
      <c r="H80" s="1169"/>
      <c r="I80" s="1171"/>
      <c r="J80" s="1021" t="s">
        <v>21</v>
      </c>
      <c r="K80" s="1021" t="s">
        <v>25</v>
      </c>
      <c r="L80" s="1173"/>
      <c r="M80" s="1175"/>
      <c r="N80" s="1"/>
      <c r="O80" s="366"/>
      <c r="P80" s="84"/>
    </row>
    <row r="81" spans="1:25">
      <c r="A81" s="338"/>
      <c r="B81" s="199"/>
      <c r="C81" s="288"/>
      <c r="D81" s="232"/>
      <c r="E81" s="84"/>
      <c r="F81" s="199"/>
      <c r="G81" s="199"/>
      <c r="H81" s="347" t="s">
        <v>163</v>
      </c>
      <c r="I81" s="94">
        <v>2420.3999999999996</v>
      </c>
      <c r="J81" s="94">
        <v>115.5</v>
      </c>
      <c r="K81" s="1022">
        <v>132.61000000000001</v>
      </c>
      <c r="L81" s="96">
        <v>22665.5</v>
      </c>
      <c r="M81" s="104">
        <f>L81-I81-J81-K81</f>
        <v>19996.989999999998</v>
      </c>
      <c r="N81" s="150"/>
      <c r="O81" s="449"/>
      <c r="P81" s="439"/>
      <c r="R81" s="86"/>
    </row>
    <row r="82" spans="1:25">
      <c r="A82" s="339"/>
      <c r="B82" s="199"/>
      <c r="C82" s="199"/>
      <c r="D82" s="273"/>
      <c r="E82" s="366"/>
      <c r="F82" s="84"/>
      <c r="G82" s="366"/>
      <c r="H82" s="347" t="s">
        <v>192</v>
      </c>
      <c r="I82" s="94">
        <v>7629.69</v>
      </c>
      <c r="J82" s="94">
        <v>352.29</v>
      </c>
      <c r="K82" s="94">
        <v>193.85000000000002</v>
      </c>
      <c r="L82" s="96">
        <v>10342</v>
      </c>
      <c r="M82" s="104">
        <f>M81-I82-J82-K82+L82</f>
        <v>22163.159999999996</v>
      </c>
      <c r="N82" s="1"/>
      <c r="O82" s="449"/>
      <c r="P82" s="439"/>
      <c r="R82" s="86"/>
    </row>
    <row r="83" spans="1:25">
      <c r="A83" s="339"/>
      <c r="B83" s="366"/>
      <c r="C83" s="199"/>
      <c r="D83" s="273"/>
      <c r="E83" s="366"/>
      <c r="F83" s="366"/>
      <c r="G83" s="366"/>
      <c r="H83" s="347" t="s">
        <v>199</v>
      </c>
      <c r="I83" s="298">
        <v>8423.6400000000012</v>
      </c>
      <c r="J83" s="94">
        <v>921.3</v>
      </c>
      <c r="K83" s="299">
        <v>312.46000000000004</v>
      </c>
      <c r="L83" s="299">
        <v>16668</v>
      </c>
      <c r="M83" s="104">
        <f>M82-I83-J83-K83+L83</f>
        <v>29173.759999999995</v>
      </c>
      <c r="N83" s="1"/>
      <c r="O83" s="449"/>
      <c r="P83" s="436"/>
      <c r="R83" s="86"/>
    </row>
    <row r="84" spans="1:25">
      <c r="A84" s="339"/>
      <c r="B84" s="1"/>
      <c r="C84" s="284"/>
      <c r="D84" s="273"/>
      <c r="E84" s="366"/>
      <c r="F84" s="366"/>
      <c r="G84" s="84"/>
      <c r="H84" s="347" t="s">
        <v>209</v>
      </c>
      <c r="I84" s="299">
        <v>8639.7199999999993</v>
      </c>
      <c r="J84" s="300">
        <v>749.49</v>
      </c>
      <c r="K84" s="552">
        <v>435.1</v>
      </c>
      <c r="L84" s="299">
        <v>17824.919999999998</v>
      </c>
      <c r="M84" s="104">
        <f>M83-I84-J84-K84+L84</f>
        <v>37174.369999999995</v>
      </c>
      <c r="N84" s="92" t="s">
        <v>313</v>
      </c>
      <c r="O84" s="658"/>
      <c r="P84" s="763"/>
      <c r="R84" s="86"/>
    </row>
    <row r="85" spans="1:25">
      <c r="A85" s="339"/>
      <c r="B85" s="199"/>
      <c r="C85" s="1"/>
      <c r="D85" s="273"/>
      <c r="E85" s="366"/>
      <c r="F85" s="366"/>
      <c r="G85" s="366"/>
      <c r="H85" s="348" t="s">
        <v>210</v>
      </c>
      <c r="I85" s="300">
        <v>12605.26</v>
      </c>
      <c r="J85" s="299">
        <v>600.5</v>
      </c>
      <c r="K85" s="300">
        <v>491.64</v>
      </c>
      <c r="L85" s="299">
        <v>15183.9</v>
      </c>
      <c r="M85" s="104">
        <v>36025.39</v>
      </c>
      <c r="N85" s="657">
        <v>38660.869999999995</v>
      </c>
      <c r="O85" s="145"/>
      <c r="P85" s="437"/>
      <c r="Q85" s="86"/>
      <c r="R85" s="86"/>
    </row>
    <row r="86" spans="1:25">
      <c r="A86" s="339"/>
      <c r="B86" s="199"/>
      <c r="C86" s="1"/>
      <c r="D86" s="273"/>
      <c r="E86" s="366"/>
      <c r="F86" s="366"/>
      <c r="G86" s="366"/>
      <c r="H86" s="379" t="s">
        <v>211</v>
      </c>
      <c r="I86" s="728">
        <v>11425.189999999999</v>
      </c>
      <c r="J86" s="438">
        <v>232.2</v>
      </c>
      <c r="K86" s="733">
        <v>262</v>
      </c>
      <c r="L86" s="644">
        <v>11864.4</v>
      </c>
      <c r="M86" s="104">
        <f>M85-I86-J86-K86+L86</f>
        <v>35970.400000000001</v>
      </c>
      <c r="N86" s="1"/>
      <c r="O86" s="366"/>
      <c r="P86" s="437"/>
      <c r="Q86" s="86"/>
      <c r="R86" s="86"/>
      <c r="V86" s="1"/>
    </row>
    <row r="87" spans="1:25">
      <c r="A87" s="339"/>
      <c r="B87" s="199"/>
      <c r="C87" s="1"/>
      <c r="D87" s="273"/>
      <c r="E87" s="366"/>
      <c r="F87" s="366"/>
      <c r="G87" s="366"/>
      <c r="H87" s="347" t="s">
        <v>9</v>
      </c>
      <c r="I87" s="728">
        <v>13612.520000000002</v>
      </c>
      <c r="J87" s="438">
        <f>19+42+25.5+33+4+25+7.5+18+170+1+9+37.5+2+1.4</f>
        <v>394.9</v>
      </c>
      <c r="K87" s="733">
        <f>112.8+296.38+33.5</f>
        <v>442.68</v>
      </c>
      <c r="L87" s="645">
        <f>14352+1353+311+316+73+278</f>
        <v>16683</v>
      </c>
      <c r="M87" s="777">
        <v>37929.35</v>
      </c>
      <c r="N87" s="761" t="s">
        <v>355</v>
      </c>
      <c r="O87" s="762"/>
      <c r="P87" s="437"/>
      <c r="Q87" s="742"/>
      <c r="R87" s="86"/>
      <c r="V87" s="1"/>
    </row>
    <row r="88" spans="1:25">
      <c r="A88" s="339"/>
      <c r="B88" s="199"/>
      <c r="C88" s="1"/>
      <c r="D88" s="273"/>
      <c r="E88" s="366"/>
      <c r="F88" s="366"/>
      <c r="G88" s="366"/>
      <c r="H88" s="347" t="s">
        <v>18</v>
      </c>
      <c r="I88" s="728">
        <v>14474.099999999999</v>
      </c>
      <c r="J88" s="438">
        <v>947.5</v>
      </c>
      <c r="K88" s="733">
        <v>526.15</v>
      </c>
      <c r="L88" s="645">
        <v>19238.8</v>
      </c>
      <c r="M88" s="104">
        <f>M87-I88-J88-K88+L88</f>
        <v>41220.399999999994</v>
      </c>
      <c r="N88" s="84"/>
      <c r="O88" s="366"/>
      <c r="P88" s="437"/>
      <c r="Q88" s="742"/>
      <c r="R88" s="86"/>
      <c r="V88" s="1"/>
    </row>
    <row r="89" spans="1:25">
      <c r="A89" s="339"/>
      <c r="B89" s="199"/>
      <c r="C89" s="1"/>
      <c r="D89" s="273"/>
      <c r="E89" s="366"/>
      <c r="F89" s="366"/>
      <c r="G89" s="366"/>
      <c r="H89" s="379" t="s">
        <v>19</v>
      </c>
      <c r="I89" s="660">
        <v>17170.439999999999</v>
      </c>
      <c r="J89" s="432">
        <v>3911.3</v>
      </c>
      <c r="K89" s="687">
        <f>21.5+122.1+41.6+353.89+95.92+8.2</f>
        <v>643.20999999999992</v>
      </c>
      <c r="L89" s="660">
        <f>660+513.5+514+683.5+535+212+2085+763+334+208+378+75+60+44+972+347+1461+81+303+363+12+44+73+133+667+281+234+225+789+767+1661+682+2828+477.5+365+873.5+390+553</f>
        <v>21647</v>
      </c>
      <c r="M89" s="104">
        <f>M88-I89-J89-K89+L89</f>
        <v>41142.449999999997</v>
      </c>
      <c r="N89" s="84"/>
      <c r="O89" s="366"/>
      <c r="P89" s="437"/>
      <c r="Q89" s="742"/>
      <c r="R89" s="86"/>
      <c r="V89" s="1"/>
    </row>
    <row r="90" spans="1:25">
      <c r="A90" s="339"/>
      <c r="B90" s="199"/>
      <c r="C90" s="1"/>
      <c r="D90" s="273"/>
      <c r="E90" s="366"/>
      <c r="F90" s="366"/>
      <c r="G90" s="366"/>
      <c r="H90" s="347" t="s">
        <v>20</v>
      </c>
      <c r="I90" s="728">
        <v>17084.789999999997</v>
      </c>
      <c r="J90" s="438">
        <v>1384.5</v>
      </c>
      <c r="K90" s="733">
        <f>231.74+381.32</f>
        <v>613.05999999999995</v>
      </c>
      <c r="L90" s="728">
        <f>861.5+275+194+301.5+390+1883.5+794+563+1402.5+380+670+229.5+35+275+150.5+18+76+68+310+1078+448+706+130+132+120+2048+130.5+296+608+1835+355+214.5+280+60+684+606</f>
        <v>18608</v>
      </c>
      <c r="M90" s="772">
        <v>43441.55</v>
      </c>
      <c r="N90" s="84"/>
      <c r="O90" s="366"/>
      <c r="P90" s="685"/>
      <c r="Q90" s="742"/>
      <c r="R90" s="86"/>
      <c r="V90" s="1"/>
    </row>
    <row r="91" spans="1:25">
      <c r="A91" s="339"/>
      <c r="B91" s="199"/>
      <c r="C91" s="1"/>
      <c r="D91" s="273"/>
      <c r="E91" s="366"/>
      <c r="F91" s="366"/>
      <c r="G91" s="366"/>
      <c r="H91" s="347" t="s">
        <v>148</v>
      </c>
      <c r="I91" s="728">
        <v>16010.099999999999</v>
      </c>
      <c r="J91" s="438">
        <f>16+65+35+15+24+192+4.6+315+19+6+29+4+35+35+15+160</f>
        <v>969.6</v>
      </c>
      <c r="K91" s="733">
        <f>318.55+297.05</f>
        <v>615.6</v>
      </c>
      <c r="L91" s="728">
        <f>2329.5+560+1456+491+2680+2008+1170+1743+283+1122+2144+623+348+597.5+612+1914+48.5+1270+194+20+375+514.5+108+1502+669+441+33+712+828+1156+829+50</f>
        <v>28831</v>
      </c>
      <c r="M91" s="104">
        <f>M90-I91-J91-K91+L91</f>
        <v>54677.250000000007</v>
      </c>
      <c r="N91" s="84"/>
      <c r="O91" s="366"/>
      <c r="P91" s="685"/>
      <c r="Q91" s="742"/>
      <c r="R91" s="86"/>
      <c r="V91" s="1"/>
    </row>
    <row r="92" spans="1:25">
      <c r="A92" s="339"/>
      <c r="B92" s="199"/>
      <c r="C92" s="1"/>
      <c r="D92" s="273"/>
      <c r="E92" s="366"/>
      <c r="F92" s="366"/>
      <c r="G92" s="366"/>
      <c r="H92" s="347" t="s">
        <v>162</v>
      </c>
      <c r="I92" s="728">
        <v>18487.2</v>
      </c>
      <c r="J92" s="438"/>
      <c r="K92" s="733">
        <v>733</v>
      </c>
      <c r="L92" s="728">
        <f>1090.5+178+238+342+320+112+163+3418.5+747+1608+1004+396+30+1858+1508+198+163+100+490+552+1725+777+245+1514.5+850.5+1647+348+1827+454</f>
        <v>23904</v>
      </c>
      <c r="M92" s="104">
        <f>M91-I92-J92-K92+L92</f>
        <v>59361.05</v>
      </c>
      <c r="N92" s="84"/>
      <c r="O92" s="366"/>
      <c r="P92" s="685"/>
      <c r="Q92" s="742"/>
      <c r="R92" s="86"/>
      <c r="V92" s="1"/>
    </row>
    <row r="93" spans="1:25" ht="15.75" thickBot="1">
      <c r="A93" s="339"/>
      <c r="B93" s="199"/>
      <c r="C93" s="1"/>
      <c r="D93" s="273"/>
      <c r="E93" s="366"/>
      <c r="F93" s="366"/>
      <c r="G93" s="366"/>
      <c r="H93" s="646" t="s">
        <v>163</v>
      </c>
      <c r="I93" s="661">
        <v>18961.969999999998</v>
      </c>
      <c r="J93" s="648"/>
      <c r="K93" s="734">
        <f>334.04+378.25</f>
        <v>712.29</v>
      </c>
      <c r="L93" s="661">
        <f>15.5+600+364+12+2306+740+1687+96+195.5+330+605+285+1211+2305+437+30+1509+42+443.5+664.5+239+42+42.5+114+364+617+545</f>
        <v>15841.5</v>
      </c>
      <c r="M93" s="104">
        <f>M92-I93-J93-K93+L93</f>
        <v>55528.29</v>
      </c>
      <c r="N93" s="84"/>
      <c r="O93" s="366"/>
      <c r="P93" s="685"/>
      <c r="Q93" s="742"/>
      <c r="R93" s="86"/>
      <c r="V93" s="1"/>
    </row>
    <row r="94" spans="1:25" ht="14.25" customHeight="1" thickTop="1">
      <c r="A94" s="339"/>
      <c r="B94" s="199"/>
      <c r="C94" s="1"/>
      <c r="D94" s="273"/>
      <c r="E94" s="84"/>
      <c r="F94" s="366"/>
      <c r="G94" s="366"/>
      <c r="H94" s="1152" t="s">
        <v>36</v>
      </c>
      <c r="I94" s="1154" t="s">
        <v>178</v>
      </c>
      <c r="J94" s="1155"/>
      <c r="K94" s="1156"/>
      <c r="L94" s="1160" t="s">
        <v>159</v>
      </c>
      <c r="M94" s="1161"/>
      <c r="N94" s="150"/>
      <c r="O94" s="84"/>
      <c r="P94" s="437"/>
      <c r="Q94" s="86"/>
      <c r="R94" s="86"/>
      <c r="V94" s="1"/>
    </row>
    <row r="95" spans="1:25">
      <c r="A95" s="339"/>
      <c r="B95" s="199"/>
      <c r="C95" s="284"/>
      <c r="D95" s="273"/>
      <c r="E95" s="284"/>
      <c r="F95" s="366"/>
      <c r="G95" s="378"/>
      <c r="H95" s="1153"/>
      <c r="I95" s="1157"/>
      <c r="J95" s="1158"/>
      <c r="K95" s="1159"/>
      <c r="L95" s="1162"/>
      <c r="M95" s="1163"/>
      <c r="N95" s="1"/>
      <c r="O95" s="12"/>
      <c r="P95" s="685"/>
      <c r="Q95" s="86"/>
      <c r="R95" s="366"/>
      <c r="S95" s="1"/>
      <c r="V95" s="1"/>
      <c r="W95" s="1"/>
      <c r="X95" s="1"/>
      <c r="Y95" s="1"/>
    </row>
    <row r="96" spans="1:25">
      <c r="A96" s="339"/>
      <c r="B96" s="199"/>
      <c r="C96" s="199"/>
      <c r="D96" s="273"/>
      <c r="E96" s="199"/>
      <c r="F96" s="366"/>
      <c r="G96" s="378"/>
      <c r="H96" s="529" t="s">
        <v>250</v>
      </c>
      <c r="I96" s="1164" t="s">
        <v>47</v>
      </c>
      <c r="J96" s="1164"/>
      <c r="K96" s="1030">
        <v>98.88</v>
      </c>
      <c r="L96" s="282">
        <v>44150</v>
      </c>
      <c r="M96" s="44" t="s">
        <v>435</v>
      </c>
      <c r="O96" s="366"/>
      <c r="P96" s="685"/>
      <c r="Q96" s="86"/>
      <c r="R96" s="366"/>
      <c r="S96" s="1"/>
      <c r="T96" s="1"/>
      <c r="V96" s="282"/>
      <c r="W96" s="1"/>
      <c r="X96" s="1"/>
      <c r="Y96" s="1"/>
    </row>
    <row r="97" spans="1:26">
      <c r="A97" s="339"/>
      <c r="B97" s="366"/>
      <c r="C97" s="274"/>
      <c r="D97" s="273"/>
      <c r="E97" s="274"/>
      <c r="F97" s="366"/>
      <c r="G97" s="366"/>
      <c r="H97" s="529" t="s">
        <v>250</v>
      </c>
      <c r="I97" s="1149" t="s">
        <v>51</v>
      </c>
      <c r="J97" s="1149"/>
      <c r="K97" s="1029">
        <v>9.17</v>
      </c>
      <c r="L97" s="282">
        <v>44151</v>
      </c>
      <c r="M97" s="44" t="s">
        <v>435</v>
      </c>
      <c r="N97" s="506"/>
      <c r="O97" s="366"/>
      <c r="P97" s="685"/>
      <c r="Q97" s="571"/>
      <c r="R97" s="86"/>
      <c r="S97" s="1"/>
      <c r="T97" s="1"/>
      <c r="V97" s="282"/>
      <c r="W97" s="1"/>
      <c r="X97" s="1"/>
      <c r="Y97" s="1"/>
    </row>
    <row r="98" spans="1:26">
      <c r="A98" s="340"/>
      <c r="B98" s="366"/>
      <c r="C98" s="366"/>
      <c r="D98" s="273"/>
      <c r="E98" s="199"/>
      <c r="F98" s="366"/>
      <c r="G98" s="366"/>
      <c r="H98" s="529" t="s">
        <v>250</v>
      </c>
      <c r="I98" s="1149" t="s">
        <v>52</v>
      </c>
      <c r="J98" s="1149"/>
      <c r="K98" s="1029">
        <v>1.7</v>
      </c>
      <c r="L98" s="282">
        <v>44152</v>
      </c>
      <c r="M98" s="44" t="s">
        <v>435</v>
      </c>
      <c r="O98" s="366"/>
      <c r="P98" s="685"/>
      <c r="Q98" s="86"/>
      <c r="R98" s="1023"/>
      <c r="S98" s="1"/>
      <c r="T98" s="1"/>
      <c r="V98" s="282"/>
      <c r="W98" s="282"/>
      <c r="X98" s="282"/>
      <c r="Y98" s="1"/>
      <c r="Z98" s="1"/>
    </row>
    <row r="99" spans="1:26">
      <c r="A99" s="340"/>
      <c r="B99" s="366"/>
      <c r="C99" s="366"/>
      <c r="D99" s="273"/>
      <c r="E99" s="366"/>
      <c r="F99" s="366"/>
      <c r="G99" s="366"/>
      <c r="H99" s="529" t="s">
        <v>250</v>
      </c>
      <c r="I99" s="1229" t="s">
        <v>49</v>
      </c>
      <c r="J99" s="1229"/>
      <c r="K99" s="1029">
        <v>89</v>
      </c>
      <c r="L99" s="294"/>
      <c r="M99" s="44" t="s">
        <v>171</v>
      </c>
      <c r="O99" s="84"/>
      <c r="P99" s="685"/>
      <c r="Q99" s="366"/>
      <c r="R99" s="86"/>
      <c r="S99" s="1"/>
      <c r="T99" s="282"/>
      <c r="U99" s="1"/>
      <c r="V99" s="282"/>
      <c r="W99" s="282"/>
      <c r="X99" s="282"/>
      <c r="Y99" s="1"/>
      <c r="Z99" s="1"/>
    </row>
    <row r="100" spans="1:26">
      <c r="A100" s="340"/>
      <c r="B100" s="366"/>
      <c r="C100" s="366"/>
      <c r="D100" s="273"/>
      <c r="E100" s="366"/>
      <c r="F100" s="366"/>
      <c r="G100" s="366"/>
      <c r="H100" s="529" t="s">
        <v>250</v>
      </c>
      <c r="I100" s="1217" t="s">
        <v>59</v>
      </c>
      <c r="J100" s="1217"/>
      <c r="K100" s="1031">
        <v>638.38</v>
      </c>
      <c r="L100" s="302" t="s">
        <v>177</v>
      </c>
      <c r="M100" s="44" t="s">
        <v>104</v>
      </c>
      <c r="N100" s="506"/>
      <c r="O100" s="84"/>
      <c r="P100" s="685"/>
      <c r="Q100" s="480"/>
      <c r="R100" s="1023"/>
      <c r="S100" s="1"/>
      <c r="T100" s="282"/>
      <c r="U100" s="1"/>
      <c r="V100" s="1"/>
      <c r="W100" s="282"/>
      <c r="X100" s="282"/>
      <c r="Y100" s="1"/>
      <c r="Z100" s="1"/>
    </row>
    <row r="101" spans="1:26">
      <c r="A101" s="340"/>
      <c r="B101" s="199"/>
      <c r="C101" s="199"/>
      <c r="D101" s="273"/>
      <c r="E101" s="199"/>
      <c r="F101" s="366"/>
      <c r="G101" s="366"/>
      <c r="H101" s="529" t="s">
        <v>250</v>
      </c>
      <c r="I101" s="1218" t="s">
        <v>68</v>
      </c>
      <c r="J101" s="1219"/>
      <c r="K101" s="1029">
        <v>54.53</v>
      </c>
      <c r="L101" s="282">
        <v>44155</v>
      </c>
      <c r="M101" s="44" t="s">
        <v>435</v>
      </c>
      <c r="O101" s="366"/>
      <c r="P101" s="437"/>
      <c r="Q101" s="366"/>
      <c r="R101" s="1023"/>
      <c r="S101" s="1"/>
      <c r="T101" s="282"/>
      <c r="U101" s="1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199"/>
      <c r="F102" s="366"/>
      <c r="G102" s="366"/>
      <c r="H102" s="529" t="s">
        <v>250</v>
      </c>
      <c r="I102" s="1218" t="s">
        <v>174</v>
      </c>
      <c r="J102" s="1219"/>
      <c r="K102" s="1029">
        <f>176.46+44.05</f>
        <v>220.51</v>
      </c>
      <c r="L102" s="282">
        <v>44150</v>
      </c>
      <c r="M102" s="44" t="s">
        <v>435</v>
      </c>
      <c r="O102" s="84"/>
      <c r="P102" s="86"/>
      <c r="Q102" s="366"/>
      <c r="R102" s="1023"/>
      <c r="S102" s="1023"/>
      <c r="T102" s="282"/>
      <c r="U102" s="282"/>
      <c r="V102" s="282"/>
      <c r="W102" s="1"/>
      <c r="X102" s="1"/>
      <c r="Y102" s="1"/>
      <c r="Z102" s="1"/>
    </row>
    <row r="103" spans="1:26">
      <c r="A103" s="340"/>
      <c r="B103" s="199"/>
      <c r="C103" s="366"/>
      <c r="D103" s="273"/>
      <c r="E103" s="199"/>
      <c r="F103" s="366"/>
      <c r="G103" s="366"/>
      <c r="H103" s="1033" t="s">
        <v>241</v>
      </c>
      <c r="I103" s="1026" t="s">
        <v>176</v>
      </c>
      <c r="J103" s="1027"/>
      <c r="K103" s="1029" t="s">
        <v>258</v>
      </c>
      <c r="L103" s="282">
        <v>44155</v>
      </c>
      <c r="M103" s="44" t="s">
        <v>435</v>
      </c>
      <c r="O103" s="84"/>
      <c r="P103" s="86"/>
      <c r="Q103" s="366"/>
      <c r="R103" s="485"/>
      <c r="S103" s="150"/>
      <c r="T103" s="1"/>
      <c r="U103" s="282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529" t="s">
        <v>250</v>
      </c>
      <c r="I104" s="1218" t="s">
        <v>81</v>
      </c>
      <c r="J104" s="1219"/>
      <c r="K104" s="1029">
        <v>846.4</v>
      </c>
      <c r="L104" s="282">
        <v>44145</v>
      </c>
      <c r="M104" s="44" t="s">
        <v>435</v>
      </c>
      <c r="O104" s="84"/>
      <c r="P104" s="86"/>
      <c r="Q104" s="485"/>
      <c r="R104" s="365"/>
      <c r="S104" s="150"/>
      <c r="T104" s="282"/>
      <c r="U104" s="282"/>
      <c r="V104" s="282"/>
      <c r="W104" s="282"/>
      <c r="X104" s="282"/>
      <c r="Y104" s="366"/>
      <c r="Z104" s="1"/>
    </row>
    <row r="105" spans="1:26">
      <c r="A105" s="340"/>
      <c r="B105" s="199"/>
      <c r="C105" s="366"/>
      <c r="D105" s="273"/>
      <c r="E105" s="232"/>
      <c r="F105" s="366"/>
      <c r="G105" s="366"/>
      <c r="H105" s="529" t="s">
        <v>410</v>
      </c>
      <c r="I105" s="1218" t="s">
        <v>53</v>
      </c>
      <c r="J105" s="1219"/>
      <c r="K105" s="455">
        <v>10</v>
      </c>
      <c r="L105" s="282">
        <v>44150</v>
      </c>
      <c r="M105" s="44" t="s">
        <v>435</v>
      </c>
      <c r="N105" s="506"/>
      <c r="O105" s="84"/>
      <c r="P105" s="86"/>
      <c r="Q105" s="1023"/>
      <c r="R105" s="1023"/>
      <c r="S105" s="1"/>
      <c r="T105" s="282"/>
      <c r="U105" s="282"/>
      <c r="V105" s="282"/>
      <c r="W105" s="282"/>
      <c r="X105" s="282"/>
      <c r="Y105" s="366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 t="s">
        <v>91</v>
      </c>
      <c r="I106" s="1230" t="s">
        <v>300</v>
      </c>
      <c r="J106" s="1230"/>
      <c r="K106" s="676">
        <v>100</v>
      </c>
      <c r="L106" s="282">
        <v>44165</v>
      </c>
      <c r="M106" s="44" t="s">
        <v>435</v>
      </c>
      <c r="O106" s="84"/>
      <c r="P106" s="86"/>
      <c r="Q106" s="1023"/>
      <c r="R106" s="1023"/>
      <c r="S106" s="366"/>
      <c r="T106" s="282"/>
      <c r="U106" s="282"/>
      <c r="V106" s="282"/>
      <c r="W106" s="282"/>
      <c r="X106" s="282"/>
      <c r="Y106" s="1"/>
      <c r="Z106" s="1"/>
    </row>
    <row r="107" spans="1:26">
      <c r="A107" s="340"/>
      <c r="B107" s="199"/>
      <c r="C107" s="366"/>
      <c r="D107" s="273"/>
      <c r="E107" s="232"/>
      <c r="F107" s="366"/>
      <c r="G107" s="366"/>
      <c r="H107" s="529" t="s">
        <v>250</v>
      </c>
      <c r="I107" s="1230" t="s">
        <v>325</v>
      </c>
      <c r="J107" s="1230"/>
      <c r="K107" s="676">
        <v>9</v>
      </c>
      <c r="L107" s="282">
        <v>44150</v>
      </c>
      <c r="M107" s="44" t="s">
        <v>435</v>
      </c>
      <c r="O107" s="84"/>
      <c r="P107" s="86"/>
      <c r="Q107" s="1023"/>
      <c r="R107" s="1023"/>
      <c r="S107" s="366"/>
      <c r="T107" s="282"/>
      <c r="U107" s="282"/>
      <c r="V107" s="282"/>
      <c r="W107" s="282"/>
      <c r="X107" s="282"/>
      <c r="Y107" s="1"/>
      <c r="Z107" s="1"/>
    </row>
    <row r="108" spans="1:26">
      <c r="A108" s="340"/>
      <c r="B108" s="199"/>
      <c r="C108" s="366"/>
      <c r="D108" s="273"/>
      <c r="E108" s="232"/>
      <c r="F108" s="366"/>
      <c r="G108" s="366"/>
      <c r="H108" s="529" t="s">
        <v>91</v>
      </c>
      <c r="I108" s="1150" t="s">
        <v>374</v>
      </c>
      <c r="J108" s="1151"/>
      <c r="K108" s="676">
        <v>859.77</v>
      </c>
      <c r="L108" s="282">
        <v>44165</v>
      </c>
      <c r="M108" s="44" t="s">
        <v>435</v>
      </c>
      <c r="O108" s="84"/>
      <c r="P108" s="86"/>
      <c r="Q108" s="1023"/>
      <c r="R108" s="1023"/>
      <c r="S108" s="366"/>
      <c r="T108" s="282"/>
      <c r="U108" s="282"/>
      <c r="V108" s="282"/>
      <c r="W108" s="282"/>
      <c r="X108" s="282"/>
      <c r="Y108" s="1"/>
      <c r="Z108" s="1"/>
    </row>
    <row r="109" spans="1:26" ht="15.75" thickBot="1">
      <c r="A109" s="341"/>
      <c r="B109" s="330"/>
      <c r="C109" s="331"/>
      <c r="D109" s="342"/>
      <c r="E109" s="330"/>
      <c r="F109" s="331"/>
      <c r="G109" s="331"/>
      <c r="H109" s="1236" t="s">
        <v>179</v>
      </c>
      <c r="I109" s="1237"/>
      <c r="J109" s="361">
        <f>SUM(K96:K108)</f>
        <v>2937.34</v>
      </c>
      <c r="K109" s="1147" t="s">
        <v>180</v>
      </c>
      <c r="L109" s="1147"/>
      <c r="M109" s="535">
        <v>0</v>
      </c>
      <c r="O109" s="84"/>
      <c r="P109" s="86"/>
      <c r="Q109" s="1023"/>
      <c r="R109" s="365"/>
      <c r="S109" s="366"/>
      <c r="T109" s="282"/>
      <c r="U109" s="282"/>
      <c r="V109" s="1"/>
      <c r="W109" s="282"/>
      <c r="X109" s="282"/>
      <c r="Y109" s="1"/>
      <c r="Z109" s="1"/>
    </row>
    <row r="110" spans="1:26" ht="15.75" thickTop="1">
      <c r="C110" s="507"/>
      <c r="D110" s="507"/>
      <c r="O110" s="84"/>
      <c r="P110" s="86"/>
      <c r="Q110" s="1023"/>
      <c r="R110" s="365"/>
      <c r="S110" s="366"/>
      <c r="T110" s="282"/>
      <c r="U110" s="282"/>
      <c r="V110" s="1"/>
      <c r="W110" s="282"/>
      <c r="X110" s="282"/>
      <c r="Y110" s="1"/>
      <c r="Z110" s="1"/>
    </row>
    <row r="111" spans="1:26" ht="15" customHeight="1">
      <c r="A111" s="1211" t="s">
        <v>415</v>
      </c>
      <c r="B111" s="1211"/>
      <c r="C111" s="1211"/>
      <c r="D111" s="1211"/>
      <c r="E111" s="1211"/>
      <c r="F111" s="1211"/>
      <c r="G111" s="1211"/>
      <c r="H111" s="1211"/>
      <c r="I111" s="1211"/>
      <c r="J111" s="1211"/>
      <c r="K111" s="1211"/>
      <c r="L111" s="1211"/>
      <c r="M111" s="1211"/>
      <c r="O111" s="84"/>
      <c r="P111" s="86"/>
      <c r="Q111" s="1023"/>
      <c r="R111" s="1023"/>
      <c r="S111" s="1"/>
      <c r="T111" s="282"/>
      <c r="U111" s="282"/>
      <c r="V111" s="1"/>
      <c r="W111" s="1"/>
      <c r="X111" s="1"/>
      <c r="Y111" s="1"/>
      <c r="Z111" s="1"/>
    </row>
    <row r="112" spans="1:26" ht="15.75" customHeight="1" thickBot="1">
      <c r="A112" s="1212"/>
      <c r="B112" s="1212"/>
      <c r="C112" s="1212"/>
      <c r="D112" s="1212"/>
      <c r="E112" s="1212"/>
      <c r="F112" s="1212"/>
      <c r="G112" s="1212"/>
      <c r="H112" s="1212"/>
      <c r="I112" s="1212"/>
      <c r="J112" s="1212"/>
      <c r="K112" s="1212"/>
      <c r="L112" s="1212"/>
      <c r="M112" s="1212"/>
      <c r="O112" s="84"/>
      <c r="P112" s="86"/>
      <c r="Q112" s="1023"/>
      <c r="R112" s="1023"/>
      <c r="S112" s="1"/>
      <c r="T112" s="1"/>
      <c r="U112" s="282"/>
      <c r="V112" s="1"/>
      <c r="W112" s="1"/>
      <c r="X112" s="1"/>
      <c r="Y112" s="1"/>
      <c r="Z112" s="1"/>
    </row>
    <row r="113" spans="1:26" ht="15.75" thickTop="1">
      <c r="A113" s="1255" t="s">
        <v>43</v>
      </c>
      <c r="B113" s="1227"/>
      <c r="C113" s="1227"/>
      <c r="D113" s="1227"/>
      <c r="E113" s="1227"/>
      <c r="F113" s="1256"/>
      <c r="G113" s="323"/>
      <c r="O113" s="84"/>
      <c r="P113" s="86"/>
      <c r="Q113" s="686"/>
      <c r="R113" s="1023"/>
      <c r="S113" s="1"/>
      <c r="T113" s="1"/>
      <c r="U113" s="282"/>
      <c r="V113" s="1"/>
      <c r="W113" s="1"/>
      <c r="X113" s="1"/>
      <c r="Y113" s="1"/>
      <c r="Z113" s="1"/>
    </row>
    <row r="114" spans="1:26">
      <c r="A114" s="1144" t="s">
        <v>371</v>
      </c>
      <c r="B114" s="1145"/>
      <c r="C114" s="1019" t="s">
        <v>35</v>
      </c>
      <c r="D114" s="1019" t="s">
        <v>38</v>
      </c>
      <c r="E114" s="1019" t="s">
        <v>42</v>
      </c>
      <c r="F114" s="1019" t="s">
        <v>44</v>
      </c>
      <c r="G114" s="1"/>
      <c r="O114" s="84"/>
      <c r="P114" s="86"/>
      <c r="Q114" s="1023"/>
      <c r="R114" s="1023"/>
      <c r="S114" s="1"/>
      <c r="T114" s="1"/>
      <c r="U114" s="1"/>
      <c r="W114" s="1"/>
      <c r="X114" s="1"/>
      <c r="Y114" s="1"/>
      <c r="Z114" s="1"/>
    </row>
    <row r="115" spans="1:26">
      <c r="A115" s="1248" t="s">
        <v>40</v>
      </c>
      <c r="B115" s="1224"/>
      <c r="C115" s="1007">
        <v>981.43</v>
      </c>
      <c r="D115" s="1007">
        <v>981.43</v>
      </c>
      <c r="E115" s="482">
        <v>0</v>
      </c>
      <c r="F115" s="3"/>
      <c r="G115" s="1"/>
      <c r="O115" s="84"/>
      <c r="P115" s="86"/>
      <c r="Q115" s="1023"/>
      <c r="R115" s="1023"/>
      <c r="S115" s="1"/>
      <c r="T115" s="1"/>
      <c r="U115" s="1"/>
      <c r="W115" s="1"/>
      <c r="X115" s="1"/>
      <c r="Y115" s="1"/>
      <c r="Z115" s="1"/>
    </row>
    <row r="116" spans="1:26">
      <c r="A116" s="340"/>
      <c r="B116" s="366"/>
      <c r="C116" s="514">
        <f>SUM(C115:C115)</f>
        <v>981.43</v>
      </c>
      <c r="D116" s="366"/>
      <c r="E116" s="84"/>
      <c r="F116" s="366"/>
      <c r="G116" s="1"/>
      <c r="K116" s="506"/>
      <c r="O116" s="84"/>
      <c r="P116" s="86"/>
      <c r="Q116" s="1023"/>
      <c r="R116" s="1023"/>
      <c r="T116" s="1"/>
      <c r="U116" s="1"/>
      <c r="Z116" s="1"/>
    </row>
    <row r="117" spans="1:26">
      <c r="A117" s="340"/>
      <c r="B117" s="366"/>
      <c r="C117" s="366"/>
      <c r="D117" s="366"/>
      <c r="E117" s="366"/>
      <c r="F117" s="366"/>
      <c r="G117" s="1"/>
      <c r="O117" s="84"/>
      <c r="P117" s="86"/>
      <c r="Q117" s="1023"/>
      <c r="R117" s="1023"/>
      <c r="U117" s="1"/>
      <c r="Z117" s="1"/>
    </row>
    <row r="118" spans="1:26">
      <c r="A118" s="340"/>
      <c r="B118" s="366"/>
      <c r="C118" s="366"/>
      <c r="D118" s="366"/>
      <c r="E118" s="366"/>
      <c r="F118" s="366"/>
      <c r="G118" s="1"/>
      <c r="M118" s="506"/>
      <c r="O118" s="84"/>
      <c r="P118" s="86"/>
      <c r="Q118" s="1023"/>
      <c r="R118" s="1023"/>
      <c r="U118" s="1"/>
      <c r="Z118" s="1"/>
    </row>
    <row r="119" spans="1:26">
      <c r="A119" s="340"/>
      <c r="B119" s="366"/>
      <c r="C119" s="366"/>
      <c r="D119" s="366"/>
      <c r="E119" s="366"/>
      <c r="F119" s="366"/>
      <c r="G119" s="1"/>
      <c r="O119" s="84"/>
      <c r="P119" s="86"/>
      <c r="Q119" s="1023"/>
      <c r="R119" s="1023"/>
      <c r="U119" s="1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1023"/>
      <c r="R120" s="1023"/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1023"/>
      <c r="R121" s="1023"/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/>
      <c r="Q122" s="1023"/>
      <c r="R122" s="1023"/>
    </row>
    <row r="123" spans="1:26">
      <c r="A123" s="43"/>
      <c r="B123" s="1"/>
      <c r="C123" s="366"/>
      <c r="D123" s="1"/>
      <c r="E123" s="1"/>
      <c r="F123" s="1"/>
      <c r="G123" s="1"/>
      <c r="M123" s="366"/>
      <c r="O123" s="84"/>
      <c r="P123" s="86"/>
      <c r="Q123" s="1023"/>
      <c r="R123" s="1023"/>
    </row>
    <row r="124" spans="1:26">
      <c r="A124" s="43"/>
      <c r="B124" s="1"/>
      <c r="C124" s="366"/>
      <c r="D124" s="1"/>
      <c r="E124" s="1"/>
      <c r="F124" s="1"/>
      <c r="G124" s="1"/>
      <c r="M124" s="366"/>
      <c r="O124" s="84"/>
      <c r="P124" s="86"/>
      <c r="Q124" s="1023"/>
      <c r="R124" s="1023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1023"/>
      <c r="R125" s="1023"/>
    </row>
    <row r="126" spans="1:26">
      <c r="A126" s="43"/>
      <c r="B126" s="1"/>
      <c r="C126" s="366"/>
      <c r="D126" s="1"/>
      <c r="E126" s="1"/>
      <c r="F126" s="1"/>
      <c r="G126" s="1"/>
      <c r="M126" s="1"/>
      <c r="O126" s="84"/>
      <c r="P126" s="86"/>
      <c r="Q126" s="1023"/>
      <c r="R126" s="1023"/>
    </row>
    <row r="127" spans="1:26">
      <c r="A127" s="43"/>
      <c r="B127" s="1"/>
      <c r="C127" s="366"/>
      <c r="D127" s="1"/>
      <c r="E127" s="1"/>
      <c r="F127" s="1"/>
      <c r="G127" s="1"/>
      <c r="M127" s="1"/>
      <c r="O127" s="84"/>
      <c r="P127" s="86"/>
      <c r="Q127" s="86"/>
      <c r="R127" s="1023"/>
    </row>
    <row r="128" spans="1:26">
      <c r="A128" s="43"/>
      <c r="B128" s="1"/>
      <c r="C128" s="366"/>
      <c r="D128" s="1"/>
      <c r="E128" s="1"/>
      <c r="F128" s="1"/>
      <c r="G128" s="1"/>
      <c r="M128" s="1"/>
      <c r="O128" s="84"/>
      <c r="P128" s="86"/>
      <c r="Q128" s="86"/>
      <c r="R128" s="1023"/>
    </row>
    <row r="129" spans="1:26">
      <c r="A129" s="43"/>
      <c r="B129" s="1"/>
      <c r="C129" s="366"/>
      <c r="D129" s="1"/>
      <c r="E129" s="1"/>
      <c r="F129" s="1"/>
      <c r="G129" s="1"/>
      <c r="O129" s="84"/>
      <c r="P129" s="86"/>
      <c r="Q129" s="86"/>
      <c r="R129" s="1023"/>
    </row>
    <row r="130" spans="1:26">
      <c r="A130" s="43"/>
      <c r="B130" s="1"/>
      <c r="C130" s="366"/>
      <c r="D130" s="1"/>
      <c r="E130" s="1"/>
      <c r="F130" s="1"/>
      <c r="G130" s="1"/>
      <c r="O130" s="84"/>
      <c r="P130" s="86"/>
      <c r="Q130" s="86"/>
      <c r="R130" s="1023"/>
    </row>
    <row r="131" spans="1:26">
      <c r="C131" s="447"/>
      <c r="O131" s="84"/>
      <c r="P131" s="86"/>
      <c r="Q131" s="86"/>
      <c r="R131" s="145"/>
    </row>
    <row r="132" spans="1:26">
      <c r="A132" s="12"/>
      <c r="C132" s="447"/>
      <c r="O132" s="84"/>
      <c r="P132" s="86"/>
      <c r="Q132" s="86"/>
      <c r="R132" s="366"/>
    </row>
    <row r="133" spans="1:26">
      <c r="C133" s="447"/>
      <c r="O133" s="84"/>
      <c r="R133" s="366"/>
    </row>
    <row r="134" spans="1:26" s="1" customFormat="1" ht="12.75" customHeight="1">
      <c r="A134" s="449"/>
      <c r="B134" s="199"/>
      <c r="D134" s="273"/>
      <c r="E134" s="366"/>
      <c r="F134" s="366"/>
      <c r="G134" s="366"/>
      <c r="H134" s="565"/>
      <c r="I134" s="942"/>
      <c r="J134" s="437"/>
      <c r="K134" s="643"/>
      <c r="L134" s="643"/>
      <c r="M134" s="436"/>
      <c r="O134" s="84"/>
      <c r="P134" s="84"/>
      <c r="Q134" s="145"/>
      <c r="R134" s="84"/>
      <c r="S134" s="84"/>
      <c r="T134" s="366"/>
      <c r="U134" s="366"/>
      <c r="V134" s="366"/>
      <c r="W134" s="366"/>
      <c r="X134" s="366"/>
      <c r="Y134" s="366"/>
      <c r="Z134" s="366"/>
    </row>
    <row r="135" spans="1:26">
      <c r="C135" s="447"/>
      <c r="O135" s="84"/>
      <c r="R135" s="366"/>
    </row>
    <row r="136" spans="1:26">
      <c r="C136" s="447"/>
      <c r="O136" s="150"/>
      <c r="R136" s="366"/>
    </row>
    <row r="137" spans="1:26">
      <c r="C137" s="447"/>
      <c r="R137" s="366"/>
    </row>
    <row r="138" spans="1:26">
      <c r="C138" s="447"/>
      <c r="R138" s="366"/>
    </row>
    <row r="139" spans="1:26">
      <c r="C139" s="447"/>
      <c r="R139" s="950"/>
    </row>
    <row r="140" spans="1:26">
      <c r="C140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8:H39"/>
    <mergeCell ref="I38:K39"/>
    <mergeCell ref="L38:M39"/>
    <mergeCell ref="I40:J40"/>
    <mergeCell ref="I41:J41"/>
    <mergeCell ref="I42:J42"/>
    <mergeCell ref="A20:B20"/>
    <mergeCell ref="H20:J20"/>
    <mergeCell ref="L20:M20"/>
    <mergeCell ref="H21:H22"/>
    <mergeCell ref="I21:I22"/>
    <mergeCell ref="J21:K21"/>
    <mergeCell ref="L21:L22"/>
    <mergeCell ref="M21:M22"/>
    <mergeCell ref="I51:J51"/>
    <mergeCell ref="I52:J52"/>
    <mergeCell ref="I53:J53"/>
    <mergeCell ref="I54:J54"/>
    <mergeCell ref="I55:J55"/>
    <mergeCell ref="H56:I56"/>
    <mergeCell ref="I43:J43"/>
    <mergeCell ref="I44:J44"/>
    <mergeCell ref="I45:J45"/>
    <mergeCell ref="I48:J48"/>
    <mergeCell ref="I49:J49"/>
    <mergeCell ref="I50:J50"/>
    <mergeCell ref="I62:J62"/>
    <mergeCell ref="L62:M62"/>
    <mergeCell ref="I63:J63"/>
    <mergeCell ref="L63:M63"/>
    <mergeCell ref="I64:J64"/>
    <mergeCell ref="L64:M64"/>
    <mergeCell ref="K56:L56"/>
    <mergeCell ref="H57:K57"/>
    <mergeCell ref="A58:M59"/>
    <mergeCell ref="A60:G60"/>
    <mergeCell ref="H60:M60"/>
    <mergeCell ref="I61:J61"/>
    <mergeCell ref="L61:M61"/>
    <mergeCell ref="I68:J68"/>
    <mergeCell ref="L68:M68"/>
    <mergeCell ref="I69:J69"/>
    <mergeCell ref="L69:M69"/>
    <mergeCell ref="I70:J70"/>
    <mergeCell ref="L70:M70"/>
    <mergeCell ref="I65:J65"/>
    <mergeCell ref="L65:M65"/>
    <mergeCell ref="I66:J66"/>
    <mergeCell ref="L66:M66"/>
    <mergeCell ref="I67:J67"/>
    <mergeCell ref="L67:M67"/>
    <mergeCell ref="I74:J74"/>
    <mergeCell ref="L74:M74"/>
    <mergeCell ref="I75:J75"/>
    <mergeCell ref="L75:M75"/>
    <mergeCell ref="I76:J76"/>
    <mergeCell ref="L76:M76"/>
    <mergeCell ref="I71:J71"/>
    <mergeCell ref="L71:M71"/>
    <mergeCell ref="I72:J72"/>
    <mergeCell ref="L72:M72"/>
    <mergeCell ref="I73:J73"/>
    <mergeCell ref="L73:M73"/>
    <mergeCell ref="I77:J77"/>
    <mergeCell ref="L77:M77"/>
    <mergeCell ref="A78:B78"/>
    <mergeCell ref="H78:J78"/>
    <mergeCell ref="L78:M78"/>
    <mergeCell ref="H79:H80"/>
    <mergeCell ref="I79:I80"/>
    <mergeCell ref="J79:K79"/>
    <mergeCell ref="L79:L80"/>
    <mergeCell ref="M79:M80"/>
    <mergeCell ref="I99:J99"/>
    <mergeCell ref="I100:J100"/>
    <mergeCell ref="I101:J101"/>
    <mergeCell ref="I102:J102"/>
    <mergeCell ref="I104:J104"/>
    <mergeCell ref="I105:J105"/>
    <mergeCell ref="H94:H95"/>
    <mergeCell ref="I94:K95"/>
    <mergeCell ref="L94:M95"/>
    <mergeCell ref="I96:J96"/>
    <mergeCell ref="I97:J97"/>
    <mergeCell ref="I98:J98"/>
    <mergeCell ref="A113:F113"/>
    <mergeCell ref="A114:B114"/>
    <mergeCell ref="A115:B115"/>
    <mergeCell ref="I106:J106"/>
    <mergeCell ref="I107:J107"/>
    <mergeCell ref="I108:J108"/>
    <mergeCell ref="H109:I109"/>
    <mergeCell ref="K109:L109"/>
    <mergeCell ref="A111:M112"/>
  </mergeCells>
  <printOptions horizontalCentered="1" verticalCentered="1"/>
  <pageMargins left="0" right="0" top="0" bottom="0" header="0" footer="0"/>
  <pageSetup paperSize="9"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Normal="100" zoomScaleSheetLayoutView="115" zoomScalePageLayoutView="70" workbookViewId="0">
      <pane xSplit="1" ySplit="1" topLeftCell="B23" activePane="bottomRight" state="frozen"/>
      <selection pane="topRight" activeCell="B1" sqref="B1"/>
      <selection pane="bottomLeft" activeCell="A4" sqref="A4"/>
      <selection pane="bottomRight" activeCell="I46" sqref="I46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6.7109375" style="35" customWidth="1"/>
    <col min="4" max="4" width="13.140625" style="35" customWidth="1"/>
    <col min="5" max="5" width="14" style="35" customWidth="1"/>
    <col min="6" max="6" width="15.28515625" style="35" customWidth="1"/>
    <col min="7" max="7" width="16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7</v>
      </c>
      <c r="C2" s="17">
        <v>44136</v>
      </c>
      <c r="D2" s="796"/>
      <c r="E2" s="796">
        <v>924.45</v>
      </c>
      <c r="F2" s="913">
        <v>1100.7</v>
      </c>
      <c r="G2" s="227"/>
      <c r="H2" s="1019"/>
      <c r="I2" s="708"/>
      <c r="J2" s="464"/>
      <c r="K2" s="464"/>
      <c r="L2" s="464"/>
    </row>
    <row r="3" spans="1:16" ht="11.1" customHeight="1">
      <c r="B3" s="16">
        <f t="shared" ref="B3:B31" si="0">IF(C3="","",WEEKDAY(C3,2))</f>
        <v>1</v>
      </c>
      <c r="C3" s="17">
        <v>44137</v>
      </c>
      <c r="D3" s="796"/>
      <c r="E3" s="796">
        <v>685.7</v>
      </c>
      <c r="F3" s="913">
        <v>216.2</v>
      </c>
      <c r="G3" s="227"/>
      <c r="H3" s="1019"/>
      <c r="I3" s="709"/>
      <c r="J3" s="464"/>
      <c r="K3" s="464"/>
      <c r="L3" s="464"/>
    </row>
    <row r="4" spans="1:16" ht="11.1" customHeight="1">
      <c r="B4" s="16">
        <f t="shared" si="0"/>
        <v>2</v>
      </c>
      <c r="C4" s="17">
        <v>44138</v>
      </c>
      <c r="D4" s="796">
        <v>373.6</v>
      </c>
      <c r="E4" s="796"/>
      <c r="F4" s="913"/>
      <c r="G4" s="227">
        <v>300.39999999999998</v>
      </c>
      <c r="H4" s="1019"/>
      <c r="I4" s="709"/>
      <c r="J4" s="464"/>
      <c r="K4" s="464"/>
      <c r="L4" s="464"/>
    </row>
    <row r="5" spans="1:16" ht="11.1" customHeight="1">
      <c r="B5" s="16">
        <f t="shared" si="0"/>
        <v>3</v>
      </c>
      <c r="C5" s="17">
        <v>44139</v>
      </c>
      <c r="D5" s="796">
        <v>797.9</v>
      </c>
      <c r="E5" s="796"/>
      <c r="F5" s="913"/>
      <c r="G5" s="227">
        <v>856</v>
      </c>
      <c r="H5" s="1019"/>
      <c r="I5" s="85"/>
      <c r="J5" s="464"/>
      <c r="K5" s="464"/>
      <c r="L5" s="464"/>
    </row>
    <row r="6" spans="1:16" ht="11.1" customHeight="1">
      <c r="B6" s="16">
        <f t="shared" si="0"/>
        <v>4</v>
      </c>
      <c r="C6" s="17">
        <v>44140</v>
      </c>
      <c r="D6" s="796">
        <v>667.7</v>
      </c>
      <c r="E6" s="778">
        <v>4.5</v>
      </c>
      <c r="F6" s="913">
        <f>192+149+34+31</f>
        <v>406</v>
      </c>
      <c r="G6" s="227"/>
      <c r="H6" s="1019"/>
      <c r="I6" s="85"/>
      <c r="J6" s="464"/>
      <c r="K6" s="464"/>
      <c r="L6" s="464"/>
    </row>
    <row r="7" spans="1:16" ht="11.1" customHeight="1">
      <c r="B7" s="16">
        <f t="shared" si="0"/>
        <v>5</v>
      </c>
      <c r="C7" s="17">
        <v>44141</v>
      </c>
      <c r="D7" s="796"/>
      <c r="E7" s="796">
        <v>995.9</v>
      </c>
      <c r="F7" s="913">
        <v>350.11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6</v>
      </c>
      <c r="C8" s="17">
        <v>44142</v>
      </c>
      <c r="D8" s="796"/>
      <c r="E8" s="796">
        <v>473.7</v>
      </c>
      <c r="F8" s="913"/>
      <c r="G8" s="227">
        <v>315.55</v>
      </c>
      <c r="H8" s="925"/>
      <c r="I8" s="765"/>
      <c r="J8" s="464"/>
      <c r="K8" s="464"/>
      <c r="L8" s="464"/>
    </row>
    <row r="9" spans="1:16" ht="11.1" customHeight="1">
      <c r="B9" s="16">
        <f t="shared" si="0"/>
        <v>7</v>
      </c>
      <c r="C9" s="17">
        <v>44143</v>
      </c>
      <c r="D9" s="796">
        <v>650.4</v>
      </c>
      <c r="E9" s="796"/>
      <c r="F9" s="913"/>
      <c r="G9" s="227">
        <v>571.9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1</v>
      </c>
      <c r="C10" s="17">
        <v>44144</v>
      </c>
      <c r="D10" s="796"/>
      <c r="E10" s="796">
        <v>348.1</v>
      </c>
      <c r="F10" s="913">
        <v>281.51</v>
      </c>
      <c r="G10" s="227"/>
      <c r="H10" s="431"/>
      <c r="I10" s="765"/>
      <c r="J10" s="464"/>
      <c r="K10" s="464"/>
      <c r="L10" s="464"/>
    </row>
    <row r="11" spans="1:16" ht="11.1" customHeight="1">
      <c r="B11" s="16">
        <f t="shared" si="0"/>
        <v>2</v>
      </c>
      <c r="C11" s="17">
        <v>44145</v>
      </c>
      <c r="D11" s="796">
        <v>448.6</v>
      </c>
      <c r="E11" s="796"/>
      <c r="F11" s="913"/>
      <c r="G11" s="227">
        <v>634</v>
      </c>
      <c r="H11" s="226"/>
      <c r="I11" s="1019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3</v>
      </c>
      <c r="C12" s="17">
        <v>44146</v>
      </c>
      <c r="D12" s="796">
        <v>719</v>
      </c>
      <c r="E12" s="796"/>
      <c r="F12" s="913"/>
      <c r="G12" s="227">
        <v>304.8</v>
      </c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4</v>
      </c>
      <c r="C13" s="17">
        <v>44147</v>
      </c>
      <c r="D13" s="796"/>
      <c r="E13" s="796">
        <v>720.25</v>
      </c>
      <c r="F13" s="913"/>
      <c r="G13" s="227">
        <v>525.5</v>
      </c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5</v>
      </c>
      <c r="C14" s="17">
        <v>44148</v>
      </c>
      <c r="D14" s="796"/>
      <c r="E14" s="796">
        <v>2268.3000000000002</v>
      </c>
      <c r="F14" s="913">
        <v>844.2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44149</v>
      </c>
      <c r="D15" s="796">
        <v>1402.95</v>
      </c>
      <c r="E15" s="796"/>
      <c r="F15" s="913">
        <v>862.3</v>
      </c>
      <c r="G15" s="227"/>
      <c r="H15" s="1019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7</v>
      </c>
      <c r="C16" s="17">
        <v>44150</v>
      </c>
      <c r="D16" s="796">
        <v>1017</v>
      </c>
      <c r="E16" s="796"/>
      <c r="F16" s="913"/>
      <c r="G16" s="227">
        <v>1019.6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1</v>
      </c>
      <c r="C17" s="17">
        <v>44151</v>
      </c>
      <c r="D17" s="796"/>
      <c r="E17" s="796">
        <v>671.9</v>
      </c>
      <c r="F17" s="913"/>
      <c r="G17" s="227">
        <v>303.10000000000002</v>
      </c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2</v>
      </c>
      <c r="C18" s="17">
        <v>44152</v>
      </c>
      <c r="D18" s="796"/>
      <c r="E18" s="796">
        <v>1502.2</v>
      </c>
      <c r="F18" s="913"/>
      <c r="G18" s="227">
        <v>1184.4000000000001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3</v>
      </c>
      <c r="C19" s="17">
        <v>44153</v>
      </c>
      <c r="D19" s="796">
        <v>894.3</v>
      </c>
      <c r="E19" s="796"/>
      <c r="F19" s="913">
        <v>606.79999999999995</v>
      </c>
      <c r="G19" s="227"/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4</v>
      </c>
      <c r="C20" s="17">
        <v>44154</v>
      </c>
      <c r="D20" s="796">
        <v>1370.2</v>
      </c>
      <c r="E20" s="778">
        <v>349.6</v>
      </c>
      <c r="F20" s="913">
        <v>1043.5999999999999</v>
      </c>
      <c r="G20" s="227"/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5</v>
      </c>
      <c r="C21" s="17">
        <v>44155</v>
      </c>
      <c r="D21" s="778">
        <v>43.5</v>
      </c>
      <c r="E21" s="796">
        <v>1758.7</v>
      </c>
      <c r="F21" s="913"/>
      <c r="G21" s="227">
        <v>858.5</v>
      </c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6</v>
      </c>
      <c r="C22" s="17">
        <v>44156</v>
      </c>
      <c r="D22" s="778">
        <v>17</v>
      </c>
      <c r="E22" s="796">
        <v>1037</v>
      </c>
      <c r="F22" s="913"/>
      <c r="G22" s="227">
        <v>1146.9000000000001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7</v>
      </c>
      <c r="C23" s="17">
        <v>44157</v>
      </c>
      <c r="D23" s="796">
        <v>900.5</v>
      </c>
      <c r="E23" s="778">
        <v>7</v>
      </c>
      <c r="F23" s="913"/>
      <c r="G23" s="227">
        <v>867.6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1</v>
      </c>
      <c r="C24" s="17">
        <v>44158</v>
      </c>
      <c r="D24" s="796">
        <v>556.4</v>
      </c>
      <c r="E24" s="778">
        <v>12.5</v>
      </c>
      <c r="F24" s="913">
        <v>207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2</v>
      </c>
      <c r="C25" s="17">
        <v>44159</v>
      </c>
      <c r="D25" s="796"/>
      <c r="E25" s="796">
        <v>415</v>
      </c>
      <c r="F25" s="913">
        <v>532.1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3</v>
      </c>
      <c r="C26" s="17">
        <v>44160</v>
      </c>
      <c r="D26" s="796"/>
      <c r="E26" s="796">
        <v>752.22</v>
      </c>
      <c r="F26" s="913">
        <v>578.9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4</v>
      </c>
      <c r="C27" s="17">
        <v>44161</v>
      </c>
      <c r="D27" s="796">
        <v>702.5</v>
      </c>
      <c r="E27" s="796"/>
      <c r="F27" s="913"/>
      <c r="G27" s="227">
        <v>513.70000000000005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5</v>
      </c>
      <c r="C28" s="17">
        <v>44162</v>
      </c>
      <c r="D28" s="796">
        <v>884.8</v>
      </c>
      <c r="E28" s="796"/>
      <c r="F28" s="913"/>
      <c r="G28" s="227">
        <v>691.4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6</v>
      </c>
      <c r="C29" s="17">
        <v>44163</v>
      </c>
      <c r="D29" s="778">
        <v>22</v>
      </c>
      <c r="E29" s="796">
        <v>540.70000000000005</v>
      </c>
      <c r="F29" s="741">
        <v>632.1</v>
      </c>
      <c r="G29" s="226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7</v>
      </c>
      <c r="C30" s="17">
        <v>44164</v>
      </c>
      <c r="D30" s="796"/>
      <c r="E30" s="796">
        <v>573.1</v>
      </c>
      <c r="F30" s="741"/>
      <c r="G30" s="226">
        <v>617.5</v>
      </c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16">
        <f t="shared" si="0"/>
        <v>1</v>
      </c>
      <c r="C31" s="17">
        <v>44165</v>
      </c>
      <c r="D31" s="796">
        <v>669</v>
      </c>
      <c r="E31" s="778">
        <v>43</v>
      </c>
      <c r="F31" s="741"/>
      <c r="G31" s="226">
        <v>589.6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034"/>
      <c r="C32" s="115"/>
      <c r="D32" s="1035"/>
      <c r="E32" s="1035"/>
      <c r="F32" s="764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612" t="s">
        <v>225</v>
      </c>
      <c r="D33" s="85">
        <v>15</v>
      </c>
      <c r="E33" s="85">
        <v>15</v>
      </c>
      <c r="F33" s="85">
        <f>COUNT(F2:F32)</f>
        <v>13</v>
      </c>
      <c r="G33" s="85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85" t="s">
        <v>73</v>
      </c>
      <c r="D34" s="238">
        <f>SUM(D2:D32)</f>
        <v>12137.349999999999</v>
      </c>
      <c r="E34" s="238">
        <f>SUM(E2:E32)</f>
        <v>14083.820000000002</v>
      </c>
      <c r="F34" s="238">
        <f>SUM(F2:F32)</f>
        <v>7661.52</v>
      </c>
      <c r="G34" s="238">
        <f>SUM(G2:G32)</f>
        <v>11300.45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12127.05</v>
      </c>
      <c r="E35" s="238">
        <v>13727.62</v>
      </c>
      <c r="F35" s="238">
        <v>7493.06</v>
      </c>
      <c r="G35" s="238">
        <v>10037.75</v>
      </c>
      <c r="H35" s="12"/>
      <c r="I35" s="292">
        <f>SUM(D2:E32)</f>
        <v>26221.170000000002</v>
      </c>
      <c r="J35" s="292">
        <f>SUM(F2:G32)</f>
        <v>18961.969999999998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10.299999999999272</v>
      </c>
      <c r="E36" s="88">
        <f t="shared" si="1"/>
        <v>356.20000000000073</v>
      </c>
      <c r="F36" s="88">
        <f t="shared" si="1"/>
        <v>168.46000000000004</v>
      </c>
      <c r="G36" s="88">
        <f t="shared" si="1"/>
        <v>1262.7000000000007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0.1</v>
      </c>
      <c r="E37" s="89">
        <f t="shared" si="2"/>
        <v>3.56</v>
      </c>
      <c r="F37" s="89">
        <f>ROUND(F36*1%,2)</f>
        <v>1.68</v>
      </c>
      <c r="G37" s="89">
        <f>ROUND(G36*1%,2)</f>
        <v>12.63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363.81</v>
      </c>
      <c r="E38" s="89">
        <f>ROUND(3%*E35,2)</f>
        <v>411.83</v>
      </c>
      <c r="F38" s="89">
        <f>ROUND(3%*F35,2)</f>
        <v>224.79</v>
      </c>
      <c r="G38" s="89">
        <f>ROUND(3%*G35,2)</f>
        <v>301.13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2.75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300</v>
      </c>
      <c r="F40" s="87">
        <f>ROUND(25*F33,2)</f>
        <v>325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>
      <c r="B41" s="1014"/>
      <c r="C41" s="1015" t="s">
        <v>48</v>
      </c>
      <c r="E41" s="241">
        <v>50</v>
      </c>
      <c r="F41" s="87">
        <v>113</v>
      </c>
      <c r="G41" s="87">
        <v>205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>
      <c r="B42" s="21"/>
      <c r="C42" s="795" t="s">
        <v>94</v>
      </c>
      <c r="D42" s="18">
        <v>337.71</v>
      </c>
      <c r="E42" s="241">
        <v>180.88</v>
      </c>
      <c r="F42" s="87">
        <v>176.46</v>
      </c>
      <c r="G42" s="87">
        <v>44</v>
      </c>
      <c r="H42" s="1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795" t="s">
        <v>430</v>
      </c>
      <c r="D43" s="18">
        <v>48</v>
      </c>
      <c r="E43" s="241"/>
      <c r="F43" s="87">
        <v>200</v>
      </c>
      <c r="G43" s="87">
        <v>50</v>
      </c>
      <c r="H43" s="12"/>
      <c r="I43" s="283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D37+D38+D39+D40-D42-D43</f>
        <v>328.2000000000001</v>
      </c>
      <c r="E44" s="456">
        <f>E45-E42-E41</f>
        <v>534.51</v>
      </c>
      <c r="F44" s="456">
        <f>F37+F38+F40-F41-F42-F43</f>
        <v>62.009999999999991</v>
      </c>
      <c r="G44" s="456">
        <f>G37+G38+G39+G40-G41-G42-G43</f>
        <v>479.76</v>
      </c>
      <c r="H44" s="8"/>
      <c r="I44" s="145">
        <f>G45+F45</f>
        <v>1330.23</v>
      </c>
      <c r="J44" s="145"/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713.91000000000008</v>
      </c>
      <c r="E45" s="287">
        <f>E37+E38+E39+E40</f>
        <v>765.39</v>
      </c>
      <c r="F45" s="287">
        <f>F37+F38+F40</f>
        <v>551.47</v>
      </c>
      <c r="G45" s="287">
        <f>G37+G38+G39+G40</f>
        <v>778.76</v>
      </c>
      <c r="I45" s="462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/>
      <c r="J46" s="145"/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363"/>
      <c r="D47" s="363"/>
      <c r="E47" s="363"/>
      <c r="F47" s="363"/>
      <c r="G47" s="1023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>
        <f>D44+E44+E41</f>
        <v>912.71</v>
      </c>
      <c r="E48" s="145">
        <f>F44+G44+F41+G41</f>
        <v>859.77</v>
      </c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"/>
      <c r="G49" s="8"/>
      <c r="H49" s="207"/>
      <c r="I49" s="68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50"/>
      <c r="E50" s="518"/>
      <c r="F50" s="550"/>
      <c r="G50" s="518"/>
      <c r="H50" s="519"/>
      <c r="I50" s="1020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50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145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145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145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B2:G32">
    <cfRule type="expression" dxfId="19" priority="1">
      <formula>$B2=7</formula>
    </cfRule>
    <cfRule type="expression" dxfId="18" priority="2">
      <formula>$B2=6</formula>
    </cfRule>
  </conditionalFormatting>
  <pageMargins left="0.7" right="0.7" top="0.75" bottom="0.75" header="0.3" footer="0.3"/>
  <pageSetup paperSize="11" scale="9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Normal="100" zoomScaleSheetLayoutView="100" workbookViewId="0">
      <selection activeCell="S14" sqref="S14"/>
    </sheetView>
  </sheetViews>
  <sheetFormatPr defaultRowHeight="15"/>
  <cols>
    <col min="1" max="1" width="9.140625" style="35"/>
    <col min="4" max="4" width="9.140625" style="35"/>
    <col min="5" max="5" width="6" style="35" customWidth="1"/>
    <col min="9" max="10" width="9.140625" style="35"/>
  </cols>
  <sheetData>
    <row r="1" spans="1:15">
      <c r="A1" s="1197" t="s">
        <v>190</v>
      </c>
      <c r="B1" s="1197"/>
      <c r="C1" s="1197"/>
      <c r="D1" s="1197"/>
      <c r="E1" s="1197"/>
      <c r="F1" s="1197"/>
      <c r="G1" s="1197"/>
      <c r="H1" s="1197"/>
      <c r="J1" s="1197" t="s">
        <v>189</v>
      </c>
      <c r="K1" s="1197"/>
      <c r="L1" s="1197"/>
      <c r="M1" s="1197"/>
      <c r="N1" s="1197"/>
      <c r="O1" s="1197"/>
    </row>
    <row r="2" spans="1:15" s="35" customFormat="1">
      <c r="A2" s="1197" t="s">
        <v>422</v>
      </c>
      <c r="B2" s="1197"/>
      <c r="C2" s="1197"/>
      <c r="D2" s="1197"/>
      <c r="E2" s="963"/>
      <c r="F2" s="1197" t="s">
        <v>421</v>
      </c>
      <c r="G2" s="1197"/>
      <c r="H2" s="1197"/>
      <c r="J2" s="1277" t="s">
        <v>422</v>
      </c>
      <c r="K2" s="1277"/>
      <c r="L2" s="1277"/>
      <c r="M2" s="1277"/>
      <c r="N2" s="1278" t="s">
        <v>421</v>
      </c>
      <c r="O2" s="1278"/>
    </row>
    <row r="3" spans="1:15">
      <c r="A3" s="962" t="s">
        <v>419</v>
      </c>
      <c r="B3" s="36" t="s">
        <v>416</v>
      </c>
      <c r="C3" s="36" t="s">
        <v>417</v>
      </c>
      <c r="D3" s="36" t="s">
        <v>418</v>
      </c>
      <c r="E3" s="234"/>
      <c r="F3" s="36" t="s">
        <v>416</v>
      </c>
      <c r="G3" s="36" t="s">
        <v>417</v>
      </c>
      <c r="H3" s="36" t="s">
        <v>418</v>
      </c>
      <c r="I3" s="234"/>
      <c r="J3" s="452" t="s">
        <v>419</v>
      </c>
      <c r="K3" s="971" t="s">
        <v>416</v>
      </c>
      <c r="L3" s="971" t="s">
        <v>417</v>
      </c>
      <c r="M3" s="971" t="s">
        <v>418</v>
      </c>
      <c r="N3" s="1278"/>
      <c r="O3" s="1278"/>
    </row>
    <row r="4" spans="1:15">
      <c r="A4" s="151">
        <v>44075</v>
      </c>
      <c r="B4" s="36">
        <v>237.5</v>
      </c>
      <c r="C4" s="36">
        <v>168</v>
      </c>
      <c r="D4" s="36">
        <f>C4+B4</f>
        <v>405.5</v>
      </c>
      <c r="E4" s="234"/>
      <c r="F4" s="970">
        <v>237.5</v>
      </c>
      <c r="G4" s="970">
        <v>168</v>
      </c>
      <c r="H4" s="962">
        <f>G4+F4</f>
        <v>405.5</v>
      </c>
      <c r="J4" s="972">
        <v>44075</v>
      </c>
      <c r="K4" s="971">
        <v>134</v>
      </c>
      <c r="L4" s="971">
        <v>228.4</v>
      </c>
      <c r="M4" s="971">
        <f t="shared" ref="M4:M18" si="0">IF(K4="","",L4+K4)</f>
        <v>362.4</v>
      </c>
      <c r="N4" s="1275">
        <v>503.4</v>
      </c>
      <c r="O4" s="1275"/>
    </row>
    <row r="5" spans="1:15">
      <c r="A5" s="151">
        <v>44076</v>
      </c>
      <c r="B5" s="36">
        <v>366.1</v>
      </c>
      <c r="C5" s="36">
        <v>167</v>
      </c>
      <c r="D5" s="36">
        <f t="shared" ref="D5:D18" si="1">C5+B5</f>
        <v>533.1</v>
      </c>
      <c r="E5" s="234"/>
      <c r="F5" s="970">
        <v>366.1</v>
      </c>
      <c r="G5" s="970">
        <v>167</v>
      </c>
      <c r="H5" s="962">
        <f t="shared" ref="H5:H17" si="2">G5+F5</f>
        <v>533.1</v>
      </c>
      <c r="J5" s="972">
        <v>44076</v>
      </c>
      <c r="K5" s="971">
        <v>230</v>
      </c>
      <c r="L5" s="971">
        <v>255.5</v>
      </c>
      <c r="M5" s="971">
        <f t="shared" si="0"/>
        <v>485.5</v>
      </c>
      <c r="N5" s="1275">
        <v>1054.8</v>
      </c>
      <c r="O5" s="1275"/>
    </row>
    <row r="6" spans="1:15">
      <c r="A6" s="151">
        <v>44077</v>
      </c>
      <c r="B6" s="36">
        <v>177</v>
      </c>
      <c r="C6" s="36">
        <v>295</v>
      </c>
      <c r="D6" s="36">
        <f t="shared" si="1"/>
        <v>472</v>
      </c>
      <c r="E6" s="234"/>
      <c r="F6" s="970">
        <v>177</v>
      </c>
      <c r="G6" s="970">
        <v>295</v>
      </c>
      <c r="H6" s="962">
        <f t="shared" si="2"/>
        <v>472</v>
      </c>
      <c r="J6" s="972">
        <v>44077</v>
      </c>
      <c r="K6" s="971">
        <v>0</v>
      </c>
      <c r="L6" s="971">
        <v>157.30000000000001</v>
      </c>
      <c r="M6" s="971">
        <f t="shared" si="0"/>
        <v>157.30000000000001</v>
      </c>
      <c r="N6" s="1276">
        <v>398.8</v>
      </c>
      <c r="O6" s="1276"/>
    </row>
    <row r="7" spans="1:15">
      <c r="A7" s="151">
        <v>44078</v>
      </c>
      <c r="B7" s="36">
        <v>292</v>
      </c>
      <c r="C7" s="36">
        <v>232.8</v>
      </c>
      <c r="D7" s="36">
        <f t="shared" si="1"/>
        <v>524.79999999999995</v>
      </c>
      <c r="E7" s="234"/>
      <c r="F7" s="970">
        <f>295.5+90</f>
        <v>385.5</v>
      </c>
      <c r="G7" s="970">
        <v>232.8</v>
      </c>
      <c r="H7" s="962">
        <f t="shared" si="2"/>
        <v>618.29999999999995</v>
      </c>
      <c r="J7" s="972">
        <v>44078</v>
      </c>
      <c r="K7" s="971">
        <v>50</v>
      </c>
      <c r="L7" s="971">
        <v>173</v>
      </c>
      <c r="M7" s="971">
        <f t="shared" si="0"/>
        <v>223</v>
      </c>
      <c r="N7" s="1275">
        <v>447</v>
      </c>
      <c r="O7" s="1275"/>
    </row>
    <row r="8" spans="1:15">
      <c r="A8" s="151">
        <v>44079</v>
      </c>
      <c r="B8" s="36">
        <v>460.9</v>
      </c>
      <c r="C8" s="36">
        <v>156</v>
      </c>
      <c r="D8" s="36">
        <f t="shared" si="1"/>
        <v>616.9</v>
      </c>
      <c r="E8" s="234"/>
      <c r="F8" s="970">
        <v>460.9</v>
      </c>
      <c r="G8" s="970">
        <v>156</v>
      </c>
      <c r="H8" s="962">
        <f t="shared" si="2"/>
        <v>616.9</v>
      </c>
      <c r="J8" s="972">
        <v>44079</v>
      </c>
      <c r="K8" s="971">
        <v>8</v>
      </c>
      <c r="L8" s="971">
        <v>122</v>
      </c>
      <c r="M8" s="971">
        <f t="shared" si="0"/>
        <v>130</v>
      </c>
      <c r="N8" s="1275">
        <f>284.25+26</f>
        <v>310.25</v>
      </c>
      <c r="O8" s="1275"/>
    </row>
    <row r="9" spans="1:15">
      <c r="A9" s="151">
        <v>44080</v>
      </c>
      <c r="B9" s="36">
        <v>194</v>
      </c>
      <c r="C9" s="36">
        <v>92.5</v>
      </c>
      <c r="D9" s="36">
        <f t="shared" si="1"/>
        <v>286.5</v>
      </c>
      <c r="E9" s="234"/>
      <c r="F9" s="970">
        <v>194</v>
      </c>
      <c r="G9" s="970">
        <v>92.5</v>
      </c>
      <c r="H9" s="962">
        <f t="shared" si="2"/>
        <v>286.5</v>
      </c>
      <c r="J9" s="972">
        <v>44080</v>
      </c>
      <c r="K9" s="971">
        <v>98</v>
      </c>
      <c r="L9" s="971">
        <v>175.5</v>
      </c>
      <c r="M9" s="971">
        <f t="shared" si="0"/>
        <v>273.5</v>
      </c>
      <c r="N9" s="1275">
        <v>592.5</v>
      </c>
      <c r="O9" s="1275"/>
    </row>
    <row r="10" spans="1:15">
      <c r="A10" s="151">
        <v>44081</v>
      </c>
      <c r="B10" s="36">
        <v>193.5</v>
      </c>
      <c r="C10" s="36">
        <v>23</v>
      </c>
      <c r="D10" s="36">
        <f t="shared" si="1"/>
        <v>216.5</v>
      </c>
      <c r="E10" s="234"/>
      <c r="F10" s="970">
        <v>193.5</v>
      </c>
      <c r="G10" s="970">
        <v>23</v>
      </c>
      <c r="H10" s="962">
        <f t="shared" si="2"/>
        <v>216.5</v>
      </c>
      <c r="J10" s="972">
        <v>44081</v>
      </c>
      <c r="K10" s="971">
        <v>54.5</v>
      </c>
      <c r="L10" s="971">
        <v>115.4</v>
      </c>
      <c r="M10" s="971">
        <f t="shared" si="0"/>
        <v>169.9</v>
      </c>
      <c r="N10" s="1275">
        <v>350.7</v>
      </c>
      <c r="O10" s="1275"/>
    </row>
    <row r="11" spans="1:15">
      <c r="A11" s="151">
        <v>44082</v>
      </c>
      <c r="B11" s="36">
        <v>250.5</v>
      </c>
      <c r="C11" s="36">
        <v>177.9</v>
      </c>
      <c r="D11" s="36">
        <f t="shared" si="1"/>
        <v>428.4</v>
      </c>
      <c r="E11" s="234"/>
      <c r="F11" s="970">
        <f>250.5+111</f>
        <v>361.5</v>
      </c>
      <c r="G11" s="970">
        <v>177.9</v>
      </c>
      <c r="H11" s="962">
        <f t="shared" si="2"/>
        <v>539.4</v>
      </c>
      <c r="J11" s="972">
        <v>44082</v>
      </c>
      <c r="K11" s="971">
        <v>48</v>
      </c>
      <c r="L11" s="971">
        <v>361</v>
      </c>
      <c r="M11" s="971">
        <f t="shared" si="0"/>
        <v>409</v>
      </c>
      <c r="N11" s="1275">
        <v>1151.5999999999999</v>
      </c>
      <c r="O11" s="1275"/>
    </row>
    <row r="12" spans="1:15">
      <c r="A12" s="151">
        <v>44083</v>
      </c>
      <c r="B12" s="36">
        <v>193.5</v>
      </c>
      <c r="C12" s="36">
        <v>180.45</v>
      </c>
      <c r="D12" s="36">
        <f t="shared" si="1"/>
        <v>373.95</v>
      </c>
      <c r="E12" s="234"/>
      <c r="F12" s="970">
        <v>193.5</v>
      </c>
      <c r="G12" s="970">
        <v>180.45</v>
      </c>
      <c r="H12" s="962">
        <f t="shared" si="2"/>
        <v>373.95</v>
      </c>
      <c r="J12" s="972">
        <v>44083</v>
      </c>
      <c r="K12" s="971">
        <v>56</v>
      </c>
      <c r="L12" s="971">
        <v>232.7</v>
      </c>
      <c r="M12" s="971">
        <f t="shared" si="0"/>
        <v>288.7</v>
      </c>
      <c r="N12" s="1275">
        <v>639.20000000000005</v>
      </c>
      <c r="O12" s="1275"/>
    </row>
    <row r="13" spans="1:15">
      <c r="A13" s="151">
        <v>44084</v>
      </c>
      <c r="B13" s="36">
        <v>214.5</v>
      </c>
      <c r="C13" s="36">
        <v>139.5</v>
      </c>
      <c r="D13" s="36">
        <f t="shared" si="1"/>
        <v>354</v>
      </c>
      <c r="E13" s="234"/>
      <c r="F13" s="970">
        <v>214.5</v>
      </c>
      <c r="G13" s="970">
        <v>139.5</v>
      </c>
      <c r="H13" s="962">
        <f t="shared" si="2"/>
        <v>354</v>
      </c>
      <c r="J13" s="972">
        <v>44084</v>
      </c>
      <c r="K13" s="971">
        <v>155.19999999999999</v>
      </c>
      <c r="L13" s="971">
        <v>346.6</v>
      </c>
      <c r="M13" s="971">
        <f t="shared" si="0"/>
        <v>501.8</v>
      </c>
      <c r="N13" s="1275">
        <f>900.61+45</f>
        <v>945.61</v>
      </c>
      <c r="O13" s="1275"/>
    </row>
    <row r="14" spans="1:15">
      <c r="A14" s="151">
        <v>44085</v>
      </c>
      <c r="B14" s="36">
        <v>107</v>
      </c>
      <c r="C14" s="36">
        <v>244.5</v>
      </c>
      <c r="D14" s="36">
        <f t="shared" si="1"/>
        <v>351.5</v>
      </c>
      <c r="E14" s="234"/>
      <c r="F14" s="970">
        <v>107</v>
      </c>
      <c r="G14" s="970">
        <v>244.5</v>
      </c>
      <c r="H14" s="962">
        <f t="shared" si="2"/>
        <v>351.5</v>
      </c>
      <c r="J14" s="972">
        <v>44085</v>
      </c>
      <c r="K14" s="971">
        <v>29</v>
      </c>
      <c r="L14" s="971">
        <v>363.51</v>
      </c>
      <c r="M14" s="971">
        <f t="shared" si="0"/>
        <v>392.51</v>
      </c>
      <c r="N14" s="1275">
        <v>838.51</v>
      </c>
      <c r="O14" s="1275"/>
    </row>
    <row r="15" spans="1:15">
      <c r="A15" s="151">
        <v>44086</v>
      </c>
      <c r="B15" s="36">
        <v>195.9</v>
      </c>
      <c r="C15" s="36">
        <v>257</v>
      </c>
      <c r="D15" s="36">
        <f t="shared" si="1"/>
        <v>452.9</v>
      </c>
      <c r="E15" s="234"/>
      <c r="F15" s="970">
        <v>195.9</v>
      </c>
      <c r="G15" s="970">
        <v>257</v>
      </c>
      <c r="H15" s="962">
        <f t="shared" si="2"/>
        <v>452.9</v>
      </c>
      <c r="J15" s="972">
        <v>44086</v>
      </c>
      <c r="K15" s="971">
        <v>382.5</v>
      </c>
      <c r="L15" s="971">
        <v>283.8</v>
      </c>
      <c r="M15" s="971">
        <f t="shared" si="0"/>
        <v>666.3</v>
      </c>
      <c r="N15" s="1275">
        <v>961.15</v>
      </c>
      <c r="O15" s="1275"/>
    </row>
    <row r="16" spans="1:15">
      <c r="A16" s="151">
        <v>44087</v>
      </c>
      <c r="B16" s="36">
        <v>492.4</v>
      </c>
      <c r="C16" s="36">
        <v>136.5</v>
      </c>
      <c r="D16" s="36">
        <f t="shared" si="1"/>
        <v>628.9</v>
      </c>
      <c r="E16" s="234"/>
      <c r="F16" s="970">
        <v>503.4</v>
      </c>
      <c r="G16" s="970">
        <v>136.5</v>
      </c>
      <c r="H16" s="962">
        <f t="shared" si="2"/>
        <v>639.9</v>
      </c>
      <c r="J16" s="972">
        <v>44087</v>
      </c>
      <c r="K16" s="971">
        <v>169</v>
      </c>
      <c r="L16" s="971">
        <v>278</v>
      </c>
      <c r="M16" s="971">
        <f t="shared" si="0"/>
        <v>447</v>
      </c>
      <c r="N16" s="1275">
        <f>825+10</f>
        <v>835</v>
      </c>
      <c r="O16" s="1275"/>
    </row>
    <row r="17" spans="1:16">
      <c r="A17" s="151">
        <v>44088</v>
      </c>
      <c r="B17" s="36">
        <v>243.5</v>
      </c>
      <c r="C17" s="36">
        <v>272.5</v>
      </c>
      <c r="D17" s="36">
        <f t="shared" si="1"/>
        <v>516</v>
      </c>
      <c r="E17" s="234"/>
      <c r="F17" s="970">
        <v>243.5</v>
      </c>
      <c r="G17" s="970">
        <v>272.5</v>
      </c>
      <c r="H17" s="962">
        <f t="shared" si="2"/>
        <v>516</v>
      </c>
      <c r="J17" s="972">
        <v>44088</v>
      </c>
      <c r="K17" s="971">
        <v>180.5</v>
      </c>
      <c r="L17" s="971">
        <v>315.5</v>
      </c>
      <c r="M17" s="971">
        <f t="shared" si="0"/>
        <v>496</v>
      </c>
      <c r="N17" s="1275">
        <v>831</v>
      </c>
      <c r="O17" s="1275"/>
    </row>
    <row r="18" spans="1:16" ht="14.1" customHeight="1">
      <c r="A18" s="151">
        <v>44089</v>
      </c>
      <c r="B18" s="36">
        <v>486.7</v>
      </c>
      <c r="C18" s="36">
        <v>398.1</v>
      </c>
      <c r="D18" s="36">
        <f t="shared" si="1"/>
        <v>884.8</v>
      </c>
      <c r="E18" s="234"/>
      <c r="F18" s="970">
        <v>486.7</v>
      </c>
      <c r="G18" s="970">
        <v>398.1</v>
      </c>
      <c r="H18" s="962">
        <f>G18+F18</f>
        <v>884.8</v>
      </c>
      <c r="J18" s="972">
        <v>44089</v>
      </c>
      <c r="K18" s="971"/>
      <c r="L18" s="971"/>
      <c r="M18" s="971" t="str">
        <f t="shared" si="0"/>
        <v/>
      </c>
      <c r="N18" s="1275">
        <v>1261.8</v>
      </c>
      <c r="O18" s="1275"/>
    </row>
    <row r="19" spans="1:16" ht="14.1" customHeight="1">
      <c r="A19" s="151">
        <v>44090</v>
      </c>
      <c r="B19" s="36"/>
      <c r="C19" s="36"/>
      <c r="D19" s="36" t="str">
        <f>IF(B19="","",C19+B19)</f>
        <v/>
      </c>
      <c r="E19" s="234"/>
      <c r="F19" s="962"/>
      <c r="G19" s="962"/>
      <c r="H19" s="36" t="str">
        <f>IF(F19="","",G19+F19)</f>
        <v/>
      </c>
      <c r="J19" s="972">
        <v>44090</v>
      </c>
      <c r="K19" s="971">
        <v>154.1</v>
      </c>
      <c r="L19" s="971">
        <v>510.9</v>
      </c>
      <c r="M19" s="971">
        <f>IF(K19="","",L19+K19)</f>
        <v>665</v>
      </c>
      <c r="N19" s="1275">
        <f>33+1225.9</f>
        <v>1258.9000000000001</v>
      </c>
      <c r="O19" s="1275"/>
    </row>
    <row r="20" spans="1:16" ht="14.1" hidden="1" customHeight="1">
      <c r="A20" s="151">
        <v>44091</v>
      </c>
      <c r="B20" s="36"/>
      <c r="C20" s="36"/>
      <c r="D20" s="36" t="str">
        <f t="shared" ref="D20:D33" si="3">IF(B20="","",C20+B20)</f>
        <v/>
      </c>
      <c r="E20" s="234"/>
      <c r="F20" s="962"/>
      <c r="G20" s="962"/>
      <c r="H20" s="36" t="str">
        <f t="shared" ref="H20:H33" si="4">IF(F20="","",G20+F20)</f>
        <v/>
      </c>
      <c r="J20" s="972">
        <v>44091</v>
      </c>
      <c r="K20" s="971"/>
      <c r="L20" s="971"/>
      <c r="M20" s="971" t="str">
        <f t="shared" ref="M20:M33" si="5">IF(K20="","",L20+K20)</f>
        <v/>
      </c>
      <c r="N20" s="1274"/>
      <c r="O20" s="1274"/>
      <c r="P20" s="8"/>
    </row>
    <row r="21" spans="1:16" ht="14.1" hidden="1" customHeight="1">
      <c r="A21" s="151">
        <v>44092</v>
      </c>
      <c r="B21" s="36"/>
      <c r="C21" s="36"/>
      <c r="D21" s="36" t="str">
        <f t="shared" si="3"/>
        <v/>
      </c>
      <c r="E21" s="234"/>
      <c r="F21" s="962"/>
      <c r="G21" s="962"/>
      <c r="H21" s="36" t="str">
        <f t="shared" si="4"/>
        <v/>
      </c>
      <c r="J21" s="972">
        <v>44092</v>
      </c>
      <c r="K21" s="971"/>
      <c r="L21" s="971"/>
      <c r="M21" s="971" t="str">
        <f t="shared" si="5"/>
        <v/>
      </c>
      <c r="N21" s="1274"/>
      <c r="O21" s="1274"/>
    </row>
    <row r="22" spans="1:16" ht="14.1" hidden="1" customHeight="1">
      <c r="A22" s="151">
        <v>44093</v>
      </c>
      <c r="B22" s="36"/>
      <c r="C22" s="36"/>
      <c r="D22" s="36" t="str">
        <f t="shared" si="3"/>
        <v/>
      </c>
      <c r="E22" s="234"/>
      <c r="F22" s="962"/>
      <c r="G22" s="962"/>
      <c r="H22" s="36" t="str">
        <f t="shared" si="4"/>
        <v/>
      </c>
      <c r="J22" s="972">
        <v>44093</v>
      </c>
      <c r="K22" s="971"/>
      <c r="L22" s="971"/>
      <c r="M22" s="971" t="str">
        <f t="shared" si="5"/>
        <v/>
      </c>
      <c r="N22" s="1274"/>
      <c r="O22" s="1274"/>
    </row>
    <row r="23" spans="1:16" ht="14.1" hidden="1" customHeight="1">
      <c r="A23" s="151">
        <v>44094</v>
      </c>
      <c r="B23" s="36"/>
      <c r="C23" s="36"/>
      <c r="D23" s="36" t="str">
        <f t="shared" si="3"/>
        <v/>
      </c>
      <c r="E23" s="234"/>
      <c r="F23" s="962"/>
      <c r="G23" s="962"/>
      <c r="H23" s="36" t="str">
        <f t="shared" si="4"/>
        <v/>
      </c>
      <c r="J23" s="972">
        <v>44094</v>
      </c>
      <c r="K23" s="971"/>
      <c r="L23" s="971"/>
      <c r="M23" s="971" t="str">
        <f t="shared" si="5"/>
        <v/>
      </c>
      <c r="N23" s="1274"/>
      <c r="O23" s="1274"/>
    </row>
    <row r="24" spans="1:16" ht="14.1" hidden="1" customHeight="1">
      <c r="A24" s="151">
        <v>44095</v>
      </c>
      <c r="B24" s="36"/>
      <c r="C24" s="36"/>
      <c r="D24" s="36" t="str">
        <f t="shared" si="3"/>
        <v/>
      </c>
      <c r="E24" s="234"/>
      <c r="F24" s="962"/>
      <c r="G24" s="962"/>
      <c r="H24" s="36" t="str">
        <f t="shared" si="4"/>
        <v/>
      </c>
      <c r="J24" s="972">
        <v>44095</v>
      </c>
      <c r="K24" s="971"/>
      <c r="L24" s="971"/>
      <c r="M24" s="971" t="str">
        <f t="shared" si="5"/>
        <v/>
      </c>
      <c r="N24" s="1274"/>
      <c r="O24" s="1274"/>
    </row>
    <row r="25" spans="1:16" ht="14.1" hidden="1" customHeight="1">
      <c r="A25" s="151">
        <v>44096</v>
      </c>
      <c r="B25" s="36"/>
      <c r="C25" s="36"/>
      <c r="D25" s="36" t="str">
        <f t="shared" si="3"/>
        <v/>
      </c>
      <c r="E25" s="234"/>
      <c r="F25" s="962"/>
      <c r="G25" s="962"/>
      <c r="H25" s="36" t="str">
        <f t="shared" si="4"/>
        <v/>
      </c>
      <c r="J25" s="972">
        <v>44096</v>
      </c>
      <c r="K25" s="971"/>
      <c r="L25" s="971"/>
      <c r="M25" s="971" t="str">
        <f t="shared" si="5"/>
        <v/>
      </c>
      <c r="N25" s="1274"/>
      <c r="O25" s="1274"/>
    </row>
    <row r="26" spans="1:16" ht="14.1" hidden="1" customHeight="1">
      <c r="A26" s="151">
        <v>44097</v>
      </c>
      <c r="B26" s="962"/>
      <c r="C26" s="962"/>
      <c r="D26" s="36" t="str">
        <f t="shared" si="3"/>
        <v/>
      </c>
      <c r="E26" s="234"/>
      <c r="F26" s="962"/>
      <c r="G26" s="962"/>
      <c r="H26" s="36" t="str">
        <f t="shared" si="4"/>
        <v/>
      </c>
      <c r="J26" s="972">
        <v>44097</v>
      </c>
      <c r="K26" s="452"/>
      <c r="L26" s="452"/>
      <c r="M26" s="971" t="str">
        <f t="shared" si="5"/>
        <v/>
      </c>
      <c r="N26" s="1274"/>
      <c r="O26" s="1274"/>
    </row>
    <row r="27" spans="1:16" ht="14.1" hidden="1" customHeight="1">
      <c r="A27" s="151">
        <v>44098</v>
      </c>
      <c r="B27" s="962"/>
      <c r="C27" s="962"/>
      <c r="D27" s="36" t="str">
        <f t="shared" si="3"/>
        <v/>
      </c>
      <c r="E27" s="234"/>
      <c r="F27" s="962"/>
      <c r="G27" s="962"/>
      <c r="H27" s="36" t="str">
        <f t="shared" si="4"/>
        <v/>
      </c>
      <c r="J27" s="972">
        <v>44098</v>
      </c>
      <c r="K27" s="452"/>
      <c r="L27" s="452"/>
      <c r="M27" s="971" t="str">
        <f t="shared" si="5"/>
        <v/>
      </c>
      <c r="N27" s="1274"/>
      <c r="O27" s="1274"/>
    </row>
    <row r="28" spans="1:16" ht="14.1" hidden="1" customHeight="1">
      <c r="A28" s="151">
        <v>44099</v>
      </c>
      <c r="B28" s="962"/>
      <c r="C28" s="962"/>
      <c r="D28" s="36" t="str">
        <f t="shared" si="3"/>
        <v/>
      </c>
      <c r="E28" s="234"/>
      <c r="F28" s="962"/>
      <c r="G28" s="962"/>
      <c r="H28" s="36" t="str">
        <f t="shared" si="4"/>
        <v/>
      </c>
      <c r="J28" s="972">
        <v>44099</v>
      </c>
      <c r="K28" s="452"/>
      <c r="L28" s="452"/>
      <c r="M28" s="971" t="str">
        <f t="shared" si="5"/>
        <v/>
      </c>
      <c r="N28" s="1274"/>
      <c r="O28" s="1274"/>
    </row>
    <row r="29" spans="1:16" ht="14.1" hidden="1" customHeight="1">
      <c r="A29" s="151">
        <v>44100</v>
      </c>
      <c r="B29" s="962"/>
      <c r="C29" s="962"/>
      <c r="D29" s="36" t="str">
        <f t="shared" si="3"/>
        <v/>
      </c>
      <c r="E29" s="234"/>
      <c r="F29" s="962"/>
      <c r="G29" s="962"/>
      <c r="H29" s="36" t="str">
        <f t="shared" si="4"/>
        <v/>
      </c>
      <c r="J29" s="972">
        <v>44100</v>
      </c>
      <c r="K29" s="452"/>
      <c r="L29" s="452"/>
      <c r="M29" s="971" t="str">
        <f t="shared" si="5"/>
        <v/>
      </c>
      <c r="N29" s="1274"/>
      <c r="O29" s="1274"/>
    </row>
    <row r="30" spans="1:16" ht="14.1" hidden="1" customHeight="1">
      <c r="A30" s="151">
        <v>44101</v>
      </c>
      <c r="B30" s="962"/>
      <c r="C30" s="962"/>
      <c r="D30" s="36" t="str">
        <f t="shared" si="3"/>
        <v/>
      </c>
      <c r="E30" s="234"/>
      <c r="F30" s="962"/>
      <c r="G30" s="962"/>
      <c r="H30" s="36" t="str">
        <f t="shared" si="4"/>
        <v/>
      </c>
      <c r="J30" s="972">
        <v>44101</v>
      </c>
      <c r="K30" s="452"/>
      <c r="L30" s="452"/>
      <c r="M30" s="971" t="str">
        <f t="shared" si="5"/>
        <v/>
      </c>
      <c r="N30" s="1274"/>
      <c r="O30" s="1274"/>
    </row>
    <row r="31" spans="1:16" ht="14.1" hidden="1" customHeight="1">
      <c r="A31" s="151">
        <v>44102</v>
      </c>
      <c r="B31" s="962"/>
      <c r="C31" s="962"/>
      <c r="D31" s="36" t="str">
        <f t="shared" si="3"/>
        <v/>
      </c>
      <c r="E31" s="234"/>
      <c r="F31" s="962"/>
      <c r="G31" s="962"/>
      <c r="H31" s="36" t="str">
        <f t="shared" si="4"/>
        <v/>
      </c>
      <c r="J31" s="972">
        <v>44102</v>
      </c>
      <c r="K31" s="452"/>
      <c r="L31" s="452"/>
      <c r="M31" s="971" t="str">
        <f t="shared" si="5"/>
        <v/>
      </c>
      <c r="N31" s="1274"/>
      <c r="O31" s="1274"/>
    </row>
    <row r="32" spans="1:16" ht="14.1" hidden="1" customHeight="1">
      <c r="A32" s="151">
        <v>44103</v>
      </c>
      <c r="B32" s="962"/>
      <c r="C32" s="962"/>
      <c r="D32" s="36" t="str">
        <f t="shared" si="3"/>
        <v/>
      </c>
      <c r="E32" s="234"/>
      <c r="F32" s="962"/>
      <c r="G32" s="962"/>
      <c r="H32" s="36" t="str">
        <f t="shared" si="4"/>
        <v/>
      </c>
      <c r="J32" s="972">
        <v>44103</v>
      </c>
      <c r="K32" s="452"/>
      <c r="L32" s="452"/>
      <c r="M32" s="971" t="str">
        <f t="shared" si="5"/>
        <v/>
      </c>
      <c r="N32" s="1274"/>
      <c r="O32" s="1274"/>
    </row>
    <row r="33" spans="1:15" ht="14.1" hidden="1" customHeight="1">
      <c r="A33" s="151">
        <v>44104</v>
      </c>
      <c r="B33" s="962"/>
      <c r="C33" s="962"/>
      <c r="D33" s="36" t="str">
        <f t="shared" si="3"/>
        <v/>
      </c>
      <c r="E33" s="234"/>
      <c r="F33" s="962"/>
      <c r="G33" s="962"/>
      <c r="H33" s="36" t="str">
        <f t="shared" si="4"/>
        <v/>
      </c>
      <c r="J33" s="972">
        <v>44104</v>
      </c>
      <c r="K33" s="452"/>
      <c r="L33" s="452"/>
      <c r="M33" s="971" t="str">
        <f t="shared" si="5"/>
        <v/>
      </c>
      <c r="N33" s="1274"/>
      <c r="O33" s="1274"/>
    </row>
    <row r="34" spans="1:15" ht="14.1" customHeight="1">
      <c r="A34" s="447" t="s">
        <v>420</v>
      </c>
      <c r="B34" s="35">
        <f>SUM(B4:B33)</f>
        <v>4105</v>
      </c>
      <c r="C34" s="35">
        <f>SUM(C4:C33)</f>
        <v>2940.75</v>
      </c>
      <c r="D34" s="35">
        <f>SUM(D4:D33)</f>
        <v>7045.7499999999991</v>
      </c>
      <c r="F34" s="35">
        <f>SUM(F4:F33)</f>
        <v>4320.5</v>
      </c>
      <c r="G34" s="35">
        <f>SUM(G4:G33)</f>
        <v>2940.75</v>
      </c>
      <c r="H34" s="35">
        <f>SUM(H4:H33)</f>
        <v>7261.2499999999991</v>
      </c>
      <c r="J34" s="973" t="s">
        <v>420</v>
      </c>
      <c r="K34" s="964">
        <f>SUM(K4:K33)</f>
        <v>1748.8</v>
      </c>
      <c r="L34" s="964">
        <f>SUM(L4:L33)</f>
        <v>3919.11</v>
      </c>
      <c r="M34" s="964">
        <f>SUM(M4:M33)</f>
        <v>5667.9100000000008</v>
      </c>
      <c r="N34" s="1272">
        <f>SUM(N4:O19)</f>
        <v>12380.219999999998</v>
      </c>
      <c r="O34" s="1273"/>
    </row>
    <row r="35" spans="1:15">
      <c r="A35" s="447"/>
      <c r="B35" s="35"/>
      <c r="C35" s="35"/>
    </row>
    <row r="36" spans="1:15">
      <c r="B36" s="35"/>
      <c r="C36" s="35"/>
    </row>
    <row r="37" spans="1:15">
      <c r="B37" s="35"/>
      <c r="C37" s="35"/>
    </row>
    <row r="38" spans="1:15">
      <c r="B38" s="35"/>
      <c r="C38" s="35"/>
    </row>
    <row r="39" spans="1:15">
      <c r="B39" s="35"/>
      <c r="C39" s="35"/>
    </row>
    <row r="40" spans="1:15">
      <c r="B40" s="35"/>
      <c r="C40" s="35"/>
    </row>
    <row r="41" spans="1:15">
      <c r="B41" s="35"/>
      <c r="C41" s="35"/>
    </row>
    <row r="42" spans="1:15">
      <c r="B42" s="35"/>
      <c r="C42" s="35"/>
    </row>
    <row r="43" spans="1:15">
      <c r="B43" s="35"/>
      <c r="C43" s="35"/>
    </row>
    <row r="44" spans="1:15">
      <c r="B44" s="35"/>
      <c r="C44" s="35"/>
    </row>
    <row r="45" spans="1:15">
      <c r="B45" s="35"/>
      <c r="C45" s="35"/>
    </row>
    <row r="46" spans="1:15">
      <c r="B46" s="35"/>
      <c r="C46" s="35"/>
    </row>
    <row r="47" spans="1:15">
      <c r="B47" s="35"/>
      <c r="C47" s="35"/>
    </row>
    <row r="48" spans="1:15">
      <c r="B48" s="35"/>
      <c r="C48" s="35"/>
    </row>
    <row r="49" spans="2:3">
      <c r="B49" s="35"/>
      <c r="C49" s="35"/>
    </row>
    <row r="50" spans="2:3">
      <c r="B50" s="35"/>
      <c r="C50" s="35"/>
    </row>
    <row r="51" spans="2:3">
      <c r="B51" s="35"/>
      <c r="C51" s="35"/>
    </row>
    <row r="52" spans="2:3">
      <c r="B52" s="35"/>
      <c r="C52" s="35"/>
    </row>
    <row r="53" spans="2:3">
      <c r="B53" s="35"/>
      <c r="C53" s="35"/>
    </row>
    <row r="54" spans="2:3">
      <c r="B54" s="35"/>
      <c r="C54" s="35"/>
    </row>
    <row r="55" spans="2:3">
      <c r="B55" s="35"/>
      <c r="C55" s="35"/>
    </row>
    <row r="56" spans="2:3">
      <c r="B56" s="35"/>
      <c r="C56" s="35"/>
    </row>
    <row r="57" spans="2:3">
      <c r="B57" s="35"/>
      <c r="C57" s="35"/>
    </row>
    <row r="58" spans="2:3">
      <c r="B58" s="35"/>
      <c r="C58" s="35"/>
    </row>
    <row r="59" spans="2:3">
      <c r="B59" s="35"/>
      <c r="C59" s="35"/>
    </row>
    <row r="60" spans="2:3">
      <c r="B60" s="35"/>
      <c r="C60" s="35"/>
    </row>
    <row r="61" spans="2:3">
      <c r="B61" s="35"/>
      <c r="C61" s="35"/>
    </row>
    <row r="62" spans="2:3">
      <c r="B62" s="35"/>
      <c r="C62" s="35"/>
    </row>
    <row r="63" spans="2:3">
      <c r="B63" s="35"/>
      <c r="C63" s="35"/>
    </row>
    <row r="64" spans="2:3">
      <c r="B64" s="35"/>
      <c r="C64" s="35"/>
    </row>
    <row r="65" spans="2:3">
      <c r="B65" s="35"/>
      <c r="C65" s="35"/>
    </row>
    <row r="66" spans="2:3">
      <c r="B66" s="35"/>
      <c r="C66" s="35"/>
    </row>
    <row r="67" spans="2:3">
      <c r="B67" s="35"/>
      <c r="C67" s="35"/>
    </row>
    <row r="68" spans="2:3">
      <c r="B68" s="35"/>
      <c r="C68" s="35"/>
    </row>
    <row r="69" spans="2:3">
      <c r="B69" s="35"/>
      <c r="C69" s="35"/>
    </row>
    <row r="70" spans="2:3">
      <c r="B70" s="35"/>
      <c r="C70" s="35"/>
    </row>
    <row r="71" spans="2:3">
      <c r="B71" s="35"/>
      <c r="C71" s="35"/>
    </row>
    <row r="72" spans="2:3">
      <c r="B72" s="35"/>
      <c r="C72" s="35"/>
    </row>
    <row r="73" spans="2:3">
      <c r="B73" s="35"/>
      <c r="C73" s="35"/>
    </row>
    <row r="74" spans="2:3">
      <c r="B74" s="35"/>
      <c r="C74" s="35"/>
    </row>
    <row r="75" spans="2:3">
      <c r="B75" s="35"/>
      <c r="C75" s="35"/>
    </row>
    <row r="76" spans="2:3">
      <c r="B76" s="35"/>
      <c r="C76" s="35"/>
    </row>
    <row r="77" spans="2:3">
      <c r="B77" s="35"/>
      <c r="C77" s="35"/>
    </row>
    <row r="78" spans="2:3">
      <c r="B78" s="35"/>
      <c r="C78" s="35"/>
    </row>
    <row r="79" spans="2:3">
      <c r="B79" s="35"/>
      <c r="C79" s="35"/>
    </row>
    <row r="80" spans="2:3">
      <c r="B80" s="35"/>
      <c r="C80" s="35"/>
    </row>
    <row r="81" spans="2:3">
      <c r="B81" s="35"/>
      <c r="C81" s="35"/>
    </row>
    <row r="82" spans="2:3">
      <c r="B82" s="35"/>
      <c r="C82" s="35"/>
    </row>
    <row r="83" spans="2:3">
      <c r="B83" s="35"/>
      <c r="C83" s="35"/>
    </row>
    <row r="84" spans="2:3">
      <c r="B84" s="35"/>
      <c r="C84" s="35"/>
    </row>
    <row r="85" spans="2:3">
      <c r="B85" s="35"/>
      <c r="C85" s="35"/>
    </row>
    <row r="86" spans="2:3">
      <c r="B86" s="35"/>
      <c r="C86" s="35"/>
    </row>
    <row r="87" spans="2:3">
      <c r="B87" s="35"/>
      <c r="C87" s="35"/>
    </row>
    <row r="88" spans="2:3">
      <c r="B88" s="35"/>
      <c r="C88" s="35"/>
    </row>
    <row r="89" spans="2:3">
      <c r="B89" s="35"/>
      <c r="C89" s="35"/>
    </row>
    <row r="90" spans="2:3">
      <c r="B90" s="35"/>
      <c r="C90" s="35"/>
    </row>
    <row r="91" spans="2:3">
      <c r="B91" s="35"/>
      <c r="C91" s="35"/>
    </row>
    <row r="92" spans="2:3">
      <c r="B92" s="35"/>
      <c r="C92" s="35"/>
    </row>
    <row r="93" spans="2:3">
      <c r="B93" s="35"/>
      <c r="C93" s="35"/>
    </row>
    <row r="94" spans="2:3">
      <c r="B94" s="35"/>
      <c r="C94" s="35"/>
    </row>
    <row r="95" spans="2:3">
      <c r="B95" s="35"/>
      <c r="C95" s="35"/>
    </row>
    <row r="96" spans="2:3">
      <c r="B96" s="35"/>
      <c r="C96" s="35"/>
    </row>
    <row r="97" spans="2:3">
      <c r="B97" s="35"/>
      <c r="C97" s="35"/>
    </row>
    <row r="98" spans="2:3">
      <c r="B98" s="35"/>
      <c r="C98" s="35"/>
    </row>
    <row r="99" spans="2:3">
      <c r="B99" s="35"/>
      <c r="C99" s="35"/>
    </row>
    <row r="100" spans="2:3">
      <c r="B100" s="35"/>
      <c r="C100" s="35"/>
    </row>
    <row r="101" spans="2:3">
      <c r="B101" s="35"/>
      <c r="C101" s="35"/>
    </row>
    <row r="102" spans="2:3">
      <c r="B102" s="35"/>
      <c r="C102" s="35"/>
    </row>
    <row r="103" spans="2:3">
      <c r="B103" s="35"/>
      <c r="C103" s="35"/>
    </row>
    <row r="104" spans="2:3">
      <c r="B104" s="35"/>
      <c r="C104" s="35"/>
    </row>
    <row r="105" spans="2:3">
      <c r="B105" s="35"/>
      <c r="C105" s="35"/>
    </row>
    <row r="106" spans="2:3">
      <c r="B106" s="35"/>
      <c r="C106" s="35"/>
    </row>
    <row r="107" spans="2:3">
      <c r="B107" s="35"/>
      <c r="C107" s="35"/>
    </row>
    <row r="108" spans="2:3">
      <c r="B108" s="35"/>
      <c r="C108" s="35"/>
    </row>
    <row r="109" spans="2:3">
      <c r="B109" s="35"/>
      <c r="C109" s="35"/>
    </row>
  </sheetData>
  <mergeCells count="37">
    <mergeCell ref="N4:O4"/>
    <mergeCell ref="J1:O1"/>
    <mergeCell ref="J2:M2"/>
    <mergeCell ref="N2:O3"/>
    <mergeCell ref="A1:H1"/>
    <mergeCell ref="A2:D2"/>
    <mergeCell ref="F2:H2"/>
    <mergeCell ref="N27:O27"/>
    <mergeCell ref="N28:O28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16:O16"/>
    <mergeCell ref="N5:O5"/>
    <mergeCell ref="N6:O6"/>
    <mergeCell ref="N7:O7"/>
    <mergeCell ref="N8:O8"/>
    <mergeCell ref="N9:O9"/>
    <mergeCell ref="N11:O11"/>
    <mergeCell ref="N12:O12"/>
    <mergeCell ref="N13:O13"/>
    <mergeCell ref="N14:O14"/>
    <mergeCell ref="N15:O15"/>
    <mergeCell ref="N10:O10"/>
    <mergeCell ref="N34:O34"/>
    <mergeCell ref="N29:O29"/>
    <mergeCell ref="N30:O30"/>
    <mergeCell ref="N31:O31"/>
    <mergeCell ref="N32:O32"/>
    <mergeCell ref="N33:O33"/>
  </mergeCells>
  <conditionalFormatting sqref="N4:N19">
    <cfRule type="expression" dxfId="17" priority="1">
      <formula>$B4=7</formula>
    </cfRule>
    <cfRule type="expression" dxfId="16" priority="2">
      <formula>$B4=6</formula>
    </cfRule>
  </conditionalFormatting>
  <pageMargins left="0.7" right="0.7" top="0.75" bottom="0.75" header="0.3" footer="0.3"/>
  <pageSetup paperSize="11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3"/>
  <sheetViews>
    <sheetView view="pageBreakPreview" zoomScale="70" zoomScaleNormal="85" zoomScaleSheetLayoutView="70" zoomScalePageLayoutView="70" workbookViewId="0">
      <selection activeCell="O57" sqref="O5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1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440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1043"/>
      <c r="O2" s="1041"/>
      <c r="P2" s="1041"/>
      <c r="Q2" s="1041"/>
      <c r="R2" s="366"/>
      <c r="S2" s="1041"/>
      <c r="T2" s="1041"/>
      <c r="U2" s="1041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1043"/>
      <c r="O3" s="366"/>
      <c r="P3" s="366"/>
      <c r="Q3" s="366"/>
      <c r="R3" s="366"/>
      <c r="S3" s="366"/>
      <c r="T3" s="366"/>
      <c r="U3" s="366"/>
      <c r="V3" s="1041"/>
      <c r="W3" s="1041"/>
      <c r="X3" s="366"/>
      <c r="Y3" s="1041"/>
      <c r="Z3" s="668"/>
      <c r="AA3" s="366"/>
      <c r="AB3" s="366"/>
      <c r="AC3" s="366"/>
      <c r="AD3" s="1041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1038" t="s">
        <v>34</v>
      </c>
      <c r="C4" s="36" t="s">
        <v>35</v>
      </c>
      <c r="D4" s="36" t="s">
        <v>38</v>
      </c>
      <c r="E4" s="36" t="s">
        <v>42</v>
      </c>
      <c r="F4" s="1038" t="s">
        <v>36</v>
      </c>
      <c r="G4" s="100" t="s">
        <v>173</v>
      </c>
      <c r="H4" s="715" t="s">
        <v>2</v>
      </c>
      <c r="I4" s="1234" t="s">
        <v>34</v>
      </c>
      <c r="J4" s="1234"/>
      <c r="K4" s="1045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44167</v>
      </c>
      <c r="B5" s="161" t="s">
        <v>257</v>
      </c>
      <c r="C5" s="275">
        <v>727.14</v>
      </c>
      <c r="D5" s="275">
        <v>727.14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1060" customFormat="1">
      <c r="A6" s="1054"/>
      <c r="B6" s="167" t="s">
        <v>363</v>
      </c>
      <c r="C6" s="1053">
        <v>75</v>
      </c>
      <c r="D6" s="1053">
        <v>75</v>
      </c>
      <c r="E6" s="1006" t="str">
        <f t="shared" si="0"/>
        <v/>
      </c>
      <c r="F6" s="167" t="str">
        <f t="shared" si="1"/>
        <v>оплачено</v>
      </c>
      <c r="G6" s="167" t="s">
        <v>131</v>
      </c>
      <c r="H6" s="1055"/>
      <c r="I6" s="1279"/>
      <c r="J6" s="1280"/>
      <c r="K6" s="1056"/>
      <c r="L6" s="1281"/>
      <c r="M6" s="1282"/>
      <c r="N6" s="1057"/>
      <c r="O6" s="1058"/>
      <c r="P6" s="1057"/>
      <c r="Q6" s="1058"/>
      <c r="R6" s="1057"/>
      <c r="S6" s="1059"/>
      <c r="T6" s="1057"/>
      <c r="U6" s="1058"/>
      <c r="V6" s="1057"/>
      <c r="W6" s="1057"/>
      <c r="X6" s="1057"/>
      <c r="Y6" s="1059"/>
      <c r="Z6" s="1057"/>
      <c r="AA6" s="1057"/>
      <c r="AB6" s="1057"/>
      <c r="AC6" s="1057"/>
      <c r="AD6" s="1059"/>
      <c r="AE6" s="1057"/>
      <c r="AF6" s="1191"/>
      <c r="AG6" s="1191"/>
      <c r="AH6" s="1057"/>
      <c r="AI6" s="1057"/>
    </row>
    <row r="7" spans="1:35" s="86" customFormat="1">
      <c r="A7" s="325">
        <v>44180</v>
      </c>
      <c r="B7" s="161" t="s">
        <v>257</v>
      </c>
      <c r="C7" s="275">
        <v>411.32</v>
      </c>
      <c r="D7" s="275">
        <v>411.32</v>
      </c>
      <c r="E7" s="576" t="str">
        <f t="shared" si="0"/>
        <v/>
      </c>
      <c r="F7" s="162" t="str">
        <f t="shared" si="1"/>
        <v>оплачено</v>
      </c>
      <c r="G7" s="161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44173</v>
      </c>
      <c r="B8" s="161" t="s">
        <v>257</v>
      </c>
      <c r="C8" s="275">
        <v>364.39</v>
      </c>
      <c r="D8" s="275">
        <v>364.39</v>
      </c>
      <c r="E8" s="576" t="str">
        <f t="shared" si="0"/>
        <v/>
      </c>
      <c r="F8" s="162" t="str">
        <f t="shared" si="1"/>
        <v>оплачено</v>
      </c>
      <c r="G8" s="161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44166</v>
      </c>
      <c r="B9" s="161" t="s">
        <v>155</v>
      </c>
      <c r="C9" s="275">
        <v>66.349999999999994</v>
      </c>
      <c r="D9" s="275">
        <v>66.349999999999994</v>
      </c>
      <c r="E9" s="673" t="str">
        <f t="shared" si="0"/>
        <v/>
      </c>
      <c r="F9" s="161" t="str">
        <f t="shared" si="1"/>
        <v>оплачено</v>
      </c>
      <c r="G9" s="161" t="s">
        <v>219</v>
      </c>
      <c r="H9" s="717"/>
      <c r="I9" s="1244"/>
      <c r="J9" s="1245"/>
      <c r="K9" s="481"/>
      <c r="L9" s="1248"/>
      <c r="M9" s="1249"/>
      <c r="N9" s="1052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.75" customHeight="1">
      <c r="A10" s="325">
        <v>44167</v>
      </c>
      <c r="B10" s="161" t="s">
        <v>444</v>
      </c>
      <c r="C10" s="275">
        <v>355.07</v>
      </c>
      <c r="D10" s="275">
        <v>355.07</v>
      </c>
      <c r="E10" s="673" t="str">
        <f t="shared" si="0"/>
        <v/>
      </c>
      <c r="F10" s="161" t="str">
        <f t="shared" si="1"/>
        <v>оплачено</v>
      </c>
      <c r="G10" s="161" t="s">
        <v>219</v>
      </c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s="86" customFormat="1" ht="15.75" customHeight="1">
      <c r="A11" s="325">
        <v>44186</v>
      </c>
      <c r="B11" s="161" t="s">
        <v>448</v>
      </c>
      <c r="C11" s="275">
        <v>183.83</v>
      </c>
      <c r="D11" s="275">
        <v>183.83</v>
      </c>
      <c r="E11" s="673" t="str">
        <f t="shared" si="0"/>
        <v/>
      </c>
      <c r="F11" s="161" t="str">
        <f t="shared" si="1"/>
        <v>оплачено</v>
      </c>
      <c r="G11" s="161"/>
      <c r="H11" s="717"/>
      <c r="I11" s="1244"/>
      <c r="J11" s="1245"/>
      <c r="K11" s="481"/>
      <c r="L11" s="1248"/>
      <c r="M11" s="1249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s="86" customFormat="1" ht="14.25" customHeight="1">
      <c r="A12" s="325">
        <v>44194</v>
      </c>
      <c r="B12" s="161" t="s">
        <v>354</v>
      </c>
      <c r="C12" s="275">
        <v>817.05</v>
      </c>
      <c r="D12" s="275">
        <v>817.05</v>
      </c>
      <c r="E12" s="673" t="str">
        <f t="shared" si="0"/>
        <v/>
      </c>
      <c r="F12" s="161" t="str">
        <f t="shared" si="1"/>
        <v>оплачено</v>
      </c>
      <c r="G12" s="161"/>
      <c r="H12" s="717"/>
      <c r="I12" s="1244"/>
      <c r="J12" s="1245"/>
      <c r="K12" s="481"/>
      <c r="L12" s="1248"/>
      <c r="M12" s="1249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3000.1499999999996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1042" t="s">
        <v>21</v>
      </c>
      <c r="K22" s="1042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5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>
      <c r="A36" s="339"/>
      <c r="B36" s="199"/>
      <c r="C36" s="1"/>
      <c r="D36" s="273"/>
      <c r="E36" s="366"/>
      <c r="F36" s="366"/>
      <c r="G36" s="366"/>
      <c r="H36" s="347" t="s">
        <v>162</v>
      </c>
      <c r="I36" s="728">
        <v>25796.49</v>
      </c>
      <c r="J36" s="438">
        <f>2.2+22+11+100+1+324+64.2+163+106+6+211.5+238+369+166+327.5+1+30+198</f>
        <v>2340.4</v>
      </c>
      <c r="K36" s="645">
        <v>1417.21</v>
      </c>
      <c r="L36" s="1000">
        <f>1442+786+491+108+201+501+256+1197+2570+42+883.5+330+192+1658+539+1550.5+1020.5+410+1497+230+17+879+290.5+569+1403.5+696+517+2100+1076.5+482+811</f>
        <v>24746</v>
      </c>
      <c r="M36" s="104">
        <f>M35-I36-J36-K36+L36</f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>
      <c r="A37" s="339"/>
      <c r="B37" s="199"/>
      <c r="C37" s="1"/>
      <c r="D37" s="273"/>
      <c r="E37" s="366"/>
      <c r="F37" s="366"/>
      <c r="G37" s="366"/>
      <c r="H37" s="379" t="s">
        <v>163</v>
      </c>
      <c r="I37" s="660">
        <v>26221.170000000002</v>
      </c>
      <c r="J37" s="432">
        <f>16.8+18.5+21+481+291+23+197.5+70.2+18+706.5+91+23+42+175+2+617+9+611</f>
        <v>3413.5</v>
      </c>
      <c r="K37" s="773">
        <f>538.23+638.25</f>
        <v>1176.48</v>
      </c>
      <c r="L37" s="1290">
        <f>600+18+110+3039+866+639+533.5+48+72+1216+449.5+602+112+5408+228+20+1228+80+1766.5+1774+202+236+466+411.5+30.5+195+5659.5+327.5</f>
        <v>26337.5</v>
      </c>
      <c r="M37" s="104">
        <f>M35-I37-J37-K37+L37</f>
        <v>78626.700000000012</v>
      </c>
      <c r="N37" s="1"/>
      <c r="O37" s="448"/>
      <c r="P37" s="84"/>
      <c r="Q37" s="145"/>
      <c r="R37" s="84"/>
      <c r="S37" s="571"/>
      <c r="T37" s="86"/>
      <c r="U37" s="86"/>
      <c r="V37" s="86"/>
      <c r="W37" s="86"/>
      <c r="X37" s="86"/>
      <c r="Y37" s="366"/>
      <c r="Z37" s="366"/>
    </row>
    <row r="38" spans="1:26" ht="12.75" customHeight="1" thickBot="1">
      <c r="A38" s="339"/>
      <c r="B38" s="199"/>
      <c r="C38" s="1"/>
      <c r="D38" s="273"/>
      <c r="E38" s="366"/>
      <c r="F38" s="366"/>
      <c r="G38" s="366"/>
      <c r="H38" s="646" t="s">
        <v>192</v>
      </c>
      <c r="I38" s="661">
        <v>25688.519999999993</v>
      </c>
      <c r="J38" s="648">
        <f>41+87+50.5+210+23.5+38+126+28.2+92.2+278.5+147.5</f>
        <v>1122.4000000000001</v>
      </c>
      <c r="K38" s="649">
        <v>929.44</v>
      </c>
      <c r="L38" s="981">
        <f>46+773+1131+329+628.5+1201+628.5+1037+56+222+428+150+1972+3098+1100.5+1593.5+138.5+165+921+1224+272.5+527+292.5</f>
        <v>17934.5</v>
      </c>
      <c r="M38" s="104">
        <f>M36-I38-J38-K38+L38</f>
        <v>68486.390000000014</v>
      </c>
      <c r="N38" s="1"/>
      <c r="O38" s="448"/>
      <c r="P38" s="84"/>
      <c r="Q38" s="145"/>
      <c r="R38" s="84"/>
      <c r="S38" s="571"/>
      <c r="T38" s="86"/>
      <c r="U38" s="86"/>
      <c r="V38" s="86"/>
      <c r="W38" s="86"/>
      <c r="X38" s="86"/>
      <c r="Y38" s="366"/>
      <c r="Z38" s="366"/>
    </row>
    <row r="39" spans="1:26" ht="12.75" customHeight="1" thickTop="1">
      <c r="A39" s="339"/>
      <c r="B39" s="199"/>
      <c r="C39" s="1"/>
      <c r="D39" s="273"/>
      <c r="E39" s="84"/>
      <c r="F39" s="366"/>
      <c r="G39" s="366"/>
      <c r="H39" s="1152" t="s">
        <v>36</v>
      </c>
      <c r="I39" s="1154" t="s">
        <v>178</v>
      </c>
      <c r="J39" s="1155"/>
      <c r="K39" s="1156"/>
      <c r="L39" s="1160" t="s">
        <v>159</v>
      </c>
      <c r="M39" s="1160"/>
      <c r="N39" s="786" t="s">
        <v>370</v>
      </c>
      <c r="O39" s="448"/>
      <c r="P39" s="84"/>
      <c r="Q39" s="145"/>
      <c r="R39" s="145"/>
      <c r="S39" s="86"/>
      <c r="T39" s="86"/>
      <c r="U39" s="86"/>
      <c r="V39" s="86"/>
      <c r="W39" s="86"/>
      <c r="X39" s="86"/>
      <c r="Y39" s="366"/>
      <c r="Z39" s="366"/>
    </row>
    <row r="40" spans="1:26" ht="13.5" customHeight="1">
      <c r="A40" s="339"/>
      <c r="B40" s="199"/>
      <c r="C40" s="284"/>
      <c r="D40" s="273"/>
      <c r="E40" s="284"/>
      <c r="F40" s="366"/>
      <c r="G40" s="378"/>
      <c r="H40" s="1153"/>
      <c r="I40" s="1157"/>
      <c r="J40" s="1158"/>
      <c r="K40" s="1159"/>
      <c r="L40" s="1162"/>
      <c r="M40" s="1162"/>
      <c r="N40" s="787" t="s">
        <v>189</v>
      </c>
      <c r="O40" s="448"/>
      <c r="P40" s="84"/>
      <c r="Q40" s="145"/>
      <c r="R40" s="84"/>
      <c r="S40" s="86"/>
      <c r="T40" s="86"/>
      <c r="U40" s="86"/>
      <c r="V40" s="294"/>
      <c r="W40" s="86"/>
      <c r="X40" s="86"/>
      <c r="Y40" s="366"/>
      <c r="Z40" s="366"/>
    </row>
    <row r="41" spans="1:26" ht="15.75" customHeight="1">
      <c r="A41" s="339"/>
      <c r="B41" s="199"/>
      <c r="C41" s="199"/>
      <c r="D41" s="273"/>
      <c r="E41" s="199"/>
      <c r="F41" s="366"/>
      <c r="G41" s="378"/>
      <c r="H41" s="529" t="s">
        <v>250</v>
      </c>
      <c r="I41" s="1231" t="s">
        <v>47</v>
      </c>
      <c r="J41" s="1231"/>
      <c r="K41" s="1045">
        <f>328.13+11.74</f>
        <v>339.87</v>
      </c>
      <c r="L41" s="282">
        <v>44180</v>
      </c>
      <c r="M41" s="1" t="s">
        <v>426</v>
      </c>
      <c r="N41" s="788">
        <v>132</v>
      </c>
      <c r="O41" s="448" t="s">
        <v>445</v>
      </c>
      <c r="P41" s="84"/>
      <c r="Q41" s="145"/>
      <c r="R41" s="84"/>
      <c r="S41" s="86"/>
      <c r="T41" s="86"/>
      <c r="U41" s="86"/>
      <c r="V41" s="294"/>
      <c r="W41" s="86"/>
      <c r="X41" s="86"/>
      <c r="Y41" s="366"/>
      <c r="Z41" s="366"/>
    </row>
    <row r="42" spans="1:26">
      <c r="A42" s="339"/>
      <c r="B42" s="366"/>
      <c r="C42" s="274"/>
      <c r="D42" s="273"/>
      <c r="E42" s="274"/>
      <c r="F42" s="366"/>
      <c r="G42" s="366"/>
      <c r="H42" s="529" t="s">
        <v>250</v>
      </c>
      <c r="I42" s="1229" t="s">
        <v>51</v>
      </c>
      <c r="J42" s="1229"/>
      <c r="K42" s="1044">
        <v>71.83</v>
      </c>
      <c r="L42" s="282">
        <v>44180</v>
      </c>
      <c r="M42" s="1" t="s">
        <v>426</v>
      </c>
      <c r="N42" s="789">
        <v>40</v>
      </c>
      <c r="O42" s="448"/>
      <c r="P42" s="84"/>
      <c r="Q42" s="145"/>
      <c r="R42" s="273"/>
      <c r="S42" s="366"/>
      <c r="T42" s="86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199"/>
      <c r="F43" s="366"/>
      <c r="G43" s="366"/>
      <c r="H43" s="529" t="s">
        <v>250</v>
      </c>
      <c r="I43" s="1229" t="s">
        <v>52</v>
      </c>
      <c r="J43" s="1229"/>
      <c r="K43" s="1044">
        <v>5.63</v>
      </c>
      <c r="L43" s="282">
        <v>44180</v>
      </c>
      <c r="M43" s="1" t="s">
        <v>426</v>
      </c>
      <c r="N43" s="789">
        <v>3</v>
      </c>
      <c r="O43" s="448"/>
      <c r="P43" s="84"/>
      <c r="Q43" s="145"/>
      <c r="R43" s="273"/>
      <c r="S43" s="366"/>
      <c r="T43" s="294"/>
      <c r="U43" s="86"/>
      <c r="V43" s="366"/>
      <c r="W43" s="294"/>
      <c r="X43" s="294"/>
      <c r="Y43" s="366"/>
    </row>
    <row r="44" spans="1:26">
      <c r="A44" s="340"/>
      <c r="B44" s="366"/>
      <c r="C44" s="366"/>
      <c r="D44" s="273"/>
      <c r="E44" s="366"/>
      <c r="F44" s="366"/>
      <c r="G44" s="366"/>
      <c r="H44" s="529" t="s">
        <v>250</v>
      </c>
      <c r="I44" s="1229" t="s">
        <v>49</v>
      </c>
      <c r="J44" s="1248"/>
      <c r="K44" s="1044">
        <v>314</v>
      </c>
      <c r="L44" s="294">
        <v>44185</v>
      </c>
      <c r="M44" s="1" t="s">
        <v>442</v>
      </c>
      <c r="N44" s="788">
        <v>200</v>
      </c>
      <c r="O44" s="448"/>
      <c r="P44" s="947"/>
      <c r="Q44" s="145"/>
      <c r="R44" s="1041"/>
      <c r="S44" s="366"/>
      <c r="T44" s="294"/>
      <c r="U44" s="86"/>
      <c r="V44" s="294"/>
      <c r="W44" s="294"/>
      <c r="X44" s="294"/>
      <c r="Y44" s="366"/>
    </row>
    <row r="45" spans="1:26">
      <c r="A45" s="340"/>
      <c r="B45" s="366"/>
      <c r="C45" s="366"/>
      <c r="D45" s="273"/>
      <c r="E45" s="366"/>
      <c r="F45" s="366"/>
      <c r="G45" s="366"/>
      <c r="H45" s="529" t="s">
        <v>250</v>
      </c>
      <c r="I45" s="1230" t="s">
        <v>59</v>
      </c>
      <c r="J45" s="1218"/>
      <c r="K45" s="455">
        <v>107.9</v>
      </c>
      <c r="L45" s="302" t="s">
        <v>177</v>
      </c>
      <c r="M45" s="1" t="s">
        <v>426</v>
      </c>
      <c r="N45" s="790">
        <v>102.73</v>
      </c>
      <c r="O45" s="1005"/>
      <c r="P45" s="942"/>
      <c r="Q45" s="145"/>
      <c r="R45" s="567"/>
      <c r="S45" s="366"/>
      <c r="T45" s="294"/>
      <c r="U45" s="86"/>
      <c r="V45" s="294"/>
      <c r="W45" s="366"/>
      <c r="X45" s="366"/>
      <c r="Y45" s="366"/>
    </row>
    <row r="46" spans="1:26">
      <c r="A46" s="340"/>
      <c r="B46" s="199"/>
      <c r="C46" s="199"/>
      <c r="D46" s="273"/>
      <c r="E46" s="199"/>
      <c r="F46" s="366"/>
      <c r="G46" s="366"/>
      <c r="H46" s="529" t="s">
        <v>250</v>
      </c>
      <c r="I46" s="1218" t="s">
        <v>68</v>
      </c>
      <c r="J46" s="1259"/>
      <c r="K46" s="1044">
        <v>344.02</v>
      </c>
      <c r="L46" s="294">
        <v>44185</v>
      </c>
      <c r="M46" s="1" t="s">
        <v>426</v>
      </c>
      <c r="N46" s="790">
        <f>K46/2</f>
        <v>172.01</v>
      </c>
      <c r="O46" s="448"/>
      <c r="P46" s="444"/>
      <c r="Q46" s="363"/>
      <c r="R46" s="1041"/>
      <c r="S46" s="366"/>
      <c r="T46" s="366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199"/>
      <c r="F47" s="366"/>
      <c r="G47" s="366"/>
      <c r="H47" s="529" t="s">
        <v>250</v>
      </c>
      <c r="I47" s="1046" t="s">
        <v>174</v>
      </c>
      <c r="J47" s="1048"/>
      <c r="K47" s="476">
        <f>180.88+409.89</f>
        <v>590.77</v>
      </c>
      <c r="L47" s="282">
        <v>44180</v>
      </c>
      <c r="M47" s="1" t="s">
        <v>426</v>
      </c>
      <c r="N47" s="791">
        <f>K47</f>
        <v>590.77</v>
      </c>
      <c r="O47" s="12"/>
      <c r="P47" s="1025"/>
      <c r="Q47" s="363"/>
      <c r="R47" s="365"/>
      <c r="S47" s="366"/>
      <c r="T47" s="294"/>
      <c r="U47" s="294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199"/>
      <c r="F48" s="366"/>
      <c r="G48" s="366"/>
      <c r="H48" s="1033" t="s">
        <v>366</v>
      </c>
      <c r="I48" s="1046" t="s">
        <v>176</v>
      </c>
      <c r="J48" s="1048"/>
      <c r="K48" s="455" t="s">
        <v>385</v>
      </c>
      <c r="L48" s="294">
        <v>44185</v>
      </c>
      <c r="M48" s="1" t="s">
        <v>426</v>
      </c>
      <c r="N48" s="789" t="str">
        <f>K48</f>
        <v>НЕТ</v>
      </c>
      <c r="O48" s="448"/>
      <c r="P48" s="84"/>
      <c r="Q48" s="363"/>
      <c r="R48" s="365"/>
      <c r="S48" s="366"/>
      <c r="T48" s="294"/>
      <c r="U48" s="294"/>
      <c r="V48" s="294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218" t="s">
        <v>81</v>
      </c>
      <c r="J49" s="1219"/>
      <c r="K49" s="1044">
        <v>1518.8</v>
      </c>
      <c r="L49" s="282">
        <v>44180</v>
      </c>
      <c r="M49" s="1" t="s">
        <v>426</v>
      </c>
      <c r="N49" s="789">
        <f>K49/2</f>
        <v>759.4</v>
      </c>
      <c r="O49" s="145"/>
      <c r="P49" s="84"/>
      <c r="Q49" s="84"/>
      <c r="R49" s="84"/>
      <c r="S49" s="84"/>
      <c r="T49" s="294"/>
      <c r="U49" s="366"/>
      <c r="V49" s="294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218" t="s">
        <v>181</v>
      </c>
      <c r="J50" s="1219"/>
      <c r="K50" s="1044">
        <v>10</v>
      </c>
      <c r="L50" s="282">
        <v>44180</v>
      </c>
      <c r="M50" s="1" t="s">
        <v>426</v>
      </c>
      <c r="N50" s="791">
        <f>K50</f>
        <v>10</v>
      </c>
      <c r="O50" s="127"/>
      <c r="P50" s="145"/>
      <c r="Q50" s="363"/>
      <c r="R50" s="366"/>
      <c r="S50" s="366"/>
      <c r="T50" s="294"/>
      <c r="U50" s="294"/>
      <c r="V50" s="366"/>
      <c r="W50" s="294"/>
      <c r="X50" s="294"/>
      <c r="Y50" s="366"/>
    </row>
    <row r="51" spans="1:25">
      <c r="A51" s="340" t="s">
        <v>343</v>
      </c>
      <c r="B51" s="199"/>
      <c r="C51" s="366"/>
      <c r="D51" s="273"/>
      <c r="E51" s="232"/>
      <c r="F51" s="366"/>
      <c r="G51" s="366"/>
      <c r="H51" s="529" t="s">
        <v>250</v>
      </c>
      <c r="I51" s="1146" t="s">
        <v>61</v>
      </c>
      <c r="J51" s="1146"/>
      <c r="K51" s="1007">
        <v>788.34</v>
      </c>
      <c r="L51" s="294">
        <v>44185</v>
      </c>
      <c r="M51" s="1" t="s">
        <v>426</v>
      </c>
      <c r="N51" s="789"/>
      <c r="P51" s="84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146" t="s">
        <v>298</v>
      </c>
      <c r="J52" s="1146"/>
      <c r="K52" s="1289">
        <f>224.1-147.3</f>
        <v>76.799999999999983</v>
      </c>
      <c r="L52" s="294">
        <v>44185</v>
      </c>
      <c r="M52" s="1" t="s">
        <v>426</v>
      </c>
      <c r="N52" s="788">
        <v>40</v>
      </c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146" t="s">
        <v>299</v>
      </c>
      <c r="J53" s="1146"/>
      <c r="K53" s="93">
        <v>50</v>
      </c>
      <c r="L53" s="282">
        <v>44180</v>
      </c>
      <c r="M53" s="1" t="s">
        <v>426</v>
      </c>
      <c r="N53" s="789">
        <v>50</v>
      </c>
      <c r="P53" s="145"/>
      <c r="Q53" s="273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 t="s">
        <v>250</v>
      </c>
      <c r="I54" s="1146" t="s">
        <v>300</v>
      </c>
      <c r="J54" s="1146"/>
      <c r="K54" s="93">
        <v>150</v>
      </c>
      <c r="L54" s="282">
        <v>44195</v>
      </c>
      <c r="M54" s="1" t="s">
        <v>426</v>
      </c>
      <c r="N54" s="789">
        <v>150</v>
      </c>
      <c r="O54" s="12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>
      <c r="A55" s="340"/>
      <c r="B55" s="199"/>
      <c r="C55" s="366"/>
      <c r="D55" s="273"/>
      <c r="E55" s="232"/>
      <c r="F55" s="366"/>
      <c r="G55" s="366"/>
      <c r="H55" s="529" t="s">
        <v>250</v>
      </c>
      <c r="I55" s="1146" t="s">
        <v>325</v>
      </c>
      <c r="J55" s="1146"/>
      <c r="K55" s="93">
        <v>18</v>
      </c>
      <c r="L55" s="282">
        <v>44180</v>
      </c>
      <c r="M55" s="1" t="s">
        <v>426</v>
      </c>
      <c r="N55" s="790">
        <v>9</v>
      </c>
      <c r="O55" s="150"/>
      <c r="P55" s="145"/>
      <c r="Q55" s="365"/>
      <c r="R55" s="365"/>
      <c r="S55" s="366"/>
      <c r="T55" s="294"/>
      <c r="U55" s="294"/>
      <c r="V55" s="366"/>
      <c r="W55" s="294"/>
      <c r="X55" s="294"/>
      <c r="Y55" s="366"/>
    </row>
    <row r="56" spans="1:25">
      <c r="A56" s="340"/>
      <c r="B56" s="199"/>
      <c r="C56" s="366"/>
      <c r="D56" s="273"/>
      <c r="E56" s="232"/>
      <c r="F56" s="366"/>
      <c r="G56" s="366"/>
      <c r="H56" s="529" t="s">
        <v>250</v>
      </c>
      <c r="I56" s="1150" t="s">
        <v>374</v>
      </c>
      <c r="J56" s="1151"/>
      <c r="K56" s="145">
        <v>772.15</v>
      </c>
      <c r="L56" s="282">
        <v>44195</v>
      </c>
      <c r="M56" s="1" t="s">
        <v>426</v>
      </c>
      <c r="N56" s="810">
        <f>K56</f>
        <v>772.15</v>
      </c>
      <c r="O56" s="150"/>
      <c r="P56" s="145"/>
      <c r="Q56" s="365"/>
      <c r="R56" s="365"/>
      <c r="S56" s="366"/>
      <c r="T56" s="294"/>
      <c r="U56" s="294"/>
      <c r="V56" s="366"/>
      <c r="W56" s="294"/>
      <c r="X56" s="294"/>
      <c r="Y56" s="366"/>
    </row>
    <row r="57" spans="1:25" ht="15.75" thickBot="1">
      <c r="A57" s="341"/>
      <c r="B57" s="330"/>
      <c r="C57" s="331"/>
      <c r="D57" s="342"/>
      <c r="E57" s="330"/>
      <c r="F57" s="331"/>
      <c r="G57" s="331"/>
      <c r="H57" s="1257" t="s">
        <v>179</v>
      </c>
      <c r="I57" s="1237"/>
      <c r="J57" s="361">
        <f>SUM(K41:K56)</f>
        <v>5158.1099999999997</v>
      </c>
      <c r="K57" s="1147" t="s">
        <v>180</v>
      </c>
      <c r="L57" s="1147"/>
      <c r="M57" s="785">
        <v>0</v>
      </c>
      <c r="N57" s="792">
        <f>SUM(N41:N56)</f>
        <v>3031.06</v>
      </c>
      <c r="P57" s="145"/>
      <c r="Q57" s="365"/>
      <c r="R57" s="366"/>
      <c r="S57" s="366"/>
      <c r="T57" s="294"/>
      <c r="U57" s="366"/>
      <c r="V57" s="366"/>
      <c r="W57" s="366"/>
      <c r="X57" s="366"/>
      <c r="Y57" s="366"/>
    </row>
    <row r="58" spans="1:25" ht="15.75" thickTop="1">
      <c r="A58" s="366"/>
      <c r="B58" s="366"/>
      <c r="C58" s="366"/>
      <c r="D58" s="366"/>
      <c r="E58" s="366"/>
      <c r="F58" s="366"/>
      <c r="G58" s="366"/>
      <c r="H58" s="1210"/>
      <c r="I58" s="1210"/>
      <c r="J58" s="1210"/>
      <c r="K58" s="1210"/>
      <c r="L58" s="366"/>
      <c r="M58" s="442"/>
      <c r="N58" s="1"/>
      <c r="P58" s="145"/>
      <c r="Q58" s="365"/>
      <c r="R58" s="366"/>
      <c r="S58" s="366"/>
      <c r="T58" s="366"/>
      <c r="U58" s="366"/>
      <c r="V58" s="366"/>
      <c r="W58" s="366"/>
      <c r="X58" s="366"/>
      <c r="Y58" s="366"/>
    </row>
    <row r="59" spans="1:25" ht="15" customHeight="1">
      <c r="A59" s="1211" t="s">
        <v>441</v>
      </c>
      <c r="B59" s="1211"/>
      <c r="C59" s="1211"/>
      <c r="D59" s="1211"/>
      <c r="E59" s="1211"/>
      <c r="F59" s="1211"/>
      <c r="G59" s="1211"/>
      <c r="H59" s="1211"/>
      <c r="I59" s="1211"/>
      <c r="J59" s="1211"/>
      <c r="K59" s="1211"/>
      <c r="L59" s="1211"/>
      <c r="M59" s="1211"/>
      <c r="N59" s="1"/>
      <c r="O59" s="150"/>
      <c r="P59" s="145"/>
      <c r="Q59" s="365"/>
      <c r="R59" s="366"/>
      <c r="S59" s="366"/>
      <c r="T59" s="366"/>
      <c r="U59" s="366"/>
      <c r="V59" s="366"/>
      <c r="W59" s="366"/>
      <c r="X59" s="366"/>
    </row>
    <row r="60" spans="1:25" ht="15.75" customHeight="1" thickBot="1">
      <c r="A60" s="1212"/>
      <c r="B60" s="1212"/>
      <c r="C60" s="1212"/>
      <c r="D60" s="1212"/>
      <c r="E60" s="1212"/>
      <c r="F60" s="1212"/>
      <c r="G60" s="1212"/>
      <c r="H60" s="1212"/>
      <c r="I60" s="1212"/>
      <c r="J60" s="1212"/>
      <c r="K60" s="1212"/>
      <c r="L60" s="1212"/>
      <c r="M60" s="1212"/>
      <c r="N60" s="1"/>
      <c r="P60" s="145"/>
      <c r="Q60" s="365"/>
      <c r="R60" s="365"/>
      <c r="S60" s="1041"/>
      <c r="T60" s="366"/>
      <c r="U60" s="366"/>
      <c r="V60" s="366"/>
      <c r="W60" s="366"/>
      <c r="X60" s="366"/>
    </row>
    <row r="61" spans="1:25" ht="15.75" thickTop="1">
      <c r="A61" s="1220" t="s">
        <v>346</v>
      </c>
      <c r="B61" s="1166"/>
      <c r="C61" s="1166"/>
      <c r="D61" s="1166"/>
      <c r="E61" s="1166"/>
      <c r="F61" s="1166"/>
      <c r="G61" s="1167"/>
      <c r="H61" s="1250" t="s">
        <v>345</v>
      </c>
      <c r="I61" s="1251"/>
      <c r="J61" s="1251"/>
      <c r="K61" s="1251"/>
      <c r="L61" s="1251"/>
      <c r="M61" s="1252"/>
      <c r="N61" s="1"/>
      <c r="P61" s="84"/>
      <c r="Q61" s="366"/>
      <c r="S61" s="274"/>
      <c r="T61" s="366"/>
      <c r="U61" s="366"/>
      <c r="V61" s="366"/>
      <c r="W61" s="366"/>
      <c r="X61" s="366"/>
    </row>
    <row r="62" spans="1:25">
      <c r="A62" s="324" t="s">
        <v>2</v>
      </c>
      <c r="B62" s="1038" t="s">
        <v>34</v>
      </c>
      <c r="C62" s="36" t="s">
        <v>35</v>
      </c>
      <c r="D62" s="36" t="s">
        <v>38</v>
      </c>
      <c r="E62" s="36" t="s">
        <v>42</v>
      </c>
      <c r="F62" s="1038" t="s">
        <v>36</v>
      </c>
      <c r="G62" s="100" t="s">
        <v>173</v>
      </c>
      <c r="H62" s="715" t="s">
        <v>2</v>
      </c>
      <c r="I62" s="1234" t="s">
        <v>34</v>
      </c>
      <c r="J62" s="1234"/>
      <c r="K62" s="1045" t="s">
        <v>35</v>
      </c>
      <c r="L62" s="1253" t="s">
        <v>173</v>
      </c>
      <c r="M62" s="1254"/>
      <c r="N62" s="1"/>
      <c r="P62" s="449"/>
      <c r="Q62" s="366"/>
      <c r="S62" s="274"/>
      <c r="T62" s="366"/>
      <c r="U62" s="366"/>
      <c r="V62" s="366"/>
      <c r="W62" s="366"/>
      <c r="X62" s="366"/>
    </row>
    <row r="63" spans="1:25">
      <c r="A63" s="325">
        <v>44166</v>
      </c>
      <c r="B63" s="161" t="s">
        <v>336</v>
      </c>
      <c r="C63" s="275">
        <v>266.51</v>
      </c>
      <c r="D63" s="275">
        <v>266.51</v>
      </c>
      <c r="E63" s="576" t="str">
        <f>IF(C63-D63=0,"",C63-D63)</f>
        <v/>
      </c>
      <c r="F63" s="162" t="str">
        <f t="shared" ref="F63:F78" si="4">IF(C63=0,"",IF(C63-D63=0,"оплачено","ОЖИДАЕТСЯ оплата"))</f>
        <v>оплачено</v>
      </c>
      <c r="G63" s="162"/>
      <c r="H63" s="325"/>
      <c r="I63" s="1244"/>
      <c r="J63" s="1245"/>
      <c r="K63" s="481"/>
      <c r="L63" s="1246"/>
      <c r="M63" s="1247"/>
      <c r="N63" s="1"/>
      <c r="P63" s="449"/>
      <c r="Q63" s="366"/>
      <c r="S63" s="366"/>
      <c r="T63" s="84"/>
      <c r="U63" s="366"/>
      <c r="W63" s="366"/>
      <c r="X63" s="366"/>
    </row>
    <row r="64" spans="1:25">
      <c r="A64" s="325">
        <v>44167</v>
      </c>
      <c r="B64" s="161" t="s">
        <v>443</v>
      </c>
      <c r="C64" s="275">
        <v>624.66999999999996</v>
      </c>
      <c r="D64" s="275">
        <v>624.66999999999996</v>
      </c>
      <c r="E64" s="576" t="str">
        <f t="shared" ref="E64:E78" si="5">IF(C64-D64=0,"",C64-D64)</f>
        <v/>
      </c>
      <c r="F64" s="162" t="str">
        <f t="shared" si="4"/>
        <v>оплачено</v>
      </c>
      <c r="G64" s="162"/>
      <c r="H64" s="717"/>
      <c r="I64" s="1244"/>
      <c r="J64" s="1245"/>
      <c r="K64" s="481"/>
      <c r="L64" s="1246"/>
      <c r="M64" s="1247"/>
      <c r="N64" s="1"/>
      <c r="P64" s="449"/>
      <c r="Q64" s="366"/>
      <c r="S64" s="366"/>
      <c r="T64" s="366"/>
      <c r="U64" s="366"/>
      <c r="W64" s="366"/>
      <c r="X64" s="366"/>
    </row>
    <row r="65" spans="1:21">
      <c r="A65" s="325">
        <v>44167</v>
      </c>
      <c r="B65" s="161" t="s">
        <v>257</v>
      </c>
      <c r="C65" s="275">
        <v>587.49</v>
      </c>
      <c r="D65" s="275">
        <v>587.49</v>
      </c>
      <c r="E65" s="673" t="str">
        <f t="shared" si="5"/>
        <v/>
      </c>
      <c r="F65" s="162" t="str">
        <f t="shared" si="4"/>
        <v>оплачено</v>
      </c>
      <c r="G65" s="162"/>
      <c r="H65" s="717"/>
      <c r="I65" s="1244"/>
      <c r="J65" s="1245"/>
      <c r="K65" s="481"/>
      <c r="L65" s="1248"/>
      <c r="M65" s="1249"/>
      <c r="N65" s="1"/>
      <c r="P65" s="449"/>
      <c r="T65" s="366"/>
      <c r="U65" s="366"/>
    </row>
    <row r="66" spans="1:21">
      <c r="A66" s="325">
        <v>44166</v>
      </c>
      <c r="B66" s="161" t="s">
        <v>382</v>
      </c>
      <c r="C66" s="275">
        <v>448.92</v>
      </c>
      <c r="D66" s="275">
        <v>448.92</v>
      </c>
      <c r="E66" s="673" t="str">
        <f t="shared" si="5"/>
        <v/>
      </c>
      <c r="F66" s="161" t="str">
        <f t="shared" si="4"/>
        <v>оплачено</v>
      </c>
      <c r="G66" s="161"/>
      <c r="H66" s="717"/>
      <c r="I66" s="1244"/>
      <c r="J66" s="1245"/>
      <c r="K66" s="481"/>
      <c r="L66" s="1248"/>
      <c r="M66" s="1249"/>
      <c r="N66" s="1"/>
      <c r="P66" s="449"/>
      <c r="U66" s="366"/>
    </row>
    <row r="67" spans="1:21">
      <c r="A67" s="325">
        <v>44173</v>
      </c>
      <c r="B67" s="161" t="s">
        <v>257</v>
      </c>
      <c r="C67" s="531">
        <v>453.58</v>
      </c>
      <c r="D67" s="531">
        <v>453.58</v>
      </c>
      <c r="E67" s="673" t="str">
        <f t="shared" si="5"/>
        <v/>
      </c>
      <c r="F67" s="162" t="str">
        <f t="shared" si="4"/>
        <v>оплачено</v>
      </c>
      <c r="G67" s="162"/>
      <c r="H67" s="717"/>
      <c r="I67" s="1283"/>
      <c r="J67" s="1245"/>
      <c r="K67" s="481"/>
      <c r="L67" s="1248"/>
      <c r="M67" s="1249"/>
      <c r="N67" s="1"/>
      <c r="O67" s="150"/>
      <c r="P67" s="571"/>
      <c r="U67" s="366"/>
    </row>
    <row r="68" spans="1:21">
      <c r="A68" s="325">
        <v>44180</v>
      </c>
      <c r="B68" s="161" t="s">
        <v>363</v>
      </c>
      <c r="C68" s="275">
        <v>75</v>
      </c>
      <c r="D68" s="275">
        <v>75</v>
      </c>
      <c r="E68" s="673" t="str">
        <f t="shared" si="5"/>
        <v/>
      </c>
      <c r="F68" s="162" t="str">
        <f t="shared" si="4"/>
        <v>оплачено</v>
      </c>
      <c r="G68" s="162"/>
      <c r="H68" s="717"/>
      <c r="I68" s="1244"/>
      <c r="J68" s="1245"/>
      <c r="K68" s="481"/>
      <c r="L68" s="1248"/>
      <c r="M68" s="1249"/>
      <c r="N68" s="1"/>
      <c r="O68" s="150"/>
      <c r="P68" s="86"/>
      <c r="U68" s="366"/>
    </row>
    <row r="69" spans="1:21" ht="14.45" customHeight="1">
      <c r="A69" s="325">
        <v>44179</v>
      </c>
      <c r="B69" s="161" t="s">
        <v>336</v>
      </c>
      <c r="C69" s="951">
        <v>324.26</v>
      </c>
      <c r="D69" s="951">
        <v>324.26</v>
      </c>
      <c r="E69" s="673" t="str">
        <f>IF(C69-D69=0,"",C69-D69)</f>
        <v/>
      </c>
      <c r="F69" s="162" t="str">
        <f>IF(C69=0,"",IF(C69-D69=0,"оплачено","ОЖИДАЕТСЯ оплата"))</f>
        <v>оплачено</v>
      </c>
      <c r="G69" s="162"/>
      <c r="H69" s="717"/>
      <c r="I69" s="1244"/>
      <c r="J69" s="1245"/>
      <c r="K69" s="481"/>
      <c r="L69" s="1183"/>
      <c r="M69" s="1241"/>
      <c r="N69" s="1"/>
      <c r="O69" s="150"/>
      <c r="P69" s="86"/>
    </row>
    <row r="70" spans="1:21" ht="14.45" customHeight="1">
      <c r="A70" s="325">
        <v>44180</v>
      </c>
      <c r="B70" s="161" t="s">
        <v>31</v>
      </c>
      <c r="C70" s="275">
        <v>1119.01</v>
      </c>
      <c r="D70" s="275">
        <v>1119.01</v>
      </c>
      <c r="E70" s="673" t="str">
        <f>IF(C70-D70=0,"",C70-D70)</f>
        <v/>
      </c>
      <c r="F70" s="162" t="str">
        <f>IF(C70=0,"",IF(C70-D70=0,"оплачено","ОЖИДАЕТСЯ оплата"))</f>
        <v>оплачено</v>
      </c>
      <c r="G70" s="162"/>
      <c r="H70" s="717" t="str">
        <f t="shared" ref="H70:I78" si="6">IF(S11="","",S11)</f>
        <v/>
      </c>
      <c r="I70" s="1244"/>
      <c r="J70" s="1245"/>
      <c r="K70" s="481"/>
      <c r="L70" s="1183"/>
      <c r="M70" s="1241"/>
      <c r="N70" s="1"/>
    </row>
    <row r="71" spans="1:21" ht="14.45" customHeight="1">
      <c r="A71" s="325">
        <v>44180</v>
      </c>
      <c r="B71" s="161" t="s">
        <v>257</v>
      </c>
      <c r="C71" s="275">
        <v>308.89999999999998</v>
      </c>
      <c r="D71" s="275">
        <v>308.89999999999998</v>
      </c>
      <c r="E71" s="673" t="str">
        <f t="shared" si="5"/>
        <v/>
      </c>
      <c r="F71" s="162" t="str">
        <f t="shared" si="4"/>
        <v>оплачено</v>
      </c>
      <c r="G71" s="162"/>
      <c r="H71" s="717" t="str">
        <f t="shared" si="6"/>
        <v/>
      </c>
      <c r="I71" s="1244" t="str">
        <f t="shared" si="6"/>
        <v/>
      </c>
      <c r="J71" s="1245"/>
      <c r="K71" s="481" t="str">
        <f t="shared" ref="K71:K78" si="7">IF(U12="","",U12)</f>
        <v/>
      </c>
      <c r="L71" s="1183"/>
      <c r="M71" s="1241"/>
      <c r="N71" s="1"/>
      <c r="O71" s="366"/>
    </row>
    <row r="72" spans="1:21">
      <c r="A72" s="325">
        <v>44180</v>
      </c>
      <c r="B72" s="161" t="s">
        <v>382</v>
      </c>
      <c r="C72" s="275">
        <v>261.79000000000002</v>
      </c>
      <c r="D72" s="275">
        <v>261.79000000000002</v>
      </c>
      <c r="E72" s="673" t="str">
        <f t="shared" si="5"/>
        <v/>
      </c>
      <c r="F72" s="162" t="str">
        <f t="shared" si="4"/>
        <v>оплачено</v>
      </c>
      <c r="G72" s="162"/>
      <c r="H72" s="717" t="str">
        <f t="shared" si="6"/>
        <v/>
      </c>
      <c r="I72" s="1244" t="str">
        <f t="shared" si="6"/>
        <v/>
      </c>
      <c r="J72" s="1245"/>
      <c r="K72" s="481" t="str">
        <f t="shared" si="7"/>
        <v/>
      </c>
      <c r="L72" s="1183"/>
      <c r="M72" s="1241"/>
      <c r="N72" s="1"/>
      <c r="O72" s="366"/>
    </row>
    <row r="73" spans="1:21" s="86" customFormat="1">
      <c r="A73" s="325">
        <v>44186</v>
      </c>
      <c r="B73" s="161" t="s">
        <v>447</v>
      </c>
      <c r="C73" s="275">
        <v>298.73</v>
      </c>
      <c r="D73" s="275">
        <v>298.73</v>
      </c>
      <c r="E73" s="673" t="str">
        <f t="shared" si="5"/>
        <v/>
      </c>
      <c r="F73" s="162" t="str">
        <f t="shared" si="4"/>
        <v>оплачено</v>
      </c>
      <c r="G73" s="162"/>
      <c r="H73" s="717" t="str">
        <f t="shared" si="6"/>
        <v/>
      </c>
      <c r="I73" s="1244" t="str">
        <f t="shared" si="6"/>
        <v/>
      </c>
      <c r="J73" s="1245"/>
      <c r="K73" s="481" t="str">
        <f t="shared" si="7"/>
        <v/>
      </c>
      <c r="L73" s="1248"/>
      <c r="M73" s="1249"/>
      <c r="N73" s="366"/>
      <c r="O73" s="84"/>
      <c r="P73" s="1"/>
      <c r="Q73" s="35"/>
      <c r="T73" s="35"/>
      <c r="U73" s="35"/>
    </row>
    <row r="74" spans="1:21">
      <c r="A74" s="325">
        <v>44189</v>
      </c>
      <c r="B74" s="161" t="s">
        <v>31</v>
      </c>
      <c r="C74" s="275">
        <v>509.87</v>
      </c>
      <c r="D74" s="275">
        <v>509.87</v>
      </c>
      <c r="E74" s="673" t="str">
        <f t="shared" si="5"/>
        <v/>
      </c>
      <c r="F74" s="162" t="str">
        <f t="shared" si="4"/>
        <v>оплачено</v>
      </c>
      <c r="G74" s="162"/>
      <c r="H74" s="717" t="str">
        <f t="shared" si="6"/>
        <v/>
      </c>
      <c r="I74" s="1244" t="str">
        <f t="shared" si="6"/>
        <v/>
      </c>
      <c r="J74" s="1245"/>
      <c r="K74" s="481" t="str">
        <f t="shared" si="7"/>
        <v/>
      </c>
      <c r="L74" s="1183"/>
      <c r="M74" s="1241"/>
      <c r="N74" s="150"/>
      <c r="O74" s="366"/>
      <c r="P74" s="1"/>
      <c r="T74" s="86"/>
    </row>
    <row r="75" spans="1:21">
      <c r="A75" s="325">
        <v>44186</v>
      </c>
      <c r="B75" s="161" t="s">
        <v>448</v>
      </c>
      <c r="C75" s="275">
        <v>69.900000000000006</v>
      </c>
      <c r="D75" s="275">
        <v>69.900000000000006</v>
      </c>
      <c r="E75" s="673" t="str">
        <f>IF(C75-D75=0,"",C75-D75)</f>
        <v/>
      </c>
      <c r="F75" s="162" t="str">
        <f>IF(C75=0,"",IF(C75-D75=0,"оплачено","ОЖИДАЕТСЯ оплата"))</f>
        <v>оплачено</v>
      </c>
      <c r="G75" s="162"/>
      <c r="H75" s="717" t="str">
        <f t="shared" si="6"/>
        <v/>
      </c>
      <c r="I75" s="1244" t="str">
        <f t="shared" si="6"/>
        <v/>
      </c>
      <c r="J75" s="1245"/>
      <c r="K75" s="481" t="str">
        <f t="shared" si="7"/>
        <v/>
      </c>
      <c r="L75" s="1183"/>
      <c r="M75" s="1241"/>
      <c r="N75" s="1"/>
      <c r="O75" s="84"/>
      <c r="P75" s="366"/>
    </row>
    <row r="76" spans="1:21">
      <c r="A76" s="325">
        <v>44194</v>
      </c>
      <c r="B76" s="161" t="s">
        <v>428</v>
      </c>
      <c r="C76" s="275">
        <v>395.78</v>
      </c>
      <c r="D76" s="275">
        <v>395.78</v>
      </c>
      <c r="E76" s="576" t="str">
        <f t="shared" si="5"/>
        <v/>
      </c>
      <c r="F76" s="162" t="str">
        <f t="shared" si="4"/>
        <v>оплачено</v>
      </c>
      <c r="G76" s="162"/>
      <c r="H76" s="717" t="str">
        <f t="shared" si="6"/>
        <v/>
      </c>
      <c r="I76" s="1244" t="str">
        <f t="shared" si="6"/>
        <v/>
      </c>
      <c r="J76" s="1245"/>
      <c r="K76" s="481" t="str">
        <f t="shared" si="7"/>
        <v/>
      </c>
      <c r="L76" s="1183"/>
      <c r="M76" s="1241"/>
      <c r="N76" s="1"/>
      <c r="O76" s="84"/>
      <c r="P76" s="150"/>
    </row>
    <row r="77" spans="1:21">
      <c r="A77" s="325"/>
      <c r="B77" s="161"/>
      <c r="C77" s="275"/>
      <c r="D77" s="275"/>
      <c r="E77" s="576" t="str">
        <f t="shared" si="5"/>
        <v/>
      </c>
      <c r="F77" s="162" t="str">
        <f t="shared" si="4"/>
        <v/>
      </c>
      <c r="G77" s="162"/>
      <c r="H77" s="717" t="str">
        <f t="shared" si="6"/>
        <v/>
      </c>
      <c r="I77" s="1244" t="str">
        <f t="shared" si="6"/>
        <v/>
      </c>
      <c r="J77" s="1245"/>
      <c r="K77" s="481" t="str">
        <f t="shared" si="7"/>
        <v/>
      </c>
      <c r="L77" s="1183"/>
      <c r="M77" s="1241"/>
      <c r="N77" s="1"/>
      <c r="O77" s="366"/>
      <c r="P77" s="1"/>
      <c r="Q77" s="86"/>
    </row>
    <row r="78" spans="1:21">
      <c r="A78" s="325"/>
      <c r="B78" s="161"/>
      <c r="C78" s="275"/>
      <c r="D78" s="275"/>
      <c r="E78" s="576" t="str">
        <f t="shared" si="5"/>
        <v/>
      </c>
      <c r="F78" s="162" t="str">
        <f t="shared" si="4"/>
        <v/>
      </c>
      <c r="G78" s="162"/>
      <c r="H78" s="717" t="str">
        <f t="shared" si="6"/>
        <v/>
      </c>
      <c r="I78" s="1244" t="str">
        <f t="shared" si="6"/>
        <v/>
      </c>
      <c r="J78" s="1245"/>
      <c r="K78" s="481" t="str">
        <f t="shared" si="7"/>
        <v/>
      </c>
      <c r="L78" s="1183"/>
      <c r="M78" s="1241"/>
      <c r="N78" s="1"/>
      <c r="O78" s="84"/>
    </row>
    <row r="79" spans="1:21" ht="15.75" thickBot="1">
      <c r="A79" s="1221" t="s">
        <v>259</v>
      </c>
      <c r="B79" s="1222"/>
      <c r="C79" s="358">
        <f>SUM(C63:C78)</f>
        <v>5744.41</v>
      </c>
      <c r="D79" s="358"/>
      <c r="E79" s="576">
        <f>SUM(E63:E78)</f>
        <v>0</v>
      </c>
      <c r="F79" s="162"/>
      <c r="G79" s="451"/>
      <c r="H79" s="1238" t="s">
        <v>259</v>
      </c>
      <c r="I79" s="1239"/>
      <c r="J79" s="1240"/>
      <c r="K79" s="716">
        <f>SUM(K63:K78)</f>
        <v>0</v>
      </c>
      <c r="L79" s="1242"/>
      <c r="M79" s="1243"/>
      <c r="N79" s="1"/>
      <c r="O79" s="366"/>
      <c r="P79" s="84"/>
      <c r="U79" s="86"/>
    </row>
    <row r="80" spans="1:21" ht="15.75" thickTop="1">
      <c r="A80" s="351"/>
      <c r="B80" s="352"/>
      <c r="C80" s="353"/>
      <c r="D80" s="353"/>
      <c r="E80" s="354"/>
      <c r="F80" s="352"/>
      <c r="G80" s="376"/>
      <c r="H80" s="1168" t="s">
        <v>16</v>
      </c>
      <c r="I80" s="1170" t="s">
        <v>17</v>
      </c>
      <c r="J80" s="1170" t="s">
        <v>21</v>
      </c>
      <c r="K80" s="1170"/>
      <c r="L80" s="1172" t="s">
        <v>93</v>
      </c>
      <c r="M80" s="1174" t="s">
        <v>95</v>
      </c>
      <c r="N80" s="1"/>
      <c r="O80" s="84"/>
      <c r="P80" s="84"/>
    </row>
    <row r="81" spans="1:22" ht="24">
      <c r="A81" s="355"/>
      <c r="B81" s="201"/>
      <c r="C81" s="201"/>
      <c r="D81" s="201"/>
      <c r="E81" s="216"/>
      <c r="F81" s="201"/>
      <c r="G81" s="201"/>
      <c r="H81" s="1169"/>
      <c r="I81" s="1171"/>
      <c r="J81" s="1042" t="s">
        <v>21</v>
      </c>
      <c r="K81" s="1042" t="s">
        <v>25</v>
      </c>
      <c r="L81" s="1173"/>
      <c r="M81" s="1175"/>
      <c r="N81" s="1"/>
      <c r="O81" s="366"/>
      <c r="P81" s="84"/>
    </row>
    <row r="82" spans="1:22">
      <c r="A82" s="338"/>
      <c r="B82" s="199"/>
      <c r="C82" s="288"/>
      <c r="D82" s="232"/>
      <c r="E82" s="84"/>
      <c r="F82" s="199"/>
      <c r="G82" s="199"/>
      <c r="H82" s="347" t="s">
        <v>163</v>
      </c>
      <c r="I82" s="94">
        <v>2420.3999999999996</v>
      </c>
      <c r="J82" s="94">
        <v>115.5</v>
      </c>
      <c r="K82" s="1043">
        <v>132.61000000000001</v>
      </c>
      <c r="L82" s="96">
        <v>22665.5</v>
      </c>
      <c r="M82" s="104">
        <f>L82-I82-J82-K82</f>
        <v>19996.989999999998</v>
      </c>
      <c r="N82" s="150"/>
      <c r="O82" s="449"/>
      <c r="P82" s="439"/>
      <c r="R82" s="86"/>
    </row>
    <row r="83" spans="1:22">
      <c r="A83" s="339"/>
      <c r="B83" s="199"/>
      <c r="C83" s="199"/>
      <c r="D83" s="273"/>
      <c r="E83" s="366"/>
      <c r="F83" s="84"/>
      <c r="G83" s="366"/>
      <c r="H83" s="347" t="s">
        <v>192</v>
      </c>
      <c r="I83" s="94">
        <v>7629.69</v>
      </c>
      <c r="J83" s="94">
        <v>352.29</v>
      </c>
      <c r="K83" s="94">
        <v>193.85000000000002</v>
      </c>
      <c r="L83" s="96">
        <v>10342</v>
      </c>
      <c r="M83" s="104">
        <f>M82-I83-J83-K83+L83</f>
        <v>22163.159999999996</v>
      </c>
      <c r="N83" s="1"/>
      <c r="O83" s="449"/>
      <c r="P83" s="439"/>
      <c r="R83" s="86"/>
    </row>
    <row r="84" spans="1:22">
      <c r="A84" s="339"/>
      <c r="B84" s="366"/>
      <c r="C84" s="199"/>
      <c r="D84" s="273"/>
      <c r="E84" s="366"/>
      <c r="F84" s="366"/>
      <c r="G84" s="366"/>
      <c r="H84" s="347" t="s">
        <v>199</v>
      </c>
      <c r="I84" s="298">
        <v>8423.6400000000012</v>
      </c>
      <c r="J84" s="94">
        <v>921.3</v>
      </c>
      <c r="K84" s="299">
        <v>312.46000000000004</v>
      </c>
      <c r="L84" s="299">
        <v>16668</v>
      </c>
      <c r="M84" s="104">
        <f>M83-I84-J84-K84+L84</f>
        <v>29173.759999999995</v>
      </c>
      <c r="N84" s="1"/>
      <c r="O84" s="449"/>
      <c r="P84" s="436"/>
      <c r="R84" s="86"/>
    </row>
    <row r="85" spans="1:22">
      <c r="A85" s="339"/>
      <c r="B85" s="1"/>
      <c r="C85" s="284"/>
      <c r="D85" s="273"/>
      <c r="E85" s="366"/>
      <c r="F85" s="366"/>
      <c r="G85" s="84"/>
      <c r="H85" s="347" t="s">
        <v>209</v>
      </c>
      <c r="I85" s="299">
        <v>8639.7199999999993</v>
      </c>
      <c r="J85" s="300">
        <v>749.49</v>
      </c>
      <c r="K85" s="552">
        <v>435.1</v>
      </c>
      <c r="L85" s="299">
        <v>17824.919999999998</v>
      </c>
      <c r="M85" s="104">
        <f>M84-I85-J85-K85+L85</f>
        <v>37174.369999999995</v>
      </c>
      <c r="N85" s="366"/>
      <c r="O85" s="449"/>
      <c r="P85" s="436"/>
      <c r="R85" s="86"/>
    </row>
    <row r="86" spans="1:22">
      <c r="A86" s="339"/>
      <c r="B86" s="199"/>
      <c r="C86" s="1"/>
      <c r="D86" s="273"/>
      <c r="E86" s="366"/>
      <c r="F86" s="366"/>
      <c r="G86" s="366"/>
      <c r="H86" s="348" t="s">
        <v>210</v>
      </c>
      <c r="I86" s="300">
        <v>12605.26</v>
      </c>
      <c r="J86" s="299">
        <v>600.5</v>
      </c>
      <c r="K86" s="300">
        <v>491.64</v>
      </c>
      <c r="L86" s="299">
        <v>15183.9</v>
      </c>
      <c r="M86" s="104">
        <v>36025.39</v>
      </c>
      <c r="N86" s="436"/>
      <c r="O86" s="145"/>
      <c r="P86" s="437"/>
      <c r="Q86" s="86"/>
      <c r="R86" s="86"/>
    </row>
    <row r="87" spans="1:22">
      <c r="A87" s="339"/>
      <c r="B87" s="199"/>
      <c r="C87" s="1"/>
      <c r="D87" s="273"/>
      <c r="E87" s="366"/>
      <c r="F87" s="366"/>
      <c r="G87" s="366"/>
      <c r="H87" s="379" t="s">
        <v>211</v>
      </c>
      <c r="I87" s="728">
        <v>11425.189999999999</v>
      </c>
      <c r="J87" s="438">
        <v>232.2</v>
      </c>
      <c r="K87" s="733">
        <v>262</v>
      </c>
      <c r="L87" s="644">
        <v>11864.4</v>
      </c>
      <c r="M87" s="104">
        <f>M86-I87-J87-K87+L87</f>
        <v>35970.400000000001</v>
      </c>
      <c r="N87" s="1"/>
      <c r="O87" s="366"/>
      <c r="P87" s="437"/>
      <c r="Q87" s="86"/>
      <c r="R87" s="86"/>
      <c r="V87" s="1"/>
    </row>
    <row r="88" spans="1:22">
      <c r="A88" s="339"/>
      <c r="B88" s="199"/>
      <c r="C88" s="1"/>
      <c r="D88" s="273"/>
      <c r="E88" s="366"/>
      <c r="F88" s="366"/>
      <c r="G88" s="366"/>
      <c r="H88" s="347" t="s">
        <v>9</v>
      </c>
      <c r="I88" s="728">
        <v>13612.520000000002</v>
      </c>
      <c r="J88" s="438">
        <f>19+42+25.5+33+4+25+7.5+18+170+1+9+37.5+2+1.4</f>
        <v>394.9</v>
      </c>
      <c r="K88" s="733">
        <f>112.8+296.38+33.5</f>
        <v>442.68</v>
      </c>
      <c r="L88" s="645">
        <f>14352+1353+311+316+73+278</f>
        <v>16683</v>
      </c>
      <c r="M88" s="777">
        <v>37929.35</v>
      </c>
      <c r="N88" s="761" t="s">
        <v>355</v>
      </c>
      <c r="O88" s="762"/>
      <c r="P88" s="437"/>
      <c r="Q88" s="742"/>
      <c r="R88" s="86"/>
      <c r="V88" s="1"/>
    </row>
    <row r="89" spans="1:22">
      <c r="A89" s="339"/>
      <c r="B89" s="199"/>
      <c r="C89" s="1"/>
      <c r="D89" s="273"/>
      <c r="E89" s="366"/>
      <c r="F89" s="366"/>
      <c r="G89" s="366"/>
      <c r="H89" s="347" t="s">
        <v>18</v>
      </c>
      <c r="I89" s="728">
        <v>14474.099999999999</v>
      </c>
      <c r="J89" s="438">
        <v>947.5</v>
      </c>
      <c r="K89" s="733">
        <v>526.15</v>
      </c>
      <c r="L89" s="645">
        <v>19238.8</v>
      </c>
      <c r="M89" s="104">
        <f>M88-I89-J89-K89+L89</f>
        <v>41220.399999999994</v>
      </c>
      <c r="N89" s="84"/>
      <c r="O89" s="366"/>
      <c r="P89" s="437"/>
      <c r="Q89" s="742"/>
      <c r="R89" s="86"/>
      <c r="V89" s="1"/>
    </row>
    <row r="90" spans="1:22">
      <c r="A90" s="339"/>
      <c r="B90" s="199"/>
      <c r="C90" s="1"/>
      <c r="D90" s="273"/>
      <c r="E90" s="366"/>
      <c r="F90" s="366"/>
      <c r="G90" s="366"/>
      <c r="H90" s="379" t="s">
        <v>19</v>
      </c>
      <c r="I90" s="660">
        <v>17170.439999999999</v>
      </c>
      <c r="J90" s="432">
        <v>3911.3</v>
      </c>
      <c r="K90" s="687">
        <f>21.5+122.1+41.6+353.89+95.92+8.2</f>
        <v>643.20999999999992</v>
      </c>
      <c r="L90" s="660">
        <f>660+513.5+514+683.5+535+212+2085+763+334+208+378+75+60+44+972+347+1461+81+303+363+12+44+73+133+667+281+234+225+789+767+1661+682+2828+477.5+365+873.5+390+553</f>
        <v>21647</v>
      </c>
      <c r="M90" s="104">
        <f>M89-I90-J90-K90+L90</f>
        <v>41142.449999999997</v>
      </c>
      <c r="N90" s="84"/>
      <c r="O90" s="366"/>
      <c r="P90" s="437"/>
      <c r="Q90" s="742"/>
      <c r="R90" s="86"/>
      <c r="V90" s="1"/>
    </row>
    <row r="91" spans="1:22">
      <c r="A91" s="339"/>
      <c r="B91" s="199"/>
      <c r="C91" s="1"/>
      <c r="D91" s="273"/>
      <c r="E91" s="366"/>
      <c r="F91" s="366"/>
      <c r="G91" s="366"/>
      <c r="H91" s="347" t="s">
        <v>20</v>
      </c>
      <c r="I91" s="728">
        <v>17084.789999999997</v>
      </c>
      <c r="J91" s="438">
        <v>1384.5</v>
      </c>
      <c r="K91" s="733">
        <f>231.74+381.32</f>
        <v>613.05999999999995</v>
      </c>
      <c r="L91" s="728">
        <f>861.5+275+194+301.5+390+1883.5+794+563+1402.5+380+670+229.5+35+275+150.5+18+76+68+310+1078+448+706+130+132+120+2048+130.5+296+608+1835+355+214.5+280+60+684+606</f>
        <v>18608</v>
      </c>
      <c r="M91" s="772">
        <v>43441.55</v>
      </c>
      <c r="N91" s="84"/>
      <c r="O91" s="366"/>
      <c r="P91" s="84"/>
      <c r="Q91" s="742"/>
      <c r="R91" s="86"/>
      <c r="V91" s="1"/>
    </row>
    <row r="92" spans="1:22">
      <c r="A92" s="339"/>
      <c r="B92" s="199"/>
      <c r="C92" s="1"/>
      <c r="D92" s="273"/>
      <c r="E92" s="366"/>
      <c r="F92" s="366"/>
      <c r="G92" s="366"/>
      <c r="H92" s="347" t="s">
        <v>148</v>
      </c>
      <c r="I92" s="728">
        <v>16010.099999999999</v>
      </c>
      <c r="J92" s="438">
        <f>16+65+35+15+24+192+4.6+315+19+6+29+4+35+35+15+160</f>
        <v>969.6</v>
      </c>
      <c r="K92" s="733">
        <f>318.55+297.05</f>
        <v>615.6</v>
      </c>
      <c r="L92" s="728">
        <f>2329.5+560+1456+491+2680+2008+1170+1743+283+1122+2144+623+348+597.5+612+1914+48.5+1270+194+20+375+514.5+108+1502+669+441+33+712+828+1156+829+50</f>
        <v>28831</v>
      </c>
      <c r="M92" s="104">
        <f>M91-I92-J92-K92+L92</f>
        <v>54677.250000000007</v>
      </c>
      <c r="N92" s="84"/>
      <c r="O92" s="366"/>
      <c r="P92" s="685"/>
      <c r="Q92" s="742"/>
      <c r="R92" s="86"/>
      <c r="V92" s="1"/>
    </row>
    <row r="93" spans="1:22">
      <c r="A93" s="339"/>
      <c r="B93" s="199"/>
      <c r="C93" s="1"/>
      <c r="D93" s="273"/>
      <c r="E93" s="366"/>
      <c r="F93" s="366"/>
      <c r="G93" s="366"/>
      <c r="H93" s="379" t="s">
        <v>162</v>
      </c>
      <c r="I93" s="660">
        <v>18487.2</v>
      </c>
      <c r="J93" s="432"/>
      <c r="K93" s="687">
        <v>733</v>
      </c>
      <c r="L93" s="660">
        <f>1090.5+178+238+342+320+112+163+3418.5+747+1608+1004+396+30+1858+1508+198+163+100+490+552+1725+777+245+1514.5+850.5+1647+348+1827+454</f>
        <v>23904</v>
      </c>
      <c r="M93" s="104">
        <f>M92-I93-J93-K93+L93</f>
        <v>59361.05</v>
      </c>
      <c r="N93" s="84"/>
      <c r="O93" s="366"/>
      <c r="P93" s="685"/>
      <c r="Q93" s="742"/>
      <c r="R93" s="86"/>
      <c r="V93" s="1"/>
    </row>
    <row r="94" spans="1:22">
      <c r="A94" s="339"/>
      <c r="B94" s="199"/>
      <c r="C94" s="1"/>
      <c r="D94" s="273"/>
      <c r="E94" s="366"/>
      <c r="F94" s="366"/>
      <c r="G94" s="366"/>
      <c r="H94" s="347" t="s">
        <v>163</v>
      </c>
      <c r="I94" s="728">
        <v>18961.969999999998</v>
      </c>
      <c r="J94" s="438"/>
      <c r="K94" s="733">
        <f>334.04+378.25</f>
        <v>712.29</v>
      </c>
      <c r="L94" s="728">
        <f>15.5+600+364+12+2306+740+1687+96+195.5+330+605+285+1211+2305+437+30+1509+42+443.5+664.5+239+42+42.5+114+364+617+545</f>
        <v>15841.5</v>
      </c>
      <c r="M94" s="772">
        <f>M93-I94-J94-K94+L94</f>
        <v>55528.29</v>
      </c>
      <c r="N94" s="84"/>
      <c r="O94" s="366"/>
      <c r="P94" s="685"/>
      <c r="Q94" s="742"/>
      <c r="R94" s="86"/>
      <c r="V94" s="1"/>
    </row>
    <row r="95" spans="1:22" ht="15.75" thickBot="1">
      <c r="A95" s="339"/>
      <c r="B95" s="199"/>
      <c r="C95" s="1"/>
      <c r="D95" s="273"/>
      <c r="E95" s="366"/>
      <c r="F95" s="366"/>
      <c r="G95" s="366"/>
      <c r="H95" s="1285" t="s">
        <v>192</v>
      </c>
      <c r="I95" s="774">
        <v>20708.280000000002</v>
      </c>
      <c r="J95" s="775">
        <f>3.2+18.5+47+46+7+4+329+628.5+6+34+18+28+4+41.5+1.2+77.5+42+2.92+3+48+180</f>
        <v>1569.3200000000002</v>
      </c>
      <c r="K95" s="1286">
        <f>163.32+459.3+23.5+1.4</f>
        <v>647.52</v>
      </c>
      <c r="L95" s="774">
        <v>25525.5</v>
      </c>
      <c r="M95" s="104">
        <f>M94-I95-J95-K95+L95</f>
        <v>58128.67</v>
      </c>
      <c r="N95" s="84"/>
      <c r="O95" s="366"/>
      <c r="P95" s="685"/>
      <c r="Q95" s="742"/>
      <c r="R95" s="86"/>
      <c r="V95" s="1"/>
    </row>
    <row r="96" spans="1:22" ht="14.25" customHeight="1" thickTop="1">
      <c r="A96" s="339"/>
      <c r="B96" s="199"/>
      <c r="C96" s="1"/>
      <c r="D96" s="273"/>
      <c r="E96" s="84"/>
      <c r="F96" s="366"/>
      <c r="G96" s="366"/>
      <c r="H96" s="1152" t="s">
        <v>36</v>
      </c>
      <c r="I96" s="1154" t="s">
        <v>178</v>
      </c>
      <c r="J96" s="1155"/>
      <c r="K96" s="1156"/>
      <c r="L96" s="1160" t="s">
        <v>159</v>
      </c>
      <c r="M96" s="1161"/>
      <c r="N96" s="150"/>
      <c r="O96" s="84"/>
      <c r="P96" s="437"/>
      <c r="Q96" s="86"/>
      <c r="R96" s="86"/>
      <c r="V96" s="1"/>
    </row>
    <row r="97" spans="1:26">
      <c r="A97" s="339"/>
      <c r="B97" s="199"/>
      <c r="C97" s="284"/>
      <c r="D97" s="273"/>
      <c r="E97" s="284"/>
      <c r="F97" s="366"/>
      <c r="G97" s="378"/>
      <c r="H97" s="1153"/>
      <c r="I97" s="1157"/>
      <c r="J97" s="1158"/>
      <c r="K97" s="1159"/>
      <c r="L97" s="1162"/>
      <c r="M97" s="1163"/>
      <c r="N97" s="1"/>
      <c r="O97" s="12"/>
      <c r="P97" s="685"/>
      <c r="Q97" s="86"/>
      <c r="R97" s="366"/>
      <c r="S97" s="1"/>
      <c r="V97" s="1"/>
      <c r="W97" s="1"/>
      <c r="X97" s="1"/>
      <c r="Y97" s="1"/>
    </row>
    <row r="98" spans="1:26">
      <c r="A98" s="339"/>
      <c r="B98" s="199"/>
      <c r="C98" s="199"/>
      <c r="D98" s="273"/>
      <c r="E98" s="199"/>
      <c r="F98" s="366"/>
      <c r="G98" s="378"/>
      <c r="H98" s="529" t="s">
        <v>91</v>
      </c>
      <c r="I98" s="1164" t="s">
        <v>47</v>
      </c>
      <c r="J98" s="1164"/>
      <c r="K98" s="1045">
        <f>98.88+5</f>
        <v>103.88</v>
      </c>
      <c r="L98" s="282">
        <v>44180</v>
      </c>
      <c r="M98" s="44" t="s">
        <v>161</v>
      </c>
      <c r="O98" s="84"/>
      <c r="P98" s="685"/>
      <c r="Q98" s="86"/>
      <c r="R98" s="366"/>
      <c r="S98" s="1"/>
      <c r="T98" s="1"/>
      <c r="V98" s="282"/>
      <c r="W98" s="1"/>
      <c r="X98" s="1"/>
      <c r="Y98" s="1"/>
    </row>
    <row r="99" spans="1:26">
      <c r="A99" s="339"/>
      <c r="B99" s="366"/>
      <c r="C99" s="274"/>
      <c r="D99" s="273"/>
      <c r="E99" s="274"/>
      <c r="F99" s="366"/>
      <c r="G99" s="366"/>
      <c r="H99" s="529" t="s">
        <v>91</v>
      </c>
      <c r="I99" s="1149" t="s">
        <v>51</v>
      </c>
      <c r="J99" s="1149"/>
      <c r="K99" s="1044">
        <v>9.17</v>
      </c>
      <c r="L99" s="282">
        <v>44180</v>
      </c>
      <c r="M99" s="44" t="s">
        <v>161</v>
      </c>
      <c r="N99" s="506"/>
      <c r="O99" s="84"/>
      <c r="P99" s="685"/>
      <c r="Q99" s="571"/>
      <c r="R99" s="86"/>
      <c r="S99" s="1"/>
      <c r="T99" s="1"/>
      <c r="V99" s="282"/>
      <c r="W99" s="1"/>
      <c r="X99" s="1"/>
      <c r="Y99" s="1"/>
    </row>
    <row r="100" spans="1:26">
      <c r="A100" s="340"/>
      <c r="B100" s="366"/>
      <c r="C100" s="366"/>
      <c r="D100" s="273"/>
      <c r="E100" s="199"/>
      <c r="F100" s="366"/>
      <c r="G100" s="366"/>
      <c r="H100" s="529" t="s">
        <v>91</v>
      </c>
      <c r="I100" s="1149" t="s">
        <v>52</v>
      </c>
      <c r="J100" s="1149"/>
      <c r="K100" s="1044">
        <v>1.7</v>
      </c>
      <c r="L100" s="282">
        <v>44180</v>
      </c>
      <c r="M100" s="44" t="s">
        <v>161</v>
      </c>
      <c r="O100" s="84"/>
      <c r="P100" s="685"/>
      <c r="Q100" s="86"/>
      <c r="R100" s="1041"/>
      <c r="S100" s="1"/>
      <c r="T100" s="1"/>
      <c r="V100" s="282"/>
      <c r="W100" s="282"/>
      <c r="X100" s="282"/>
      <c r="Y100" s="1"/>
      <c r="Z100" s="1"/>
    </row>
    <row r="101" spans="1:26">
      <c r="A101" s="340"/>
      <c r="B101" s="366"/>
      <c r="C101" s="366"/>
      <c r="D101" s="273"/>
      <c r="E101" s="366"/>
      <c r="F101" s="366"/>
      <c r="G101" s="366"/>
      <c r="H101" s="529" t="s">
        <v>91</v>
      </c>
      <c r="I101" s="1229" t="s">
        <v>49</v>
      </c>
      <c r="J101" s="1229"/>
      <c r="K101" s="1044">
        <v>89</v>
      </c>
      <c r="L101" s="294">
        <v>44185</v>
      </c>
      <c r="M101" s="44" t="s">
        <v>201</v>
      </c>
      <c r="O101" s="84"/>
      <c r="P101" s="685"/>
      <c r="Q101" s="366"/>
      <c r="R101" s="86"/>
      <c r="S101" s="1"/>
      <c r="T101" s="282"/>
      <c r="U101" s="1"/>
      <c r="V101" s="282"/>
      <c r="W101" s="282"/>
      <c r="X101" s="282"/>
      <c r="Y101" s="1"/>
      <c r="Z101" s="1"/>
    </row>
    <row r="102" spans="1:26">
      <c r="A102" s="340"/>
      <c r="B102" s="366"/>
      <c r="C102" s="366"/>
      <c r="D102" s="273"/>
      <c r="E102" s="366"/>
      <c r="F102" s="366"/>
      <c r="G102" s="366"/>
      <c r="H102" s="529" t="s">
        <v>91</v>
      </c>
      <c r="I102" s="1217" t="s">
        <v>59</v>
      </c>
      <c r="J102" s="1217"/>
      <c r="K102" s="1047">
        <v>627.51</v>
      </c>
      <c r="L102" s="302" t="s">
        <v>177</v>
      </c>
      <c r="M102" s="44" t="s">
        <v>161</v>
      </c>
      <c r="N102" s="506"/>
      <c r="O102" s="84"/>
      <c r="P102" s="685"/>
      <c r="Q102" s="480"/>
      <c r="R102" s="1041"/>
      <c r="S102" s="1"/>
      <c r="T102" s="282"/>
      <c r="U102" s="1"/>
      <c r="V102" s="1"/>
      <c r="W102" s="282"/>
      <c r="X102" s="282"/>
      <c r="Y102" s="1"/>
      <c r="Z102" s="1"/>
    </row>
    <row r="103" spans="1:26">
      <c r="A103" s="340"/>
      <c r="B103" s="199"/>
      <c r="C103" s="199"/>
      <c r="D103" s="273"/>
      <c r="E103" s="199"/>
      <c r="F103" s="366"/>
      <c r="G103" s="366"/>
      <c r="H103" s="529" t="s">
        <v>91</v>
      </c>
      <c r="I103" s="1218" t="s">
        <v>68</v>
      </c>
      <c r="J103" s="1219"/>
      <c r="K103" s="1044">
        <v>59.48</v>
      </c>
      <c r="L103" s="282">
        <v>44185</v>
      </c>
      <c r="M103" s="44" t="s">
        <v>161</v>
      </c>
      <c r="O103" s="84"/>
      <c r="P103" s="437"/>
      <c r="Q103" s="366"/>
      <c r="R103" s="1041"/>
      <c r="S103" s="1"/>
      <c r="T103" s="282"/>
      <c r="U103" s="1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199"/>
      <c r="F104" s="366"/>
      <c r="G104" s="366"/>
      <c r="H104" s="529" t="s">
        <v>91</v>
      </c>
      <c r="I104" s="1218" t="s">
        <v>174</v>
      </c>
      <c r="J104" s="1219"/>
      <c r="K104" s="1044">
        <f>44.05+117.96</f>
        <v>162.01</v>
      </c>
      <c r="L104" s="282">
        <v>44180</v>
      </c>
      <c r="M104" s="44" t="s">
        <v>161</v>
      </c>
      <c r="N104" s="506"/>
      <c r="O104" s="84"/>
      <c r="P104" s="86"/>
      <c r="Q104" s="366"/>
      <c r="R104" s="1041"/>
      <c r="S104" s="1041"/>
      <c r="T104" s="282"/>
      <c r="U104" s="282"/>
      <c r="V104" s="282"/>
      <c r="W104" s="1"/>
      <c r="X104" s="1"/>
      <c r="Y104" s="1"/>
      <c r="Z104" s="1"/>
    </row>
    <row r="105" spans="1:26">
      <c r="A105" s="340"/>
      <c r="B105" s="199"/>
      <c r="C105" s="366"/>
      <c r="D105" s="273"/>
      <c r="E105" s="199"/>
      <c r="F105" s="366"/>
      <c r="G105" s="366"/>
      <c r="H105" s="1033" t="s">
        <v>241</v>
      </c>
      <c r="I105" s="1036" t="s">
        <v>176</v>
      </c>
      <c r="J105" s="1037"/>
      <c r="K105" s="1044" t="s">
        <v>258</v>
      </c>
      <c r="L105" s="282">
        <v>44185</v>
      </c>
      <c r="M105" s="44" t="s">
        <v>161</v>
      </c>
      <c r="N105" s="506"/>
      <c r="O105" s="84"/>
      <c r="P105" s="86"/>
      <c r="Q105" s="366"/>
      <c r="R105" s="485"/>
      <c r="S105" s="150"/>
      <c r="T105" s="1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 t="s">
        <v>91</v>
      </c>
      <c r="I106" s="1218" t="s">
        <v>81</v>
      </c>
      <c r="J106" s="1219"/>
      <c r="K106" s="1044">
        <v>769.85</v>
      </c>
      <c r="L106" s="282">
        <v>44175</v>
      </c>
      <c r="M106" s="44" t="s">
        <v>161</v>
      </c>
      <c r="O106" s="84"/>
      <c r="P106" s="86"/>
      <c r="Q106" s="485"/>
      <c r="R106" s="365"/>
      <c r="S106" s="150"/>
      <c r="T106" s="282"/>
      <c r="U106" s="282"/>
      <c r="V106" s="282"/>
      <c r="W106" s="282"/>
      <c r="X106" s="282"/>
      <c r="Y106" s="366"/>
      <c r="Z106" s="1"/>
    </row>
    <row r="107" spans="1:26">
      <c r="A107" s="340"/>
      <c r="B107" s="199"/>
      <c r="C107" s="366"/>
      <c r="D107" s="273"/>
      <c r="E107" s="232"/>
      <c r="F107" s="366"/>
      <c r="G107" s="366"/>
      <c r="H107" s="529" t="s">
        <v>91</v>
      </c>
      <c r="I107" s="1218" t="s">
        <v>53</v>
      </c>
      <c r="J107" s="1219"/>
      <c r="K107" s="455">
        <v>10</v>
      </c>
      <c r="L107" s="282">
        <v>44180</v>
      </c>
      <c r="M107" s="44" t="s">
        <v>161</v>
      </c>
      <c r="N107" s="506"/>
      <c r="O107" s="84"/>
      <c r="P107" s="86"/>
      <c r="Q107" s="1041"/>
      <c r="R107" s="1041"/>
      <c r="S107" s="1"/>
      <c r="T107" s="282"/>
      <c r="U107" s="282"/>
      <c r="V107" s="282"/>
      <c r="W107" s="282"/>
      <c r="X107" s="282"/>
      <c r="Y107" s="366"/>
      <c r="Z107" s="1"/>
    </row>
    <row r="108" spans="1:26">
      <c r="A108" s="340"/>
      <c r="B108" s="199"/>
      <c r="C108" s="366"/>
      <c r="D108" s="273"/>
      <c r="E108" s="232"/>
      <c r="F108" s="366"/>
      <c r="G108" s="366"/>
      <c r="H108" s="529" t="s">
        <v>91</v>
      </c>
      <c r="I108" s="1230" t="s">
        <v>300</v>
      </c>
      <c r="J108" s="1230"/>
      <c r="K108" s="676">
        <v>100</v>
      </c>
      <c r="L108" s="282">
        <v>44195</v>
      </c>
      <c r="M108" s="44" t="s">
        <v>161</v>
      </c>
      <c r="O108" s="84"/>
      <c r="P108" s="86"/>
      <c r="Q108" s="1041"/>
      <c r="R108" s="1041"/>
      <c r="S108" s="366"/>
      <c r="T108" s="282"/>
      <c r="U108" s="282"/>
      <c r="V108" s="282"/>
      <c r="W108" s="282"/>
      <c r="X108" s="282"/>
      <c r="Y108" s="1"/>
      <c r="Z108" s="1"/>
    </row>
    <row r="109" spans="1:26">
      <c r="A109" s="340"/>
      <c r="B109" s="199"/>
      <c r="C109" s="366"/>
      <c r="D109" s="273"/>
      <c r="E109" s="232"/>
      <c r="F109" s="366"/>
      <c r="G109" s="366"/>
      <c r="H109" s="529" t="s">
        <v>91</v>
      </c>
      <c r="I109" s="1230" t="s">
        <v>325</v>
      </c>
      <c r="J109" s="1230"/>
      <c r="K109" s="676">
        <v>9</v>
      </c>
      <c r="L109" s="282">
        <v>44180</v>
      </c>
      <c r="M109" s="44" t="s">
        <v>161</v>
      </c>
      <c r="O109" s="84"/>
      <c r="P109" s="86"/>
      <c r="Q109" s="1041"/>
      <c r="R109" s="1041"/>
      <c r="S109" s="366"/>
      <c r="T109" s="282"/>
      <c r="U109" s="282"/>
      <c r="V109" s="282"/>
      <c r="W109" s="282"/>
      <c r="X109" s="282"/>
      <c r="Y109" s="1"/>
      <c r="Z109" s="1"/>
    </row>
    <row r="110" spans="1:26">
      <c r="A110" s="340"/>
      <c r="B110" s="199"/>
      <c r="C110" s="366"/>
      <c r="D110" s="273"/>
      <c r="E110" s="232"/>
      <c r="F110" s="366"/>
      <c r="G110" s="366"/>
      <c r="H110" s="529" t="s">
        <v>91</v>
      </c>
      <c r="I110" s="1150" t="s">
        <v>374</v>
      </c>
      <c r="J110" s="1151"/>
      <c r="K110" s="476">
        <v>1601.98</v>
      </c>
      <c r="L110" s="282">
        <v>44195</v>
      </c>
      <c r="M110" s="44" t="s">
        <v>161</v>
      </c>
      <c r="O110" s="84"/>
      <c r="P110" s="86"/>
      <c r="Q110" s="1041"/>
      <c r="R110" s="1041"/>
      <c r="S110" s="366"/>
      <c r="T110" s="282"/>
      <c r="U110" s="282"/>
      <c r="V110" s="282"/>
      <c r="W110" s="282"/>
      <c r="X110" s="282"/>
      <c r="Y110" s="1"/>
      <c r="Z110" s="1"/>
    </row>
    <row r="111" spans="1:26">
      <c r="A111" s="340"/>
      <c r="B111" s="199"/>
      <c r="C111" s="366"/>
      <c r="D111" s="273"/>
      <c r="E111" s="232"/>
      <c r="F111" s="366"/>
      <c r="G111" s="366"/>
      <c r="H111" s="529" t="s">
        <v>91</v>
      </c>
      <c r="I111" s="1146" t="s">
        <v>446</v>
      </c>
      <c r="J111" s="1146"/>
      <c r="K111" s="676">
        <v>50</v>
      </c>
      <c r="L111" s="282"/>
      <c r="M111" s="44"/>
      <c r="O111" s="84"/>
      <c r="P111" s="86"/>
      <c r="Q111" s="1051"/>
      <c r="R111" s="1051"/>
      <c r="S111" s="366"/>
      <c r="T111" s="282"/>
      <c r="U111" s="282"/>
      <c r="V111" s="282"/>
      <c r="W111" s="282"/>
      <c r="X111" s="282"/>
      <c r="Y111" s="1"/>
      <c r="Z111" s="1"/>
    </row>
    <row r="112" spans="1:26" ht="15.75" thickBot="1">
      <c r="A112" s="341"/>
      <c r="B112" s="330"/>
      <c r="C112" s="331"/>
      <c r="D112" s="342"/>
      <c r="E112" s="330"/>
      <c r="F112" s="331"/>
      <c r="G112" s="331"/>
      <c r="H112" s="1236" t="s">
        <v>179</v>
      </c>
      <c r="I112" s="1237"/>
      <c r="J112" s="361">
        <f>SUM(K98:K111)</f>
        <v>3593.58</v>
      </c>
      <c r="K112" s="1147" t="s">
        <v>180</v>
      </c>
      <c r="L112" s="1147"/>
      <c r="M112" s="535">
        <v>0</v>
      </c>
      <c r="O112" s="84"/>
      <c r="P112" s="86"/>
      <c r="Q112" s="1041"/>
      <c r="R112" s="365"/>
      <c r="S112" s="366"/>
      <c r="T112" s="282"/>
      <c r="U112" s="282"/>
      <c r="V112" s="1"/>
      <c r="W112" s="282"/>
      <c r="X112" s="282"/>
      <c r="Y112" s="1"/>
      <c r="Z112" s="1"/>
    </row>
    <row r="113" spans="1:26" ht="15.75" thickTop="1">
      <c r="C113" s="507"/>
      <c r="D113" s="507"/>
      <c r="O113" s="84"/>
      <c r="P113" s="86"/>
      <c r="Q113" s="1041"/>
      <c r="R113" s="365"/>
      <c r="S113" s="366"/>
      <c r="T113" s="282"/>
      <c r="U113" s="282"/>
      <c r="V113" s="1"/>
      <c r="W113" s="282"/>
      <c r="X113" s="282"/>
      <c r="Y113" s="1"/>
      <c r="Z113" s="1"/>
    </row>
    <row r="114" spans="1:26" ht="15" customHeight="1">
      <c r="A114" s="1211" t="s">
        <v>415</v>
      </c>
      <c r="B114" s="1211"/>
      <c r="C114" s="1211"/>
      <c r="D114" s="1211"/>
      <c r="E114" s="1211"/>
      <c r="F114" s="1211"/>
      <c r="G114" s="1211"/>
      <c r="H114" s="1211"/>
      <c r="I114" s="1211"/>
      <c r="J114" s="1211"/>
      <c r="K114" s="1211"/>
      <c r="L114" s="1211"/>
      <c r="M114" s="1211"/>
      <c r="O114" s="84"/>
      <c r="P114" s="86"/>
      <c r="Q114" s="1041"/>
      <c r="R114" s="1041"/>
      <c r="S114" s="1"/>
      <c r="T114" s="282"/>
      <c r="U114" s="282"/>
      <c r="V114" s="1"/>
      <c r="W114" s="1"/>
      <c r="X114" s="1"/>
      <c r="Y114" s="1"/>
      <c r="Z114" s="1"/>
    </row>
    <row r="115" spans="1:26" ht="15.75" customHeight="1" thickBot="1">
      <c r="A115" s="1212"/>
      <c r="B115" s="1212"/>
      <c r="C115" s="1212"/>
      <c r="D115" s="1212"/>
      <c r="E115" s="1212"/>
      <c r="F115" s="1212"/>
      <c r="G115" s="1212"/>
      <c r="H115" s="1212"/>
      <c r="I115" s="1212"/>
      <c r="J115" s="1212"/>
      <c r="K115" s="1212"/>
      <c r="L115" s="1212"/>
      <c r="M115" s="1212"/>
      <c r="O115" s="84"/>
      <c r="P115" s="86"/>
      <c r="Q115" s="1041"/>
      <c r="R115" s="1041"/>
      <c r="S115" s="1"/>
      <c r="T115" s="1"/>
      <c r="U115" s="282"/>
      <c r="V115" s="1"/>
      <c r="W115" s="1"/>
      <c r="X115" s="1"/>
      <c r="Y115" s="1"/>
      <c r="Z115" s="1"/>
    </row>
    <row r="116" spans="1:26" ht="15.75" thickTop="1">
      <c r="A116" s="1255" t="s">
        <v>43</v>
      </c>
      <c r="B116" s="1227"/>
      <c r="C116" s="1227"/>
      <c r="D116" s="1227"/>
      <c r="E116" s="1227"/>
      <c r="F116" s="1256"/>
      <c r="G116" s="323"/>
      <c r="O116" s="84"/>
      <c r="P116" s="86"/>
      <c r="Q116" s="686"/>
      <c r="R116" s="1041"/>
      <c r="S116" s="1"/>
      <c r="T116" s="1"/>
      <c r="U116" s="282"/>
      <c r="V116" s="1"/>
      <c r="W116" s="1"/>
      <c r="X116" s="1"/>
      <c r="Y116" s="1"/>
      <c r="Z116" s="1"/>
    </row>
    <row r="117" spans="1:26">
      <c r="A117" s="1144" t="s">
        <v>371</v>
      </c>
      <c r="B117" s="1145"/>
      <c r="C117" s="1040" t="s">
        <v>35</v>
      </c>
      <c r="D117" s="1040" t="s">
        <v>38</v>
      </c>
      <c r="E117" s="1040" t="s">
        <v>42</v>
      </c>
      <c r="F117" s="1040" t="s">
        <v>44</v>
      </c>
      <c r="G117" s="1"/>
      <c r="O117" s="84"/>
      <c r="P117" s="86"/>
      <c r="Q117" s="1041"/>
      <c r="R117" s="1041"/>
      <c r="S117" s="1"/>
      <c r="T117" s="1"/>
      <c r="U117" s="1"/>
      <c r="W117" s="1"/>
      <c r="X117" s="1"/>
      <c r="Y117" s="1"/>
      <c r="Z117" s="1"/>
    </row>
    <row r="118" spans="1:26">
      <c r="A118" s="1248" t="s">
        <v>40</v>
      </c>
      <c r="B118" s="1224"/>
      <c r="C118" s="1007">
        <v>788.34</v>
      </c>
      <c r="D118" s="1007">
        <v>788.34</v>
      </c>
      <c r="E118" s="482">
        <v>0</v>
      </c>
      <c r="F118" s="3"/>
      <c r="G118" s="1"/>
      <c r="O118" s="84"/>
      <c r="P118" s="86"/>
      <c r="Q118" s="1041"/>
      <c r="R118" s="1041"/>
      <c r="S118" s="1"/>
      <c r="T118" s="1"/>
      <c r="U118" s="1"/>
      <c r="W118" s="1"/>
      <c r="X118" s="1"/>
      <c r="Y118" s="1"/>
      <c r="Z118" s="1"/>
    </row>
    <row r="119" spans="1:26">
      <c r="A119" s="340"/>
      <c r="B119" s="366"/>
      <c r="C119" s="514">
        <f>SUM(C118:C118)</f>
        <v>788.34</v>
      </c>
      <c r="D119" s="366"/>
      <c r="E119" s="84"/>
      <c r="F119" s="366"/>
      <c r="G119" s="1"/>
      <c r="K119" s="506"/>
      <c r="O119" s="84"/>
      <c r="P119" s="86"/>
      <c r="Q119" s="1041"/>
      <c r="R119" s="1041"/>
      <c r="T119" s="1"/>
      <c r="U119" s="1"/>
      <c r="Z119" s="1"/>
    </row>
    <row r="120" spans="1:26">
      <c r="A120" s="340"/>
      <c r="B120" s="366"/>
      <c r="C120" s="366"/>
      <c r="D120" s="366"/>
      <c r="E120" s="366"/>
      <c r="F120" s="366"/>
      <c r="G120" s="1"/>
      <c r="O120" s="84"/>
      <c r="P120" s="86"/>
      <c r="Q120" s="1041"/>
      <c r="R120" s="1041"/>
      <c r="U120" s="1"/>
      <c r="Z120" s="1"/>
    </row>
    <row r="121" spans="1:26">
      <c r="A121" s="340"/>
      <c r="B121" s="366"/>
      <c r="C121" s="366"/>
      <c r="D121" s="366"/>
      <c r="E121" s="366"/>
      <c r="F121" s="366"/>
      <c r="G121" s="1"/>
      <c r="M121" s="506"/>
      <c r="O121" s="84"/>
      <c r="P121" s="86"/>
      <c r="Q121" s="1041"/>
      <c r="R121" s="1041"/>
      <c r="U121" s="1"/>
      <c r="Z121" s="1"/>
    </row>
    <row r="122" spans="1:26">
      <c r="A122" s="340"/>
      <c r="B122" s="366"/>
      <c r="C122" s="366"/>
      <c r="D122" s="366"/>
      <c r="E122" s="366"/>
      <c r="F122" s="366"/>
      <c r="G122" s="1"/>
      <c r="O122" s="84"/>
      <c r="P122" s="86"/>
      <c r="Q122" s="1041"/>
      <c r="R122" s="1041"/>
      <c r="U122" s="1"/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1041"/>
      <c r="R123" s="1041"/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1041"/>
      <c r="R124" s="1041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1041"/>
      <c r="R125" s="1041"/>
    </row>
    <row r="126" spans="1:26">
      <c r="A126" s="43"/>
      <c r="B126" s="1"/>
      <c r="C126" s="366"/>
      <c r="D126" s="1"/>
      <c r="E126" s="1"/>
      <c r="F126" s="1"/>
      <c r="G126" s="1"/>
      <c r="M126" s="366"/>
      <c r="O126" s="84"/>
      <c r="P126" s="86"/>
      <c r="Q126" s="1041"/>
      <c r="R126" s="1041"/>
    </row>
    <row r="127" spans="1:26">
      <c r="A127" s="43"/>
      <c r="B127" s="1"/>
      <c r="C127" s="366"/>
      <c r="D127" s="1"/>
      <c r="E127" s="1"/>
      <c r="F127" s="1"/>
      <c r="G127" s="1"/>
      <c r="M127" s="366"/>
      <c r="O127" s="84"/>
      <c r="P127" s="86"/>
      <c r="Q127" s="1041"/>
      <c r="R127" s="1041"/>
    </row>
    <row r="128" spans="1:26">
      <c r="A128" s="43"/>
      <c r="B128" s="1"/>
      <c r="C128" s="366"/>
      <c r="D128" s="1"/>
      <c r="E128" s="1"/>
      <c r="F128" s="1"/>
      <c r="G128" s="1"/>
      <c r="M128" s="1"/>
      <c r="O128" s="84"/>
      <c r="P128" s="86"/>
      <c r="Q128" s="1041"/>
      <c r="R128" s="1041"/>
    </row>
    <row r="129" spans="1:26">
      <c r="A129" s="43"/>
      <c r="B129" s="1"/>
      <c r="C129" s="366"/>
      <c r="D129" s="1"/>
      <c r="E129" s="1"/>
      <c r="F129" s="1"/>
      <c r="G129" s="1"/>
      <c r="M129" s="1"/>
      <c r="O129" s="84"/>
      <c r="P129" s="86"/>
      <c r="Q129" s="1041"/>
      <c r="R129" s="1041"/>
    </row>
    <row r="130" spans="1:26">
      <c r="A130" s="43"/>
      <c r="B130" s="1"/>
      <c r="C130" s="366"/>
      <c r="D130" s="1"/>
      <c r="E130" s="1"/>
      <c r="F130" s="1"/>
      <c r="G130" s="1"/>
      <c r="M130" s="1"/>
      <c r="O130" s="84"/>
      <c r="P130" s="86"/>
      <c r="Q130" s="86"/>
      <c r="R130" s="1041"/>
    </row>
    <row r="131" spans="1:26">
      <c r="A131" s="43"/>
      <c r="B131" s="1"/>
      <c r="C131" s="366"/>
      <c r="D131" s="1"/>
      <c r="E131" s="1"/>
      <c r="F131" s="1"/>
      <c r="G131" s="1"/>
      <c r="M131" s="1"/>
      <c r="O131" s="84"/>
      <c r="P131" s="86"/>
      <c r="Q131" s="86"/>
      <c r="R131" s="1041"/>
    </row>
    <row r="132" spans="1:26">
      <c r="A132" s="43"/>
      <c r="B132" s="1"/>
      <c r="C132" s="366"/>
      <c r="D132" s="1"/>
      <c r="E132" s="1"/>
      <c r="F132" s="1"/>
      <c r="G132" s="1"/>
      <c r="O132" s="84"/>
      <c r="P132" s="86"/>
      <c r="Q132" s="86"/>
      <c r="R132" s="1041"/>
    </row>
    <row r="133" spans="1:26">
      <c r="A133" s="43"/>
      <c r="B133" s="1"/>
      <c r="C133" s="366"/>
      <c r="D133" s="1"/>
      <c r="E133" s="1"/>
      <c r="F133" s="1"/>
      <c r="G133" s="1"/>
      <c r="O133" s="84"/>
      <c r="P133" s="86"/>
      <c r="Q133" s="86"/>
      <c r="R133" s="1041"/>
    </row>
    <row r="134" spans="1:26">
      <c r="C134" s="447"/>
      <c r="O134" s="84"/>
      <c r="P134" s="86"/>
      <c r="Q134" s="86"/>
      <c r="R134" s="145"/>
    </row>
    <row r="135" spans="1:26">
      <c r="A135" s="12"/>
      <c r="C135" s="447"/>
      <c r="O135" s="84"/>
      <c r="P135" s="86"/>
      <c r="Q135" s="86"/>
      <c r="R135" s="366"/>
    </row>
    <row r="136" spans="1:26">
      <c r="C136" s="447"/>
      <c r="O136" s="84"/>
      <c r="R136" s="366"/>
    </row>
    <row r="137" spans="1:26" s="1" customFormat="1" ht="12.75" customHeight="1">
      <c r="A137" s="449"/>
      <c r="B137" s="199"/>
      <c r="D137" s="273"/>
      <c r="E137" s="366"/>
      <c r="F137" s="366"/>
      <c r="G137" s="366"/>
      <c r="H137" s="565"/>
      <c r="I137" s="942"/>
      <c r="J137" s="437"/>
      <c r="K137" s="643"/>
      <c r="L137" s="643"/>
      <c r="M137" s="436"/>
      <c r="O137" s="84"/>
      <c r="P137" s="84"/>
      <c r="Q137" s="145"/>
      <c r="R137" s="84"/>
      <c r="S137" s="84"/>
      <c r="T137" s="366"/>
      <c r="U137" s="366"/>
      <c r="V137" s="366"/>
      <c r="W137" s="366"/>
      <c r="X137" s="366"/>
      <c r="Y137" s="366"/>
      <c r="Z137" s="366"/>
    </row>
    <row r="138" spans="1:26">
      <c r="C138" s="447"/>
      <c r="O138" s="84"/>
      <c r="R138" s="366"/>
    </row>
    <row r="139" spans="1:26">
      <c r="C139" s="447"/>
      <c r="O139" s="150"/>
      <c r="R139" s="366"/>
    </row>
    <row r="140" spans="1:26">
      <c r="C140" s="447"/>
      <c r="R140" s="366"/>
    </row>
    <row r="141" spans="1:26">
      <c r="C141" s="447"/>
      <c r="R141" s="366"/>
    </row>
    <row r="142" spans="1:26">
      <c r="C142" s="447"/>
      <c r="R142" s="950"/>
    </row>
    <row r="143" spans="1:26">
      <c r="C143" s="447"/>
    </row>
  </sheetData>
  <mergeCells count="132">
    <mergeCell ref="A116:F116"/>
    <mergeCell ref="A117:B117"/>
    <mergeCell ref="A118:B118"/>
    <mergeCell ref="I108:J108"/>
    <mergeCell ref="I109:J109"/>
    <mergeCell ref="I110:J110"/>
    <mergeCell ref="H112:I112"/>
    <mergeCell ref="K112:L112"/>
    <mergeCell ref="A114:M115"/>
    <mergeCell ref="I111:J111"/>
    <mergeCell ref="I101:J101"/>
    <mergeCell ref="I102:J102"/>
    <mergeCell ref="I103:J103"/>
    <mergeCell ref="I104:J104"/>
    <mergeCell ref="I106:J106"/>
    <mergeCell ref="I107:J107"/>
    <mergeCell ref="H96:H97"/>
    <mergeCell ref="I96:K97"/>
    <mergeCell ref="L96:M97"/>
    <mergeCell ref="I98:J98"/>
    <mergeCell ref="I99:J99"/>
    <mergeCell ref="I100:J100"/>
    <mergeCell ref="I78:J78"/>
    <mergeCell ref="L78:M78"/>
    <mergeCell ref="A79:B79"/>
    <mergeCell ref="H79:J79"/>
    <mergeCell ref="L79:M79"/>
    <mergeCell ref="H80:H81"/>
    <mergeCell ref="I80:I81"/>
    <mergeCell ref="J80:K80"/>
    <mergeCell ref="L80:L81"/>
    <mergeCell ref="M80:M81"/>
    <mergeCell ref="I75:J75"/>
    <mergeCell ref="L75:M75"/>
    <mergeCell ref="I76:J76"/>
    <mergeCell ref="L76:M76"/>
    <mergeCell ref="I77:J77"/>
    <mergeCell ref="L77:M77"/>
    <mergeCell ref="I72:J72"/>
    <mergeCell ref="L72:M72"/>
    <mergeCell ref="I73:J73"/>
    <mergeCell ref="L73:M73"/>
    <mergeCell ref="I74:J74"/>
    <mergeCell ref="L74:M74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K57:L57"/>
    <mergeCell ref="H58:K58"/>
    <mergeCell ref="A59:M60"/>
    <mergeCell ref="A61:G61"/>
    <mergeCell ref="H61:M61"/>
    <mergeCell ref="I62:J62"/>
    <mergeCell ref="L62:M62"/>
    <mergeCell ref="I52:J52"/>
    <mergeCell ref="I53:J53"/>
    <mergeCell ref="I54:J54"/>
    <mergeCell ref="I55:J55"/>
    <mergeCell ref="I56:J56"/>
    <mergeCell ref="H57:I57"/>
    <mergeCell ref="I44:J44"/>
    <mergeCell ref="I45:J45"/>
    <mergeCell ref="I46:J46"/>
    <mergeCell ref="I49:J49"/>
    <mergeCell ref="I50:J50"/>
    <mergeCell ref="I51:J51"/>
    <mergeCell ref="H39:H40"/>
    <mergeCell ref="I39:K40"/>
    <mergeCell ref="L39:M40"/>
    <mergeCell ref="I41:J41"/>
    <mergeCell ref="I42:J42"/>
    <mergeCell ref="I43:J43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72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1"/>
  <sheetViews>
    <sheetView zoomScaleNormal="100" zoomScaleSheetLayoutView="115" zoomScalePageLayoutView="70" workbookViewId="0">
      <pane xSplit="1" ySplit="1" topLeftCell="F32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6.7109375" style="35" customWidth="1"/>
    <col min="4" max="4" width="13.5703125" style="35" customWidth="1"/>
    <col min="5" max="5" width="12.85546875" style="35" customWidth="1"/>
    <col min="6" max="7" width="16.7109375" style="35" customWidth="1"/>
    <col min="8" max="13" width="18.7109375" style="35" customWidth="1"/>
    <col min="14" max="16384" width="9.140625" style="35"/>
  </cols>
  <sheetData>
    <row r="1" spans="2:16" ht="14.1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2:16" ht="14.1" customHeight="1">
      <c r="B2" s="16">
        <f>IF(C2="","",WEEKDAY(C2,2))</f>
        <v>7</v>
      </c>
      <c r="C2" s="17">
        <v>44164</v>
      </c>
      <c r="D2" s="796"/>
      <c r="E2" s="796"/>
      <c r="F2" s="913"/>
      <c r="G2" s="227">
        <v>617.5</v>
      </c>
      <c r="H2" s="1061"/>
      <c r="I2" s="708"/>
      <c r="J2" s="464"/>
      <c r="K2" s="464"/>
      <c r="L2" s="464"/>
    </row>
    <row r="3" spans="2:16" ht="14.1" customHeight="1">
      <c r="B3" s="16">
        <f t="shared" ref="B3" si="0">IF(C3="","",WEEKDAY(C3,2))</f>
        <v>1</v>
      </c>
      <c r="C3" s="17">
        <v>44165</v>
      </c>
      <c r="D3" s="796"/>
      <c r="E3" s="796"/>
      <c r="F3" s="913"/>
      <c r="G3" s="227">
        <v>589.6</v>
      </c>
      <c r="H3" s="1061"/>
      <c r="I3" s="709"/>
      <c r="J3" s="464"/>
      <c r="K3" s="464"/>
      <c r="L3" s="1287"/>
      <c r="M3" s="1288"/>
    </row>
    <row r="4" spans="2:16" ht="14.1" customHeight="1">
      <c r="B4" s="16">
        <f>IF(C4="","",WEEKDAY(C4,2))</f>
        <v>2</v>
      </c>
      <c r="C4" s="17">
        <v>44166</v>
      </c>
      <c r="D4" s="796">
        <v>1341.1</v>
      </c>
      <c r="E4" s="796">
        <v>40</v>
      </c>
      <c r="F4" s="913"/>
      <c r="G4" s="227">
        <v>247.3</v>
      </c>
      <c r="H4" s="1040"/>
      <c r="I4" s="708"/>
      <c r="J4" s="464"/>
      <c r="K4"/>
      <c r="L4" s="464"/>
      <c r="M4"/>
    </row>
    <row r="5" spans="2:16" ht="14.1" customHeight="1">
      <c r="B5" s="16">
        <f t="shared" ref="B5:B33" si="1">IF(C5="","",WEEKDAY(C5,2))</f>
        <v>3</v>
      </c>
      <c r="C5" s="17">
        <v>44167</v>
      </c>
      <c r="D5" s="796">
        <v>954.6</v>
      </c>
      <c r="E5" s="796"/>
      <c r="F5" s="913"/>
      <c r="G5" s="227">
        <v>386.6</v>
      </c>
      <c r="H5" s="1040"/>
      <c r="I5" s="709"/>
      <c r="J5" s="464"/>
      <c r="K5" s="464"/>
      <c r="L5" s="464"/>
    </row>
    <row r="6" spans="2:16" ht="14.1" customHeight="1">
      <c r="B6" s="16">
        <f t="shared" si="1"/>
        <v>4</v>
      </c>
      <c r="C6" s="17">
        <v>44168</v>
      </c>
      <c r="D6" s="796"/>
      <c r="E6" s="796">
        <v>679.75</v>
      </c>
      <c r="F6" s="913"/>
      <c r="G6" s="227"/>
      <c r="H6" s="1040">
        <v>219</v>
      </c>
      <c r="I6" s="709" t="s">
        <v>452</v>
      </c>
      <c r="J6" s="464"/>
      <c r="K6" s="464"/>
      <c r="L6" s="464"/>
    </row>
    <row r="7" spans="2:16" ht="14.1" customHeight="1">
      <c r="B7" s="16">
        <f t="shared" si="1"/>
        <v>5</v>
      </c>
      <c r="C7" s="17">
        <v>44169</v>
      </c>
      <c r="D7" s="796"/>
      <c r="E7" s="796">
        <v>793.5</v>
      </c>
      <c r="F7" s="913"/>
      <c r="G7" s="227">
        <v>357.5</v>
      </c>
      <c r="H7" s="1040"/>
      <c r="I7" s="85"/>
      <c r="J7" s="464"/>
      <c r="K7" s="464"/>
      <c r="L7" s="464"/>
    </row>
    <row r="8" spans="2:16" ht="14.1" customHeight="1">
      <c r="B8" s="16">
        <f t="shared" si="1"/>
        <v>6</v>
      </c>
      <c r="C8" s="17">
        <v>44170</v>
      </c>
      <c r="D8" s="796">
        <v>255.8</v>
      </c>
      <c r="E8" s="778"/>
      <c r="F8" s="913"/>
      <c r="G8" s="227">
        <v>616.5</v>
      </c>
      <c r="H8" s="1040"/>
      <c r="I8" s="85"/>
      <c r="J8" s="464"/>
      <c r="K8" s="464"/>
      <c r="L8" s="464"/>
    </row>
    <row r="9" spans="2:16" ht="14.1" customHeight="1">
      <c r="B9" s="16">
        <f t="shared" si="1"/>
        <v>7</v>
      </c>
      <c r="C9" s="17">
        <v>44171</v>
      </c>
      <c r="D9" s="796">
        <v>1130</v>
      </c>
      <c r="E9" s="796"/>
      <c r="F9" s="913"/>
      <c r="G9" s="227">
        <v>513.35</v>
      </c>
      <c r="H9" s="915"/>
      <c r="I9" s="85"/>
      <c r="J9" s="464"/>
      <c r="K9" s="464"/>
      <c r="L9" s="464"/>
    </row>
    <row r="10" spans="2:16" ht="14.1" customHeight="1">
      <c r="B10" s="16">
        <f t="shared" si="1"/>
        <v>1</v>
      </c>
      <c r="C10" s="17">
        <v>44172</v>
      </c>
      <c r="D10" s="796"/>
      <c r="E10" s="796">
        <v>298</v>
      </c>
      <c r="F10" s="913"/>
      <c r="G10" s="227">
        <v>278.89999999999998</v>
      </c>
      <c r="H10" s="925"/>
      <c r="I10" s="765"/>
      <c r="J10" s="464"/>
      <c r="K10" s="464"/>
      <c r="L10" s="464"/>
    </row>
    <row r="11" spans="2:16" ht="14.1" customHeight="1">
      <c r="B11" s="16">
        <f t="shared" si="1"/>
        <v>2</v>
      </c>
      <c r="C11" s="17">
        <v>44173</v>
      </c>
      <c r="D11" s="778">
        <v>192.3</v>
      </c>
      <c r="E11" s="796">
        <v>333.31</v>
      </c>
      <c r="F11" s="913"/>
      <c r="G11" s="227"/>
      <c r="H11" s="18"/>
      <c r="I11" s="765"/>
      <c r="J11" s="464"/>
      <c r="K11" s="464"/>
      <c r="L11" s="464"/>
    </row>
    <row r="12" spans="2:16" ht="14.1" customHeight="1">
      <c r="B12" s="16">
        <f t="shared" si="1"/>
        <v>3</v>
      </c>
      <c r="C12" s="17">
        <v>44174</v>
      </c>
      <c r="D12" s="796">
        <v>528</v>
      </c>
      <c r="E12" s="796"/>
      <c r="F12" s="913"/>
      <c r="G12" s="227">
        <v>482</v>
      </c>
      <c r="H12" s="431"/>
      <c r="I12" s="765"/>
      <c r="J12" s="464"/>
      <c r="K12" s="464"/>
      <c r="L12" s="464"/>
    </row>
    <row r="13" spans="2:16" ht="14.1" customHeight="1">
      <c r="B13" s="16">
        <f t="shared" si="1"/>
        <v>4</v>
      </c>
      <c r="C13" s="17">
        <v>44175</v>
      </c>
      <c r="D13" s="796">
        <v>715.35</v>
      </c>
      <c r="E13" s="796"/>
      <c r="F13" s="913"/>
      <c r="G13" s="227">
        <v>479.8</v>
      </c>
      <c r="H13" s="226"/>
      <c r="I13" s="1040"/>
      <c r="J13" s="464"/>
      <c r="K13" s="466"/>
      <c r="L13" s="464"/>
      <c r="N13" s="86"/>
      <c r="O13" s="86"/>
      <c r="P13" s="86"/>
    </row>
    <row r="14" spans="2:16" ht="14.1" customHeight="1">
      <c r="B14" s="16">
        <f t="shared" si="1"/>
        <v>5</v>
      </c>
      <c r="C14" s="17">
        <v>44176</v>
      </c>
      <c r="D14" s="778">
        <v>62</v>
      </c>
      <c r="E14" s="796">
        <v>430.5</v>
      </c>
      <c r="F14" s="913"/>
      <c r="G14" s="227">
        <v>238.7</v>
      </c>
      <c r="H14" s="226"/>
      <c r="I14" s="765"/>
      <c r="J14" s="464"/>
      <c r="K14" s="466"/>
      <c r="L14" s="464"/>
      <c r="N14" s="86"/>
      <c r="O14" s="86"/>
      <c r="P14" s="86"/>
    </row>
    <row r="15" spans="2:16" ht="14.1" customHeight="1">
      <c r="B15" s="16">
        <f t="shared" si="1"/>
        <v>6</v>
      </c>
      <c r="C15" s="17">
        <v>44177</v>
      </c>
      <c r="D15" s="796"/>
      <c r="E15" s="796">
        <v>596.6</v>
      </c>
      <c r="F15" s="913"/>
      <c r="G15" s="227">
        <v>968</v>
      </c>
      <c r="H15" s="226"/>
      <c r="I15" s="765"/>
      <c r="J15" s="464"/>
      <c r="K15" s="466"/>
      <c r="L15" s="464"/>
      <c r="N15" s="86"/>
      <c r="O15" s="86"/>
      <c r="P15" s="86"/>
    </row>
    <row r="16" spans="2:16" ht="14.1" customHeight="1">
      <c r="B16" s="16">
        <f t="shared" si="1"/>
        <v>7</v>
      </c>
      <c r="C16" s="17">
        <v>44178</v>
      </c>
      <c r="D16" s="796">
        <v>817.5</v>
      </c>
      <c r="E16" s="796"/>
      <c r="F16" s="913"/>
      <c r="G16" s="227"/>
      <c r="H16" s="226">
        <v>529.82000000000005</v>
      </c>
      <c r="I16" s="765" t="s">
        <v>190</v>
      </c>
      <c r="J16" s="464"/>
      <c r="K16" s="466"/>
      <c r="L16" s="464"/>
      <c r="N16" s="86"/>
      <c r="O16" s="86"/>
      <c r="P16" s="86"/>
    </row>
    <row r="17" spans="1:16" ht="14.1" customHeight="1">
      <c r="A17" s="86"/>
      <c r="B17" s="16">
        <f t="shared" si="1"/>
        <v>1</v>
      </c>
      <c r="C17" s="17">
        <v>44179</v>
      </c>
      <c r="D17" s="796">
        <v>669.51</v>
      </c>
      <c r="E17" s="796"/>
      <c r="F17" s="913"/>
      <c r="G17" s="227"/>
      <c r="H17" s="1040">
        <v>288.85000000000002</v>
      </c>
      <c r="I17" s="765" t="s">
        <v>190</v>
      </c>
      <c r="J17" s="464"/>
      <c r="K17" s="466"/>
      <c r="L17" s="464"/>
      <c r="N17" s="86"/>
      <c r="O17" s="86"/>
      <c r="P17" s="86"/>
    </row>
    <row r="18" spans="1:16" ht="14.1" customHeight="1">
      <c r="A18" s="86"/>
      <c r="B18" s="16">
        <f t="shared" si="1"/>
        <v>2</v>
      </c>
      <c r="C18" s="17">
        <v>44180</v>
      </c>
      <c r="D18" s="796"/>
      <c r="E18" s="796">
        <v>507</v>
      </c>
      <c r="F18" s="913"/>
      <c r="G18" s="227">
        <v>837.7</v>
      </c>
      <c r="H18" s="925"/>
      <c r="I18" s="765"/>
      <c r="J18" s="464"/>
      <c r="K18" s="466"/>
      <c r="L18" s="466"/>
      <c r="M18" s="86"/>
      <c r="N18" s="86"/>
      <c r="O18" s="86"/>
      <c r="P18" s="86"/>
    </row>
    <row r="19" spans="1:16" ht="14.1" customHeight="1">
      <c r="A19" s="86"/>
      <c r="B19" s="16">
        <f t="shared" si="1"/>
        <v>3</v>
      </c>
      <c r="C19" s="17">
        <v>44181</v>
      </c>
      <c r="D19" s="796"/>
      <c r="E19" s="796">
        <v>1191.3</v>
      </c>
      <c r="F19" s="913"/>
      <c r="G19" s="227">
        <v>1042.9000000000001</v>
      </c>
      <c r="H19" s="14"/>
      <c r="I19" s="765"/>
      <c r="J19" s="464"/>
      <c r="K19" s="466"/>
      <c r="L19" s="468"/>
      <c r="M19" s="86"/>
      <c r="N19" s="86"/>
      <c r="O19" s="86"/>
      <c r="P19" s="86"/>
    </row>
    <row r="20" spans="1:16" ht="14.1" customHeight="1">
      <c r="A20" s="86"/>
      <c r="B20" s="16">
        <f t="shared" si="1"/>
        <v>4</v>
      </c>
      <c r="C20" s="17">
        <v>44182</v>
      </c>
      <c r="D20" s="796"/>
      <c r="E20" s="796">
        <v>1079.3</v>
      </c>
      <c r="F20" s="913"/>
      <c r="G20" s="227">
        <v>929.3</v>
      </c>
      <c r="H20" s="226"/>
      <c r="I20" s="765"/>
      <c r="J20" s="464"/>
      <c r="K20" s="466"/>
      <c r="L20" s="466"/>
      <c r="M20" s="86"/>
      <c r="N20" s="86"/>
      <c r="O20" s="86"/>
      <c r="P20" s="86"/>
    </row>
    <row r="21" spans="1:16" ht="14.1" customHeight="1">
      <c r="A21" s="86"/>
      <c r="B21" s="16">
        <f t="shared" si="1"/>
        <v>5</v>
      </c>
      <c r="C21" s="17">
        <v>44183</v>
      </c>
      <c r="D21" s="796"/>
      <c r="E21" s="796"/>
      <c r="F21" s="913"/>
      <c r="G21" s="227">
        <v>1313.8</v>
      </c>
      <c r="H21" s="14">
        <v>844.6</v>
      </c>
      <c r="I21" s="765" t="s">
        <v>189</v>
      </c>
      <c r="J21" s="464"/>
      <c r="K21" s="466"/>
      <c r="L21" s="466"/>
      <c r="M21" s="86"/>
      <c r="N21" s="86"/>
      <c r="O21" s="86"/>
      <c r="P21" s="86"/>
    </row>
    <row r="22" spans="1:16" s="86" customFormat="1" ht="14.1" customHeight="1">
      <c r="A22" s="475"/>
      <c r="B22" s="16">
        <f t="shared" si="1"/>
        <v>6</v>
      </c>
      <c r="C22" s="17">
        <v>44184</v>
      </c>
      <c r="D22" s="796"/>
      <c r="E22" s="796">
        <v>1060.5</v>
      </c>
      <c r="F22" s="913">
        <v>1159</v>
      </c>
      <c r="G22" s="227"/>
      <c r="H22" s="22"/>
      <c r="I22" s="766"/>
      <c r="J22" s="466"/>
      <c r="K22" s="466"/>
      <c r="L22" s="466"/>
    </row>
    <row r="23" spans="1:16" s="86" customFormat="1" ht="14.1" customHeight="1">
      <c r="B23" s="16">
        <f t="shared" si="1"/>
        <v>7</v>
      </c>
      <c r="C23" s="17">
        <v>44185</v>
      </c>
      <c r="D23" s="778"/>
      <c r="E23" s="796">
        <v>1488.8</v>
      </c>
      <c r="F23" s="913"/>
      <c r="G23" s="227">
        <v>915.7</v>
      </c>
      <c r="H23" s="226"/>
      <c r="I23" s="766"/>
      <c r="J23" s="466"/>
      <c r="K23" s="466"/>
      <c r="L23" s="466"/>
    </row>
    <row r="24" spans="1:16" s="86" customFormat="1" ht="14.1" customHeight="1">
      <c r="B24" s="16">
        <f t="shared" si="1"/>
        <v>1</v>
      </c>
      <c r="C24" s="17">
        <v>44186</v>
      </c>
      <c r="D24" s="778"/>
      <c r="E24" s="796">
        <v>986.1</v>
      </c>
      <c r="F24" s="913"/>
      <c r="G24" s="227">
        <v>338</v>
      </c>
      <c r="H24" s="226"/>
      <c r="I24" s="766"/>
      <c r="J24" s="466"/>
      <c r="K24" s="466"/>
      <c r="L24" s="466"/>
    </row>
    <row r="25" spans="1:16" s="86" customFormat="1" ht="14.1" customHeight="1">
      <c r="A25" s="928"/>
      <c r="B25" s="16">
        <f t="shared" si="1"/>
        <v>2</v>
      </c>
      <c r="C25" s="17">
        <v>44187</v>
      </c>
      <c r="D25" s="796"/>
      <c r="E25" s="796"/>
      <c r="F25" s="913">
        <v>728</v>
      </c>
      <c r="G25" s="913">
        <v>1517.8</v>
      </c>
      <c r="H25" s="476"/>
      <c r="I25" s="766"/>
      <c r="J25" s="466"/>
      <c r="K25" s="466"/>
      <c r="L25" s="466"/>
    </row>
    <row r="26" spans="1:16" s="86" customFormat="1" ht="14.1" customHeight="1">
      <c r="A26" s="928"/>
      <c r="B26" s="16">
        <f t="shared" si="1"/>
        <v>3</v>
      </c>
      <c r="C26" s="17">
        <v>44188</v>
      </c>
      <c r="D26" s="796"/>
      <c r="E26" s="796">
        <v>586.1</v>
      </c>
      <c r="F26" s="913">
        <v>691.9</v>
      </c>
      <c r="G26" s="227"/>
      <c r="H26" s="226"/>
      <c r="I26" s="766"/>
      <c r="J26" s="466"/>
      <c r="K26" s="743"/>
      <c r="L26" s="466"/>
    </row>
    <row r="27" spans="1:16" s="86" customFormat="1" ht="14.1" customHeight="1">
      <c r="B27" s="16">
        <f t="shared" si="1"/>
        <v>4</v>
      </c>
      <c r="C27" s="17">
        <v>44189</v>
      </c>
      <c r="D27" s="796"/>
      <c r="E27" s="796">
        <v>1043</v>
      </c>
      <c r="F27" s="913"/>
      <c r="G27" s="227">
        <v>997.1</v>
      </c>
      <c r="H27" s="226"/>
      <c r="I27" s="766"/>
      <c r="J27" s="466"/>
      <c r="K27" s="466"/>
      <c r="L27" s="477"/>
    </row>
    <row r="28" spans="1:16" s="86" customFormat="1" ht="14.1" customHeight="1">
      <c r="B28" s="16">
        <f t="shared" si="1"/>
        <v>5</v>
      </c>
      <c r="C28" s="17">
        <v>44190</v>
      </c>
      <c r="D28" s="796"/>
      <c r="E28" s="796">
        <v>1429.3</v>
      </c>
      <c r="F28" s="913"/>
      <c r="G28" s="227">
        <v>1037.9000000000001</v>
      </c>
      <c r="H28" s="226"/>
      <c r="I28" s="766"/>
      <c r="J28" s="466"/>
      <c r="K28" s="466"/>
      <c r="L28" s="477"/>
    </row>
    <row r="29" spans="1:16" s="86" customFormat="1" ht="14.1" customHeight="1">
      <c r="B29" s="16">
        <f t="shared" si="1"/>
        <v>6</v>
      </c>
      <c r="C29" s="17">
        <v>44191</v>
      </c>
      <c r="D29" s="796"/>
      <c r="E29" s="796"/>
      <c r="F29" s="913">
        <v>917.4</v>
      </c>
      <c r="G29" s="913">
        <v>1031</v>
      </c>
      <c r="H29" s="226"/>
      <c r="I29" s="766"/>
      <c r="J29" s="469"/>
      <c r="K29" s="469"/>
      <c r="L29" s="469"/>
      <c r="M29" s="366"/>
      <c r="N29" s="366"/>
      <c r="O29" s="366"/>
      <c r="P29" s="366"/>
    </row>
    <row r="30" spans="1:16" s="86" customFormat="1" ht="14.1" customHeight="1">
      <c r="A30" s="475"/>
      <c r="B30" s="16">
        <f t="shared" si="1"/>
        <v>7</v>
      </c>
      <c r="C30" s="17">
        <v>44192</v>
      </c>
      <c r="D30" s="796"/>
      <c r="E30" s="796"/>
      <c r="F30" s="913">
        <v>1027.6600000000001</v>
      </c>
      <c r="G30" s="913">
        <v>678.3</v>
      </c>
      <c r="H30" s="226"/>
      <c r="I30" s="766"/>
      <c r="J30" s="469"/>
      <c r="K30" s="469"/>
      <c r="L30" s="469"/>
      <c r="M30" s="366"/>
      <c r="N30" s="366"/>
      <c r="O30" s="366"/>
      <c r="P30" s="366"/>
    </row>
    <row r="31" spans="1:16" s="86" customFormat="1" ht="14.1" customHeight="1">
      <c r="B31" s="16">
        <f t="shared" si="1"/>
        <v>1</v>
      </c>
      <c r="C31" s="17">
        <v>44193</v>
      </c>
      <c r="D31" s="778"/>
      <c r="E31" s="796">
        <v>960.7</v>
      </c>
      <c r="F31" s="741"/>
      <c r="G31" s="226">
        <v>604</v>
      </c>
      <c r="H31" s="226"/>
      <c r="I31" s="766"/>
      <c r="J31" s="469"/>
      <c r="K31" s="467"/>
      <c r="L31" s="467"/>
      <c r="M31" s="366"/>
      <c r="N31" s="366"/>
      <c r="O31" s="366"/>
      <c r="P31" s="366"/>
    </row>
    <row r="32" spans="1:16" s="86" customFormat="1" ht="14.1" customHeight="1">
      <c r="B32" s="16">
        <f t="shared" si="1"/>
        <v>2</v>
      </c>
      <c r="C32" s="17">
        <v>44194</v>
      </c>
      <c r="D32" s="796"/>
      <c r="E32" s="796">
        <v>565.1</v>
      </c>
      <c r="F32" s="741"/>
      <c r="G32" s="226">
        <v>903.9</v>
      </c>
      <c r="H32" s="226"/>
      <c r="I32" s="766"/>
      <c r="J32" s="467"/>
      <c r="K32" s="469"/>
      <c r="L32" s="467"/>
      <c r="M32" s="366"/>
      <c r="N32" s="366"/>
      <c r="O32" s="366"/>
      <c r="P32" s="366"/>
    </row>
    <row r="33" spans="1:16" s="86" customFormat="1" ht="14.1" customHeight="1">
      <c r="A33" s="475"/>
      <c r="B33" s="16">
        <f t="shared" si="1"/>
        <v>3</v>
      </c>
      <c r="C33" s="17">
        <v>44195</v>
      </c>
      <c r="D33" s="796"/>
      <c r="E33" s="796">
        <v>773.1</v>
      </c>
      <c r="F33" s="741">
        <v>958.9</v>
      </c>
      <c r="H33" s="22"/>
      <c r="I33" s="767"/>
      <c r="J33" s="470"/>
      <c r="K33" s="470"/>
      <c r="L33" s="470"/>
      <c r="M33" s="366"/>
      <c r="N33" s="366"/>
      <c r="O33" s="366"/>
      <c r="P33" s="366"/>
    </row>
    <row r="34" spans="1:16" s="86" customFormat="1" ht="14.1" customHeight="1">
      <c r="A34" s="475"/>
      <c r="B34" s="16">
        <f t="shared" ref="B34" si="2">IF(C34="","",WEEKDAY(C34,2))</f>
        <v>4</v>
      </c>
      <c r="C34" s="17">
        <v>44196</v>
      </c>
      <c r="D34" s="796"/>
      <c r="E34" s="778"/>
      <c r="F34" s="741">
        <v>506.5</v>
      </c>
      <c r="G34" s="741">
        <v>301</v>
      </c>
      <c r="H34" s="366"/>
      <c r="I34" s="470"/>
      <c r="J34" s="470"/>
      <c r="K34" s="470"/>
      <c r="L34" s="470"/>
      <c r="M34" s="145"/>
      <c r="N34" s="366"/>
      <c r="O34" s="366"/>
      <c r="P34" s="366"/>
    </row>
    <row r="35" spans="1:16" ht="14.1" customHeight="1" thickBot="1">
      <c r="B35" s="21"/>
      <c r="C35" s="612" t="s">
        <v>225</v>
      </c>
      <c r="D35" s="85">
        <v>8</v>
      </c>
      <c r="E35" s="85">
        <v>18</v>
      </c>
      <c r="F35" s="85">
        <f>COUNT(F4:F34)</f>
        <v>7</v>
      </c>
      <c r="G35" s="85">
        <f>COUNT(G2:G34)</f>
        <v>26</v>
      </c>
      <c r="I35" s="470"/>
      <c r="J35" s="470"/>
      <c r="K35" s="470"/>
      <c r="L35" s="470"/>
      <c r="M35" s="366"/>
      <c r="N35" s="366"/>
      <c r="O35" s="366"/>
      <c r="P35" s="366"/>
    </row>
    <row r="36" spans="1:16" ht="14.1" customHeight="1" thickBot="1">
      <c r="B36" s="21"/>
      <c r="C36" s="85" t="s">
        <v>73</v>
      </c>
      <c r="D36" s="238">
        <f>SUM(D4:D34)</f>
        <v>6666.1600000000008</v>
      </c>
      <c r="E36" s="238">
        <f>SUM(E4:E34)</f>
        <v>14841.960000000001</v>
      </c>
      <c r="F36" s="238">
        <f>SUM(F4:F34)</f>
        <v>5989.36</v>
      </c>
      <c r="G36" s="238">
        <f>SUM(G2:G34)</f>
        <v>18224.150000000001</v>
      </c>
      <c r="H36" s="1"/>
      <c r="I36" s="253" t="s">
        <v>189</v>
      </c>
      <c r="J36" s="292" t="s">
        <v>190</v>
      </c>
      <c r="K36" s="453" t="s">
        <v>219</v>
      </c>
      <c r="L36" s="363"/>
      <c r="M36" s="366"/>
      <c r="N36" s="366"/>
      <c r="O36" s="366"/>
      <c r="P36" s="366"/>
    </row>
    <row r="37" spans="1:16" ht="14.1" customHeight="1" thickBot="1">
      <c r="B37" s="21"/>
      <c r="C37" s="85" t="s">
        <v>22</v>
      </c>
      <c r="D37" s="238">
        <v>6661.7</v>
      </c>
      <c r="E37" s="238">
        <v>14480.3</v>
      </c>
      <c r="F37" s="238">
        <v>5874.98</v>
      </c>
      <c r="G37" s="238">
        <v>18069.55</v>
      </c>
      <c r="H37" s="12"/>
      <c r="I37" s="292">
        <f>SUM(D4:E34)-D11+G34+G30+G29+G25+H21</f>
        <v>25688.519999999993</v>
      </c>
      <c r="J37" s="292">
        <f>SUM(F4:G24)+H16+H17+H6+D11+F25+F26+G27+G28+F29+F30+G31+G32+F33+F34</f>
        <v>20708.280000000002</v>
      </c>
      <c r="K37" s="454">
        <f>SUM(I4:I34)</f>
        <v>0</v>
      </c>
      <c r="L37" s="363"/>
      <c r="M37" s="366"/>
      <c r="N37" s="366"/>
      <c r="O37" s="366"/>
      <c r="P37" s="366"/>
    </row>
    <row r="38" spans="1:16" ht="14.1" customHeight="1">
      <c r="B38" s="21"/>
      <c r="C38" s="85" t="s">
        <v>5</v>
      </c>
      <c r="D38" s="88">
        <f t="shared" ref="D38:G38" si="3">ABS(D36-D37)</f>
        <v>4.4600000000009459</v>
      </c>
      <c r="E38" s="88">
        <f t="shared" si="3"/>
        <v>361.66000000000167</v>
      </c>
      <c r="F38" s="88">
        <f t="shared" si="3"/>
        <v>114.38000000000011</v>
      </c>
      <c r="G38" s="88">
        <f t="shared" si="3"/>
        <v>154.60000000000218</v>
      </c>
      <c r="H38" s="1"/>
      <c r="I38" s="363"/>
      <c r="J38" s="363"/>
      <c r="K38" s="363"/>
      <c r="L38" s="363"/>
      <c r="M38" s="366"/>
      <c r="N38" s="366"/>
      <c r="O38" s="366"/>
      <c r="P38" s="366"/>
    </row>
    <row r="39" spans="1:16" ht="14.1" customHeight="1">
      <c r="B39" s="21"/>
      <c r="C39" s="739" t="s">
        <v>233</v>
      </c>
      <c r="D39" s="89">
        <f>ROUND(D38*1%,2)</f>
        <v>0.04</v>
      </c>
      <c r="E39" s="89">
        <f t="shared" ref="E39" si="4">ROUND(E38*1%,2)</f>
        <v>3.62</v>
      </c>
      <c r="F39" s="89">
        <f>ROUND(F38*1%,2)</f>
        <v>1.1399999999999999</v>
      </c>
      <c r="G39" s="89">
        <f>ROUND(G38*1%,2)</f>
        <v>1.55</v>
      </c>
      <c r="H39" s="1"/>
      <c r="I39" s="363"/>
      <c r="J39" s="363"/>
      <c r="K39" s="363"/>
      <c r="L39" s="363"/>
      <c r="M39" s="366"/>
      <c r="N39" s="366"/>
      <c r="O39" s="366"/>
      <c r="P39" s="366"/>
    </row>
    <row r="40" spans="1:16" ht="14.1" customHeight="1">
      <c r="B40" s="21"/>
      <c r="C40" s="738" t="s">
        <v>234</v>
      </c>
      <c r="D40" s="89">
        <f>ROUND(3%*D37,2)</f>
        <v>199.85</v>
      </c>
      <c r="E40" s="89">
        <f>ROUND(3%*E37,2)</f>
        <v>434.41</v>
      </c>
      <c r="F40" s="89">
        <f>ROUND(3%*F37,2)</f>
        <v>176.25</v>
      </c>
      <c r="G40" s="89">
        <f>ROUND(3%*G37,2)</f>
        <v>542.09</v>
      </c>
      <c r="H40" s="1"/>
      <c r="I40" s="145"/>
      <c r="J40" s="145"/>
      <c r="K40" s="366"/>
      <c r="L40" s="363"/>
      <c r="M40" s="366"/>
      <c r="N40" s="366"/>
      <c r="O40" s="366"/>
      <c r="P40" s="366"/>
    </row>
    <row r="41" spans="1:16" ht="14.1" customHeight="1">
      <c r="B41" s="21"/>
      <c r="C41" s="85" t="s">
        <v>7</v>
      </c>
      <c r="D41" s="87">
        <v>25</v>
      </c>
      <c r="E41" s="87">
        <v>75</v>
      </c>
      <c r="F41" s="87"/>
      <c r="G41" s="87">
        <v>40</v>
      </c>
      <c r="H41" s="12"/>
      <c r="I41" s="145"/>
      <c r="J41" s="145"/>
      <c r="K41" s="366"/>
      <c r="L41" s="363"/>
      <c r="M41" s="366"/>
      <c r="N41" s="366"/>
      <c r="O41" s="366"/>
      <c r="P41" s="366"/>
    </row>
    <row r="42" spans="1:16" ht="14.1" customHeight="1">
      <c r="B42" s="21"/>
      <c r="C42" s="85" t="s">
        <v>14</v>
      </c>
      <c r="D42" s="87">
        <f>20*8</f>
        <v>160</v>
      </c>
      <c r="E42" s="87">
        <f>ROUND(20*E35,2)</f>
        <v>360</v>
      </c>
      <c r="F42" s="87">
        <f>ROUND(25*F35,2)</f>
        <v>175</v>
      </c>
      <c r="G42" s="88">
        <f>ROUND(25*22,2)+ROUND(20*4,2)</f>
        <v>630</v>
      </c>
      <c r="H42" s="8"/>
      <c r="I42" s="283"/>
      <c r="J42" s="145"/>
      <c r="K42" s="145"/>
      <c r="L42" s="363"/>
      <c r="M42" s="366"/>
      <c r="N42" s="366"/>
      <c r="O42" s="366"/>
      <c r="P42" s="366"/>
    </row>
    <row r="43" spans="1:16" ht="14.1" customHeight="1">
      <c r="B43" s="21"/>
      <c r="C43" s="85" t="s">
        <v>449</v>
      </c>
      <c r="D43" s="87">
        <v>25</v>
      </c>
      <c r="E43" s="87">
        <v>50</v>
      </c>
      <c r="F43" s="87"/>
      <c r="G43" s="88">
        <v>50</v>
      </c>
      <c r="H43" s="8"/>
      <c r="I43" s="283"/>
      <c r="J43" s="145"/>
      <c r="K43" s="145"/>
      <c r="L43" s="363"/>
      <c r="M43" s="366"/>
      <c r="N43" s="366"/>
      <c r="O43" s="366"/>
      <c r="P43" s="366"/>
    </row>
    <row r="44" spans="1:16" ht="14.1" customHeight="1">
      <c r="B44" s="21"/>
      <c r="C44" s="85" t="s">
        <v>450</v>
      </c>
      <c r="D44" s="72"/>
      <c r="E44" s="87">
        <v>30</v>
      </c>
      <c r="F44" s="87"/>
      <c r="G44" s="88">
        <v>30</v>
      </c>
      <c r="H44" s="8"/>
      <c r="I44" s="283"/>
      <c r="J44" s="145"/>
      <c r="K44" s="145"/>
      <c r="L44" s="363"/>
      <c r="M44" s="366"/>
      <c r="N44" s="366"/>
      <c r="O44" s="366"/>
      <c r="P44" s="366"/>
    </row>
    <row r="45" spans="1:16" ht="14.1" customHeight="1">
      <c r="B45" s="21"/>
      <c r="C45" s="1015" t="s">
        <v>48</v>
      </c>
      <c r="D45" s="72"/>
      <c r="E45" s="87"/>
      <c r="F45" s="87"/>
      <c r="G45" s="88">
        <v>205</v>
      </c>
      <c r="H45" s="8"/>
      <c r="I45" s="283"/>
      <c r="J45" s="145"/>
      <c r="K45" s="145"/>
      <c r="L45" s="363"/>
      <c r="M45" s="366"/>
      <c r="N45" s="366"/>
      <c r="O45" s="366"/>
      <c r="P45" s="366"/>
    </row>
    <row r="46" spans="1:16" ht="14.1" customHeight="1">
      <c r="B46" s="1014"/>
      <c r="C46" s="1015" t="s">
        <v>94</v>
      </c>
      <c r="E46" s="241">
        <v>180.88</v>
      </c>
      <c r="F46" s="87"/>
      <c r="G46" s="87">
        <v>44.05</v>
      </c>
      <c r="I46" s="145"/>
      <c r="J46" s="145"/>
      <c r="K46" s="366"/>
      <c r="L46" s="363"/>
      <c r="M46" s="366"/>
      <c r="N46" s="366"/>
      <c r="O46" s="366"/>
      <c r="P46" s="366"/>
    </row>
    <row r="47" spans="1:16" ht="14.1" customHeight="1">
      <c r="B47" s="21"/>
      <c r="C47" s="1015" t="s">
        <v>453</v>
      </c>
      <c r="D47" s="18"/>
      <c r="E47" s="241">
        <v>17.5</v>
      </c>
      <c r="F47" s="87"/>
      <c r="G47" s="87">
        <v>50</v>
      </c>
      <c r="H47" s="12"/>
      <c r="I47" s="283"/>
      <c r="J47" s="145"/>
      <c r="K47" s="366"/>
      <c r="L47" s="366"/>
      <c r="M47" s="366"/>
      <c r="N47" s="366"/>
      <c r="O47" s="366"/>
      <c r="P47" s="366"/>
    </row>
    <row r="48" spans="1:16" ht="14.1" customHeight="1">
      <c r="B48" s="31"/>
      <c r="C48" s="245" t="s">
        <v>77</v>
      </c>
      <c r="D48" s="456">
        <f>D39+D40+D41+D42+D43</f>
        <v>409.89</v>
      </c>
      <c r="E48" s="456">
        <f>E39+E40+E41+E42+E43+E44-E46-E47</f>
        <v>754.65</v>
      </c>
      <c r="F48" s="456" t="e">
        <f>F39+F40+F42-F46-F47-#REF!</f>
        <v>#REF!</v>
      </c>
      <c r="G48" s="456">
        <f>G49-G47-G46-G45</f>
        <v>994.58999999999992</v>
      </c>
      <c r="H48" s="8"/>
      <c r="I48" s="145"/>
      <c r="J48" s="145"/>
      <c r="K48" s="366"/>
      <c r="L48" s="366"/>
      <c r="M48" s="366"/>
      <c r="N48" s="366"/>
      <c r="O48" s="366"/>
      <c r="P48" s="366"/>
    </row>
    <row r="49" spans="1:22" ht="14.1" customHeight="1">
      <c r="B49" s="21"/>
      <c r="C49" s="286" t="s">
        <v>45</v>
      </c>
      <c r="D49" s="287"/>
      <c r="E49" s="287">
        <f>E39+E40+E42+E41+E43+E44</f>
        <v>953.03</v>
      </c>
      <c r="F49" s="287">
        <f>F39+F40+F42</f>
        <v>352.39</v>
      </c>
      <c r="G49" s="287">
        <f>G39+G40+G41+G42+G43+G44</f>
        <v>1293.6399999999999</v>
      </c>
      <c r="H49" s="8"/>
      <c r="I49" s="462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ht="14.1" customHeight="1">
      <c r="B50" s="21"/>
      <c r="C50" s="169"/>
      <c r="D50" s="364"/>
      <c r="E50" s="462"/>
      <c r="F50" s="8"/>
      <c r="G50" s="8"/>
      <c r="H50" s="8"/>
      <c r="I50" s="283"/>
      <c r="J50" s="145"/>
      <c r="K50" s="366"/>
      <c r="L50" s="366"/>
      <c r="M50" s="366"/>
      <c r="N50" s="366"/>
      <c r="O50" s="366"/>
      <c r="P50" s="366"/>
      <c r="Q50" s="1"/>
      <c r="R50" s="1"/>
      <c r="S50" s="1"/>
      <c r="T50" s="1"/>
      <c r="U50" s="1"/>
      <c r="V50" s="1"/>
    </row>
    <row r="51" spans="1:22" s="86" customFormat="1" ht="14.1" customHeight="1">
      <c r="A51" s="168"/>
      <c r="B51" s="475"/>
      <c r="C51" s="363"/>
      <c r="D51" s="363"/>
      <c r="E51" s="363"/>
      <c r="F51" s="363"/>
      <c r="G51" s="363" t="s">
        <v>454</v>
      </c>
      <c r="H51" s="8"/>
      <c r="I51" s="68"/>
      <c r="J51" s="145"/>
      <c r="K51" s="366"/>
      <c r="L51" s="366"/>
      <c r="M51" s="145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.95" customHeight="1">
      <c r="A52" s="168"/>
      <c r="B52" s="475"/>
      <c r="C52" s="1284" t="s">
        <v>451</v>
      </c>
      <c r="D52" s="1284"/>
      <c r="E52" s="145"/>
      <c r="F52" s="168"/>
      <c r="G52" s="168"/>
      <c r="H52" s="168"/>
      <c r="I52" s="72"/>
      <c r="J52" s="366"/>
      <c r="K52" s="366"/>
      <c r="L52" s="366"/>
      <c r="M52" s="145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ht="12.95" customHeight="1">
      <c r="B53" s="32"/>
      <c r="C53" s="1284"/>
      <c r="D53" s="1284"/>
      <c r="E53" s="12"/>
      <c r="G53" s="8"/>
      <c r="H53" s="207"/>
      <c r="I53" s="68"/>
      <c r="J53" s="366"/>
      <c r="K53" s="366"/>
      <c r="L53" s="366"/>
      <c r="M53" s="366"/>
      <c r="N53" s="366"/>
      <c r="O53" s="366"/>
      <c r="P53" s="366"/>
      <c r="Q53" s="1"/>
      <c r="R53" s="1"/>
      <c r="S53" s="1"/>
      <c r="T53" s="1"/>
      <c r="U53" s="1"/>
      <c r="V53" s="1"/>
    </row>
    <row r="54" spans="1:22" s="86" customFormat="1" ht="12.95" customHeight="1">
      <c r="B54" s="517"/>
      <c r="C54" s="1284"/>
      <c r="D54" s="1284"/>
      <c r="E54" s="518"/>
      <c r="F54" s="550"/>
      <c r="G54" s="518"/>
      <c r="H54" s="519"/>
      <c r="I54" s="1039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2.95" customHeight="1">
      <c r="C55" s="518"/>
      <c r="D55" s="518"/>
      <c r="E55" s="550"/>
      <c r="F55" s="550"/>
      <c r="G55" s="518"/>
      <c r="H55" s="168"/>
      <c r="I55" s="551"/>
      <c r="J55" s="518"/>
      <c r="K55" s="518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2" customHeight="1">
      <c r="A56" s="366"/>
      <c r="B56" s="366"/>
      <c r="C56" s="518"/>
      <c r="D56" s="518"/>
      <c r="E56" s="550"/>
      <c r="F56" s="550"/>
      <c r="G56" s="518"/>
      <c r="H56" s="519"/>
      <c r="I56" s="518"/>
      <c r="J56" s="518"/>
      <c r="K56" s="518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8.75">
      <c r="A57" s="366"/>
      <c r="B57" s="366"/>
      <c r="C57" s="366"/>
      <c r="D57" s="366"/>
      <c r="E57" s="144"/>
      <c r="F57" s="168"/>
      <c r="H57" s="519"/>
      <c r="I57" s="518"/>
      <c r="J57" s="518"/>
      <c r="K57" s="518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I58" s="143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 ht="15" customHeight="1">
      <c r="A59" s="366"/>
      <c r="B59" s="366"/>
      <c r="C59" s="366"/>
      <c r="D59" s="366"/>
      <c r="E59" s="144"/>
      <c r="H59" s="550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 ht="15" customHeight="1">
      <c r="A60" s="366"/>
      <c r="B60" s="366"/>
      <c r="C60" s="366"/>
      <c r="D60" s="366"/>
      <c r="E60" s="144"/>
      <c r="H60" s="550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 ht="15" customHeight="1">
      <c r="A61" s="366"/>
      <c r="B61" s="366"/>
      <c r="C61" s="366"/>
      <c r="D61" s="366"/>
      <c r="E61" s="144"/>
      <c r="H61" s="550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H62" s="168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 s="86" customFormat="1">
      <c r="A63" s="366"/>
      <c r="B63" s="366"/>
      <c r="C63" s="366"/>
      <c r="D63" s="366"/>
      <c r="E63" s="144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</row>
    <row r="64" spans="1:22" s="86" customFormat="1">
      <c r="A64" s="366"/>
      <c r="B64" s="366"/>
      <c r="C64" s="366"/>
      <c r="D64" s="366"/>
      <c r="E64" s="144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  <c r="U64" s="366"/>
      <c r="V64" s="366"/>
    </row>
    <row r="65" spans="1:22" s="86" customFormat="1">
      <c r="A65" s="366"/>
      <c r="B65" s="366"/>
      <c r="C65" s="366"/>
      <c r="D65" s="366"/>
      <c r="E65" s="144"/>
      <c r="J65" s="366"/>
      <c r="K65" s="366"/>
      <c r="L65" s="366"/>
      <c r="M65" s="366"/>
      <c r="N65" s="366"/>
      <c r="O65" s="366"/>
      <c r="P65" s="366"/>
      <c r="Q65" s="366"/>
      <c r="R65" s="366"/>
      <c r="S65" s="366"/>
      <c r="T65" s="366"/>
      <c r="U65" s="366"/>
      <c r="V65" s="366"/>
    </row>
    <row r="66" spans="1:22" s="86" customFormat="1">
      <c r="A66" s="366"/>
      <c r="B66" s="366"/>
      <c r="C66" s="366"/>
      <c r="D66" s="366"/>
      <c r="E66" s="144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  <c r="U66" s="366"/>
      <c r="V66" s="366"/>
    </row>
    <row r="67" spans="1:22">
      <c r="A67" s="1"/>
      <c r="B67" s="1"/>
      <c r="C67" s="1"/>
      <c r="D67" s="1"/>
      <c r="E67" s="1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11"/>
    </row>
    <row r="90" spans="1:5">
      <c r="A90" s="1"/>
      <c r="B90" s="1"/>
      <c r="C90" s="1"/>
      <c r="D90" s="1"/>
      <c r="E90" s="11"/>
    </row>
    <row r="91" spans="1:5">
      <c r="A91" s="1"/>
      <c r="B91" s="1"/>
      <c r="C91" s="1"/>
      <c r="D91" s="1"/>
      <c r="E91" s="11"/>
    </row>
    <row r="92" spans="1:5">
      <c r="A92" s="1"/>
      <c r="B92" s="1"/>
      <c r="C92" s="1"/>
      <c r="D92" s="1"/>
      <c r="E92" s="11"/>
    </row>
    <row r="93" spans="1:5">
      <c r="A93" s="1"/>
      <c r="B93" s="1"/>
      <c r="C93" s="1"/>
      <c r="D93" s="1"/>
      <c r="E93" s="2"/>
    </row>
    <row r="94" spans="1:5">
      <c r="A94" s="1"/>
      <c r="B94" s="1"/>
      <c r="C94" s="1"/>
      <c r="D94" s="1"/>
      <c r="E94" s="2"/>
    </row>
    <row r="95" spans="1:5">
      <c r="A95" s="1"/>
      <c r="B95" s="1"/>
      <c r="E95" s="2"/>
    </row>
    <row r="96" spans="1:5">
      <c r="A96" s="1"/>
      <c r="B96" s="1"/>
      <c r="E96" s="2"/>
    </row>
    <row r="97" spans="1:5">
      <c r="A97" s="1"/>
      <c r="B97" s="1"/>
      <c r="E97" s="2"/>
    </row>
    <row r="98" spans="1:5">
      <c r="B98" s="1"/>
      <c r="E98" s="2"/>
    </row>
    <row r="99" spans="1:5">
      <c r="B99" s="1"/>
      <c r="E99" s="2"/>
    </row>
    <row r="100" spans="1:5">
      <c r="E100" s="2"/>
    </row>
    <row r="101" spans="1:5">
      <c r="E101" s="2"/>
    </row>
    <row r="102" spans="1:5">
      <c r="E102" s="2"/>
    </row>
    <row r="103" spans="1:5">
      <c r="E103" s="2"/>
    </row>
    <row r="104" spans="1:5">
      <c r="E104" s="2"/>
    </row>
    <row r="105" spans="1:5">
      <c r="E105" s="2"/>
    </row>
    <row r="106" spans="1:5">
      <c r="E106" s="2"/>
    </row>
    <row r="107" spans="1:5">
      <c r="E107" s="2"/>
    </row>
    <row r="108" spans="1:5">
      <c r="E108" s="2"/>
    </row>
    <row r="109" spans="1:5">
      <c r="E109" s="2"/>
    </row>
    <row r="110" spans="1:5">
      <c r="E110" s="2"/>
    </row>
    <row r="111" spans="1:5">
      <c r="E111" s="2"/>
    </row>
    <row r="112" spans="1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</sheetData>
  <mergeCells count="1">
    <mergeCell ref="C52:D54"/>
  </mergeCells>
  <conditionalFormatting sqref="B4:G13 B16:G31 B14:D15 F14:G15 B34:G34 B32:F33 C2:C3">
    <cfRule type="expression" dxfId="15" priority="5">
      <formula>$B2=7</formula>
    </cfRule>
    <cfRule type="expression" dxfId="14" priority="6">
      <formula>$B2=6</formula>
    </cfRule>
  </conditionalFormatting>
  <conditionalFormatting sqref="E14 G32">
    <cfRule type="expression" dxfId="13" priority="47">
      <formula>$B15=7</formula>
    </cfRule>
    <cfRule type="expression" dxfId="12" priority="48">
      <formula>$B15=6</formula>
    </cfRule>
  </conditionalFormatting>
  <conditionalFormatting sqref="E15">
    <cfRule type="expression" dxfId="11" priority="3">
      <formula>$B15=7</formula>
    </cfRule>
    <cfRule type="expression" dxfId="10" priority="4">
      <formula>$B15=6</formula>
    </cfRule>
  </conditionalFormatting>
  <conditionalFormatting sqref="B2:B3 D2:G3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7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3"/>
  <sheetViews>
    <sheetView tabSelected="1" topLeftCell="A58" zoomScale="85" zoomScaleNormal="85" zoomScaleSheetLayoutView="70" zoomScalePageLayoutView="70" workbookViewId="0">
      <selection activeCell="H107" sqref="H10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1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440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1069"/>
      <c r="O2" s="1067"/>
      <c r="P2" s="1067"/>
      <c r="Q2" s="1067"/>
      <c r="R2" s="366"/>
      <c r="S2" s="1067"/>
      <c r="T2" s="1067"/>
      <c r="U2" s="1067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346</v>
      </c>
      <c r="B3" s="1166"/>
      <c r="C3" s="1166"/>
      <c r="D3" s="1166"/>
      <c r="E3" s="1166"/>
      <c r="F3" s="1166"/>
      <c r="G3" s="1167"/>
      <c r="H3" s="1250" t="s">
        <v>345</v>
      </c>
      <c r="I3" s="1251"/>
      <c r="J3" s="1251"/>
      <c r="K3" s="1251"/>
      <c r="L3" s="1251"/>
      <c r="M3" s="1252"/>
      <c r="N3" s="1069"/>
      <c r="O3" s="366"/>
      <c r="P3" s="366"/>
      <c r="Q3" s="366"/>
      <c r="R3" s="366"/>
      <c r="S3" s="366"/>
      <c r="T3" s="366"/>
      <c r="U3" s="366"/>
      <c r="V3" s="1067"/>
      <c r="W3" s="1067"/>
      <c r="X3" s="366"/>
      <c r="Y3" s="1067"/>
      <c r="Z3" s="668"/>
      <c r="AA3" s="366"/>
      <c r="AB3" s="366"/>
      <c r="AC3" s="366"/>
      <c r="AD3" s="1067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1064" t="s">
        <v>34</v>
      </c>
      <c r="C4" s="36" t="s">
        <v>35</v>
      </c>
      <c r="D4" s="36" t="s">
        <v>38</v>
      </c>
      <c r="E4" s="36" t="s">
        <v>42</v>
      </c>
      <c r="F4" s="1064" t="s">
        <v>36</v>
      </c>
      <c r="G4" s="100" t="s">
        <v>173</v>
      </c>
      <c r="H4" s="715" t="s">
        <v>2</v>
      </c>
      <c r="I4" s="1234" t="s">
        <v>34</v>
      </c>
      <c r="J4" s="1234"/>
      <c r="K4" s="1071" t="s">
        <v>35</v>
      </c>
      <c r="L4" s="1253" t="s">
        <v>173</v>
      </c>
      <c r="M4" s="1254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1054"/>
      <c r="B5" s="167" t="s">
        <v>363</v>
      </c>
      <c r="C5" s="1053">
        <v>75</v>
      </c>
      <c r="D5" s="1053">
        <v>75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44"/>
      <c r="J5" s="1245"/>
      <c r="K5" s="481"/>
      <c r="L5" s="1246"/>
      <c r="M5" s="1247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/>
      <c r="B6" s="161"/>
      <c r="C6" s="275"/>
      <c r="D6" s="275"/>
      <c r="E6" s="673" t="str">
        <f t="shared" si="0"/>
        <v/>
      </c>
      <c r="F6" s="161" t="str">
        <f t="shared" si="1"/>
        <v/>
      </c>
      <c r="G6" s="161"/>
      <c r="H6" s="717"/>
      <c r="I6" s="1244"/>
      <c r="J6" s="1245"/>
      <c r="K6" s="481"/>
      <c r="L6" s="1246"/>
      <c r="M6" s="1247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244"/>
      <c r="J7" s="1245"/>
      <c r="K7" s="481"/>
      <c r="L7" s="1248"/>
      <c r="M7" s="1249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244"/>
      <c r="J8" s="1245"/>
      <c r="K8" s="481"/>
      <c r="L8" s="1248"/>
      <c r="M8" s="1249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673" t="str">
        <f t="shared" si="0"/>
        <v/>
      </c>
      <c r="F9" s="161" t="str">
        <f t="shared" si="1"/>
        <v/>
      </c>
      <c r="G9" s="161"/>
      <c r="H9" s="717"/>
      <c r="I9" s="1244"/>
      <c r="J9" s="1245"/>
      <c r="K9" s="481"/>
      <c r="L9" s="1248"/>
      <c r="M9" s="1249"/>
      <c r="N9" s="1052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.75" customHeight="1">
      <c r="A10" s="325"/>
      <c r="B10" s="161"/>
      <c r="C10" s="275"/>
      <c r="D10" s="275"/>
      <c r="E10" s="673" t="str">
        <f t="shared" si="0"/>
        <v/>
      </c>
      <c r="F10" s="161" t="str">
        <f t="shared" si="1"/>
        <v/>
      </c>
      <c r="G10" s="161"/>
      <c r="H10" s="717"/>
      <c r="I10" s="1244"/>
      <c r="J10" s="1245"/>
      <c r="K10" s="481"/>
      <c r="L10" s="1248"/>
      <c r="M10" s="1249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s="86" customFormat="1" ht="15.75" customHeight="1">
      <c r="A11" s="325"/>
      <c r="B11" s="161"/>
      <c r="C11" s="275"/>
      <c r="D11" s="275"/>
      <c r="E11" s="673" t="str">
        <f t="shared" si="0"/>
        <v/>
      </c>
      <c r="F11" s="161" t="str">
        <f t="shared" si="1"/>
        <v/>
      </c>
      <c r="G11" s="161"/>
      <c r="H11" s="717"/>
      <c r="I11" s="1244"/>
      <c r="J11" s="1245"/>
      <c r="K11" s="481"/>
      <c r="L11" s="1248"/>
      <c r="M11" s="1249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s="86" customFormat="1" ht="14.25" customHeight="1">
      <c r="A12" s="325"/>
      <c r="B12" s="161"/>
      <c r="C12" s="275"/>
      <c r="D12" s="275"/>
      <c r="E12" s="673" t="str">
        <f t="shared" si="0"/>
        <v/>
      </c>
      <c r="F12" s="161" t="str">
        <f t="shared" si="1"/>
        <v/>
      </c>
      <c r="G12" s="161"/>
      <c r="H12" s="717"/>
      <c r="I12" s="1244"/>
      <c r="J12" s="1245"/>
      <c r="K12" s="481"/>
      <c r="L12" s="1248"/>
      <c r="M12" s="1249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44"/>
      <c r="J13" s="1245"/>
      <c r="K13" s="481"/>
      <c r="L13" s="1183"/>
      <c r="M13" s="1241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44"/>
      <c r="J14" s="1245"/>
      <c r="K14" s="481"/>
      <c r="L14" s="1183"/>
      <c r="M14" s="1241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44"/>
      <c r="J15" s="1245"/>
      <c r="K15" s="481"/>
      <c r="L15" s="1183"/>
      <c r="M15" s="1241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44"/>
      <c r="J16" s="1245"/>
      <c r="K16" s="481"/>
      <c r="L16" s="1183"/>
      <c r="M16" s="1241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44"/>
      <c r="J17" s="1245"/>
      <c r="K17" s="481"/>
      <c r="L17" s="1183"/>
      <c r="M17" s="1241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44"/>
      <c r="J18" s="1245"/>
      <c r="K18" s="481"/>
      <c r="L18" s="1183"/>
      <c r="M18" s="1241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44"/>
      <c r="J19" s="1245"/>
      <c r="K19" s="481"/>
      <c r="L19" s="1183"/>
      <c r="M19" s="1241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75</v>
      </c>
      <c r="D20" s="358"/>
      <c r="E20" s="160">
        <f>SUM(E5:E19)</f>
        <v>0</v>
      </c>
      <c r="F20" s="162"/>
      <c r="G20" s="451"/>
      <c r="H20" s="1238" t="s">
        <v>259</v>
      </c>
      <c r="I20" s="1239"/>
      <c r="J20" s="1240"/>
      <c r="K20" s="716">
        <f>SUM(K5:K19)</f>
        <v>0</v>
      </c>
      <c r="L20" s="1242"/>
      <c r="M20" s="1243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1068" t="s">
        <v>21</v>
      </c>
      <c r="K22" s="1068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5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>
      <c r="A36" s="339"/>
      <c r="B36" s="199"/>
      <c r="C36" s="1"/>
      <c r="D36" s="273"/>
      <c r="E36" s="366"/>
      <c r="F36" s="366"/>
      <c r="G36" s="366"/>
      <c r="H36" s="347" t="s">
        <v>162</v>
      </c>
      <c r="I36" s="728">
        <v>25796.49</v>
      </c>
      <c r="J36" s="438">
        <f>2.2+22+11+100+1+324+64.2+163+106+6+211.5+238+369+166+327.5+1+30+198</f>
        <v>2340.4</v>
      </c>
      <c r="K36" s="645">
        <v>1417.21</v>
      </c>
      <c r="L36" s="1000">
        <f>1442+786+491+108+201+501+256+1197+2570+42+883.5+330+192+1658+539+1550.5+1020.5+410+1497+230+17+879+290.5+569+1403.5+696+517+2100+1076.5+482+811</f>
        <v>24746</v>
      </c>
      <c r="M36" s="104">
        <f>M35-I36-J36-K36+L36</f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>
      <c r="A37" s="339"/>
      <c r="B37" s="199"/>
      <c r="C37" s="1"/>
      <c r="D37" s="273"/>
      <c r="E37" s="366"/>
      <c r="F37" s="366"/>
      <c r="G37" s="366"/>
      <c r="H37" s="379" t="s">
        <v>163</v>
      </c>
      <c r="I37" s="660">
        <v>26221.170000000002</v>
      </c>
      <c r="J37" s="432">
        <f>16.8+18.5+21+481+291+23+197.5+70.2+18+706.5+91+23+42+175+2+617+9+611</f>
        <v>3413.5</v>
      </c>
      <c r="K37" s="773">
        <f>538.23+638.25</f>
        <v>1176.48</v>
      </c>
      <c r="L37" s="1290">
        <f>600+18+110+3039+866+639+533.5+48+72+1216+449.5+602+112+5408+228+20+1228+80+1766.5+1774+202+236+466+411.5+30.5+195+5659.5+327.5</f>
        <v>26337.5</v>
      </c>
      <c r="M37" s="104">
        <f>M35-I37-J37-K37+L37</f>
        <v>78626.700000000012</v>
      </c>
      <c r="N37" s="1"/>
      <c r="O37" s="448"/>
      <c r="P37" s="84"/>
      <c r="Q37" s="145"/>
      <c r="R37" s="84"/>
      <c r="S37" s="571"/>
      <c r="T37" s="86"/>
      <c r="U37" s="86"/>
      <c r="V37" s="86"/>
      <c r="W37" s="86"/>
      <c r="X37" s="86"/>
      <c r="Y37" s="366"/>
      <c r="Z37" s="366"/>
    </row>
    <row r="38" spans="1:26" ht="12.75" customHeight="1" thickBot="1">
      <c r="A38" s="339"/>
      <c r="B38" s="199"/>
      <c r="C38" s="1"/>
      <c r="D38" s="273"/>
      <c r="E38" s="366"/>
      <c r="F38" s="366"/>
      <c r="G38" s="366"/>
      <c r="H38" s="646" t="s">
        <v>192</v>
      </c>
      <c r="I38" s="661">
        <v>25688.519999999993</v>
      </c>
      <c r="J38" s="648">
        <f>41+87+50.5+210+23.5+38+126+28.2+92.2+278.5+147.5</f>
        <v>1122.4000000000001</v>
      </c>
      <c r="K38" s="649">
        <v>929.44</v>
      </c>
      <c r="L38" s="981">
        <f>46+773+1131+329+628.5+1201+628.5+1037+56+222+428+150+1972+3098+1100.5+1593.5+138.5+165+921+1224+272.5+527+292.5</f>
        <v>17934.5</v>
      </c>
      <c r="M38" s="104">
        <f>M36-I38-J38-K38+L38</f>
        <v>68486.390000000014</v>
      </c>
      <c r="N38" s="1"/>
      <c r="O38" s="448"/>
      <c r="P38" s="84"/>
      <c r="Q38" s="145"/>
      <c r="R38" s="84"/>
      <c r="S38" s="571"/>
      <c r="T38" s="86"/>
      <c r="U38" s="86"/>
      <c r="V38" s="86"/>
      <c r="W38" s="86"/>
      <c r="X38" s="86"/>
      <c r="Y38" s="366"/>
      <c r="Z38" s="366"/>
    </row>
    <row r="39" spans="1:26" ht="12.75" customHeight="1" thickTop="1">
      <c r="A39" s="339"/>
      <c r="B39" s="199"/>
      <c r="C39" s="1"/>
      <c r="D39" s="273"/>
      <c r="E39" s="84"/>
      <c r="F39" s="366"/>
      <c r="G39" s="366"/>
      <c r="H39" s="1152" t="s">
        <v>36</v>
      </c>
      <c r="I39" s="1154" t="s">
        <v>178</v>
      </c>
      <c r="J39" s="1155"/>
      <c r="K39" s="1156"/>
      <c r="L39" s="1160" t="s">
        <v>159</v>
      </c>
      <c r="M39" s="1160"/>
      <c r="N39" s="786" t="s">
        <v>370</v>
      </c>
      <c r="O39" s="448"/>
      <c r="P39" s="84"/>
      <c r="Q39" s="145"/>
      <c r="R39" s="145"/>
      <c r="S39" s="86"/>
      <c r="T39" s="86"/>
      <c r="U39" s="86"/>
      <c r="V39" s="86"/>
      <c r="W39" s="86"/>
      <c r="X39" s="86"/>
      <c r="Y39" s="366"/>
      <c r="Z39" s="366"/>
    </row>
    <row r="40" spans="1:26" ht="13.5" customHeight="1">
      <c r="A40" s="339"/>
      <c r="B40" s="199"/>
      <c r="C40" s="284"/>
      <c r="D40" s="273"/>
      <c r="E40" s="284"/>
      <c r="F40" s="366"/>
      <c r="G40" s="378"/>
      <c r="H40" s="1153"/>
      <c r="I40" s="1157"/>
      <c r="J40" s="1158"/>
      <c r="K40" s="1159"/>
      <c r="L40" s="1162"/>
      <c r="M40" s="1162"/>
      <c r="N40" s="787" t="s">
        <v>189</v>
      </c>
      <c r="O40" s="448"/>
      <c r="P40" s="84"/>
      <c r="Q40" s="145"/>
      <c r="R40" s="84"/>
      <c r="S40" s="86"/>
      <c r="T40" s="86"/>
      <c r="U40" s="86"/>
      <c r="V40" s="294"/>
      <c r="W40" s="86"/>
      <c r="X40" s="86"/>
      <c r="Y40" s="366"/>
      <c r="Z40" s="366"/>
    </row>
    <row r="41" spans="1:26" ht="15.75" customHeight="1">
      <c r="A41" s="339"/>
      <c r="B41" s="199"/>
      <c r="C41" s="199"/>
      <c r="D41" s="273"/>
      <c r="E41" s="199"/>
      <c r="F41" s="366"/>
      <c r="G41" s="378"/>
      <c r="H41" s="529"/>
      <c r="I41" s="1231" t="s">
        <v>47</v>
      </c>
      <c r="J41" s="1231"/>
      <c r="K41" s="1071">
        <f>328.13+11.74</f>
        <v>339.87</v>
      </c>
      <c r="L41" s="282">
        <v>44211</v>
      </c>
      <c r="M41" s="1" t="s">
        <v>171</v>
      </c>
      <c r="N41" s="788">
        <v>132</v>
      </c>
      <c r="O41" s="448" t="s">
        <v>445</v>
      </c>
      <c r="P41" s="84"/>
      <c r="Q41" s="145"/>
      <c r="R41" s="84"/>
      <c r="S41" s="86"/>
      <c r="T41" s="86"/>
      <c r="U41" s="86"/>
      <c r="V41" s="294"/>
      <c r="W41" s="86"/>
      <c r="X41" s="86"/>
      <c r="Y41" s="366"/>
      <c r="Z41" s="366"/>
    </row>
    <row r="42" spans="1:26">
      <c r="A42" s="339"/>
      <c r="B42" s="366"/>
      <c r="C42" s="274"/>
      <c r="D42" s="273"/>
      <c r="E42" s="274"/>
      <c r="F42" s="366"/>
      <c r="G42" s="366"/>
      <c r="H42" s="529"/>
      <c r="I42" s="1229" t="s">
        <v>51</v>
      </c>
      <c r="J42" s="1229"/>
      <c r="K42" s="1070">
        <v>71.83</v>
      </c>
      <c r="L42" s="282">
        <v>44211</v>
      </c>
      <c r="M42" s="1" t="s">
        <v>171</v>
      </c>
      <c r="N42" s="789">
        <v>40</v>
      </c>
      <c r="O42" s="448"/>
      <c r="P42" s="84"/>
      <c r="Q42" s="145"/>
      <c r="R42" s="273"/>
      <c r="S42" s="366"/>
      <c r="T42" s="86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199"/>
      <c r="F43" s="366"/>
      <c r="G43" s="366"/>
      <c r="H43" s="529"/>
      <c r="I43" s="1229" t="s">
        <v>52</v>
      </c>
      <c r="J43" s="1229"/>
      <c r="K43" s="1070">
        <v>5.63</v>
      </c>
      <c r="L43" s="282">
        <v>44211</v>
      </c>
      <c r="M43" s="1" t="s">
        <v>171</v>
      </c>
      <c r="N43" s="789">
        <v>3</v>
      </c>
      <c r="O43" s="448"/>
      <c r="P43" s="84"/>
      <c r="Q43" s="145"/>
      <c r="R43" s="273"/>
      <c r="S43" s="366"/>
      <c r="T43" s="294"/>
      <c r="U43" s="86"/>
      <c r="V43" s="366"/>
      <c r="W43" s="294"/>
      <c r="X43" s="294"/>
      <c r="Y43" s="366"/>
    </row>
    <row r="44" spans="1:26">
      <c r="A44" s="340"/>
      <c r="B44" s="366"/>
      <c r="C44" s="366"/>
      <c r="D44" s="273"/>
      <c r="E44" s="366"/>
      <c r="F44" s="366"/>
      <c r="G44" s="366"/>
      <c r="H44" s="529"/>
      <c r="I44" s="1229" t="s">
        <v>49</v>
      </c>
      <c r="J44" s="1248"/>
      <c r="K44" s="1070">
        <v>314</v>
      </c>
      <c r="L44" s="294">
        <v>44216</v>
      </c>
      <c r="M44" s="1" t="s">
        <v>442</v>
      </c>
      <c r="N44" s="788">
        <v>200</v>
      </c>
      <c r="O44" s="448"/>
      <c r="P44" s="947"/>
      <c r="Q44" s="145"/>
      <c r="R44" s="1067"/>
      <c r="S44" s="366"/>
      <c r="T44" s="294"/>
      <c r="U44" s="86"/>
      <c r="V44" s="294"/>
      <c r="W44" s="294"/>
      <c r="X44" s="294"/>
      <c r="Y44" s="366"/>
    </row>
    <row r="45" spans="1:26">
      <c r="A45" s="340"/>
      <c r="B45" s="366"/>
      <c r="C45" s="366"/>
      <c r="D45" s="273"/>
      <c r="E45" s="366"/>
      <c r="F45" s="366"/>
      <c r="G45" s="366"/>
      <c r="H45" s="529"/>
      <c r="I45" s="1230" t="s">
        <v>59</v>
      </c>
      <c r="J45" s="1218"/>
      <c r="K45" s="455">
        <v>107.9</v>
      </c>
      <c r="L45" s="302" t="s">
        <v>177</v>
      </c>
      <c r="M45" s="1" t="s">
        <v>455</v>
      </c>
      <c r="N45" s="790">
        <v>102.73</v>
      </c>
      <c r="O45" s="1005"/>
      <c r="P45" s="942"/>
      <c r="Q45" s="145"/>
      <c r="R45" s="567"/>
      <c r="S45" s="366"/>
      <c r="T45" s="294"/>
      <c r="U45" s="86"/>
      <c r="V45" s="294"/>
      <c r="W45" s="366"/>
      <c r="X45" s="366"/>
      <c r="Y45" s="366"/>
    </row>
    <row r="46" spans="1:26">
      <c r="A46" s="340"/>
      <c r="B46" s="199"/>
      <c r="C46" s="199"/>
      <c r="D46" s="273"/>
      <c r="E46" s="199"/>
      <c r="F46" s="366"/>
      <c r="G46" s="366"/>
      <c r="H46" s="529"/>
      <c r="I46" s="1218" t="s">
        <v>68</v>
      </c>
      <c r="J46" s="1259"/>
      <c r="K46" s="1070">
        <v>344.02</v>
      </c>
      <c r="L46" s="294">
        <v>44216</v>
      </c>
      <c r="M46" s="1" t="s">
        <v>171</v>
      </c>
      <c r="N46" s="790">
        <f>K46/2</f>
        <v>172.01</v>
      </c>
      <c r="O46" s="448"/>
      <c r="P46" s="444"/>
      <c r="Q46" s="363"/>
      <c r="R46" s="1067"/>
      <c r="S46" s="366"/>
      <c r="T46" s="366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199"/>
      <c r="F47" s="366"/>
      <c r="G47" s="366"/>
      <c r="H47" s="529"/>
      <c r="I47" s="1072" t="s">
        <v>174</v>
      </c>
      <c r="J47" s="1074"/>
      <c r="K47" s="476">
        <f>180.88+409.89</f>
        <v>590.77</v>
      </c>
      <c r="L47" s="282">
        <v>44211</v>
      </c>
      <c r="M47" s="1" t="s">
        <v>171</v>
      </c>
      <c r="N47" s="791">
        <f>K47</f>
        <v>590.77</v>
      </c>
      <c r="O47" s="12"/>
      <c r="P47" s="1025"/>
      <c r="Q47" s="363"/>
      <c r="R47" s="365"/>
      <c r="S47" s="366"/>
      <c r="T47" s="294"/>
      <c r="U47" s="294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199"/>
      <c r="F48" s="366"/>
      <c r="G48" s="366"/>
      <c r="H48" s="1033"/>
      <c r="I48" s="1072" t="s">
        <v>176</v>
      </c>
      <c r="J48" s="1074"/>
      <c r="K48" s="455" t="s">
        <v>385</v>
      </c>
      <c r="L48" s="294">
        <v>44216</v>
      </c>
      <c r="M48" s="1" t="s">
        <v>171</v>
      </c>
      <c r="N48" s="789" t="str">
        <f>K48</f>
        <v>НЕТ</v>
      </c>
      <c r="O48" s="448"/>
      <c r="P48" s="84"/>
      <c r="Q48" s="363"/>
      <c r="R48" s="365"/>
      <c r="S48" s="366"/>
      <c r="T48" s="294"/>
      <c r="U48" s="294"/>
      <c r="V48" s="294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/>
      <c r="I49" s="1218" t="s">
        <v>81</v>
      </c>
      <c r="J49" s="1219"/>
      <c r="K49" s="1070">
        <v>1518.8</v>
      </c>
      <c r="L49" s="282">
        <v>44211</v>
      </c>
      <c r="M49" s="1" t="s">
        <v>171</v>
      </c>
      <c r="N49" s="789">
        <f>K49/2</f>
        <v>759.4</v>
      </c>
      <c r="O49" s="145"/>
      <c r="P49" s="84"/>
      <c r="Q49" s="84"/>
      <c r="R49" s="84"/>
      <c r="S49" s="84"/>
      <c r="T49" s="294"/>
      <c r="U49" s="366"/>
      <c r="V49" s="294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1218" t="s">
        <v>181</v>
      </c>
      <c r="J50" s="1219"/>
      <c r="K50" s="1070">
        <v>10</v>
      </c>
      <c r="L50" s="282">
        <v>44211</v>
      </c>
      <c r="M50" s="1" t="s">
        <v>171</v>
      </c>
      <c r="N50" s="791">
        <f>K50</f>
        <v>10</v>
      </c>
      <c r="O50" s="127"/>
      <c r="P50" s="145"/>
      <c r="Q50" s="363"/>
      <c r="R50" s="366"/>
      <c r="S50" s="366"/>
      <c r="T50" s="294"/>
      <c r="U50" s="294"/>
      <c r="V50" s="366"/>
      <c r="W50" s="294"/>
      <c r="X50" s="294"/>
      <c r="Y50" s="366"/>
    </row>
    <row r="51" spans="1:25">
      <c r="A51" s="340" t="s">
        <v>343</v>
      </c>
      <c r="B51" s="199"/>
      <c r="C51" s="366"/>
      <c r="D51" s="273"/>
      <c r="E51" s="232"/>
      <c r="F51" s="366"/>
      <c r="G51" s="366"/>
      <c r="H51" s="529"/>
      <c r="I51" s="1146" t="s">
        <v>61</v>
      </c>
      <c r="J51" s="1146"/>
      <c r="K51" s="1007">
        <v>788.34</v>
      </c>
      <c r="L51" s="294">
        <v>44216</v>
      </c>
      <c r="M51" s="1" t="s">
        <v>171</v>
      </c>
      <c r="N51" s="789"/>
      <c r="P51" s="84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/>
      <c r="I52" s="1146" t="s">
        <v>298</v>
      </c>
      <c r="J52" s="1146"/>
      <c r="K52" s="1289">
        <f>224.1-147.3</f>
        <v>76.799999999999983</v>
      </c>
      <c r="L52" s="294">
        <v>44216</v>
      </c>
      <c r="M52" s="1" t="s">
        <v>171</v>
      </c>
      <c r="N52" s="788">
        <v>40</v>
      </c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/>
      <c r="I53" s="1146" t="s">
        <v>299</v>
      </c>
      <c r="J53" s="1146"/>
      <c r="K53" s="93">
        <v>50</v>
      </c>
      <c r="L53" s="282">
        <v>44211</v>
      </c>
      <c r="M53" s="1" t="s">
        <v>171</v>
      </c>
      <c r="N53" s="789">
        <v>50</v>
      </c>
      <c r="P53" s="145"/>
      <c r="Q53" s="273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/>
      <c r="I54" s="1146" t="s">
        <v>300</v>
      </c>
      <c r="J54" s="1146"/>
      <c r="K54" s="93">
        <v>150</v>
      </c>
      <c r="L54" s="282">
        <v>44226</v>
      </c>
      <c r="M54" s="1" t="s">
        <v>171</v>
      </c>
      <c r="N54" s="789">
        <v>150</v>
      </c>
      <c r="O54" s="12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>
      <c r="A55" s="340"/>
      <c r="B55" s="199"/>
      <c r="C55" s="366"/>
      <c r="D55" s="273"/>
      <c r="E55" s="232"/>
      <c r="F55" s="366"/>
      <c r="G55" s="366"/>
      <c r="H55" s="529"/>
      <c r="I55" s="1146" t="s">
        <v>325</v>
      </c>
      <c r="J55" s="1146"/>
      <c r="K55" s="93">
        <v>18</v>
      </c>
      <c r="L55" s="282">
        <v>44211</v>
      </c>
      <c r="M55" s="1" t="s">
        <v>171</v>
      </c>
      <c r="N55" s="790">
        <v>9</v>
      </c>
      <c r="O55" s="150"/>
      <c r="P55" s="145"/>
      <c r="Q55" s="365"/>
      <c r="R55" s="365"/>
      <c r="S55" s="366"/>
      <c r="T55" s="294"/>
      <c r="U55" s="294"/>
      <c r="V55" s="366"/>
      <c r="W55" s="294"/>
      <c r="X55" s="294"/>
      <c r="Y55" s="366"/>
    </row>
    <row r="56" spans="1:25">
      <c r="A56" s="340"/>
      <c r="B56" s="199"/>
      <c r="C56" s="366"/>
      <c r="D56" s="273"/>
      <c r="E56" s="232"/>
      <c r="F56" s="366"/>
      <c r="G56" s="366"/>
      <c r="H56" s="529"/>
      <c r="I56" s="1150" t="s">
        <v>374</v>
      </c>
      <c r="J56" s="1151"/>
      <c r="K56" s="145">
        <v>772.15</v>
      </c>
      <c r="L56" s="282">
        <v>44226</v>
      </c>
      <c r="M56" s="1" t="s">
        <v>171</v>
      </c>
      <c r="N56" s="810">
        <f>K56</f>
        <v>772.15</v>
      </c>
      <c r="O56" s="150"/>
      <c r="P56" s="145"/>
      <c r="Q56" s="365"/>
      <c r="R56" s="365"/>
      <c r="S56" s="366"/>
      <c r="T56" s="294"/>
      <c r="U56" s="294"/>
      <c r="V56" s="366"/>
      <c r="W56" s="294"/>
      <c r="X56" s="294"/>
      <c r="Y56" s="366"/>
    </row>
    <row r="57" spans="1:25" ht="15.75" thickBot="1">
      <c r="A57" s="341"/>
      <c r="B57" s="330"/>
      <c r="C57" s="331"/>
      <c r="D57" s="342"/>
      <c r="E57" s="330"/>
      <c r="F57" s="331"/>
      <c r="G57" s="331"/>
      <c r="H57" s="1257" t="s">
        <v>179</v>
      </c>
      <c r="I57" s="1237"/>
      <c r="J57" s="361">
        <f>SUM(K41:K56)</f>
        <v>5158.1099999999997</v>
      </c>
      <c r="K57" s="1147" t="s">
        <v>180</v>
      </c>
      <c r="L57" s="1147"/>
      <c r="M57" s="785">
        <v>0</v>
      </c>
      <c r="N57" s="792">
        <f>SUM(N41:N56)</f>
        <v>3031.06</v>
      </c>
      <c r="P57" s="145"/>
      <c r="Q57" s="365"/>
      <c r="R57" s="366"/>
      <c r="S57" s="366"/>
      <c r="T57" s="294"/>
      <c r="U57" s="366"/>
      <c r="V57" s="366"/>
      <c r="W57" s="366"/>
      <c r="X57" s="366"/>
      <c r="Y57" s="366"/>
    </row>
    <row r="58" spans="1:25" ht="15.75" thickTop="1">
      <c r="A58" s="366"/>
      <c r="B58" s="366"/>
      <c r="C58" s="366"/>
      <c r="D58" s="366"/>
      <c r="E58" s="366"/>
      <c r="F58" s="366"/>
      <c r="G58" s="366"/>
      <c r="H58" s="1210"/>
      <c r="I58" s="1210"/>
      <c r="J58" s="1210"/>
      <c r="K58" s="1210"/>
      <c r="L58" s="366"/>
      <c r="M58" s="442"/>
      <c r="N58" s="1"/>
      <c r="P58" s="145"/>
      <c r="Q58" s="365"/>
      <c r="R58" s="366"/>
      <c r="S58" s="366"/>
      <c r="T58" s="366"/>
      <c r="U58" s="366"/>
      <c r="V58" s="366"/>
      <c r="W58" s="366"/>
      <c r="X58" s="366"/>
      <c r="Y58" s="366"/>
    </row>
    <row r="59" spans="1:25" ht="15" customHeight="1">
      <c r="A59" s="1211" t="s">
        <v>441</v>
      </c>
      <c r="B59" s="1211"/>
      <c r="C59" s="1211"/>
      <c r="D59" s="1211"/>
      <c r="E59" s="1211"/>
      <c r="F59" s="1211"/>
      <c r="G59" s="1211"/>
      <c r="H59" s="1211"/>
      <c r="I59" s="1211"/>
      <c r="J59" s="1211"/>
      <c r="K59" s="1211"/>
      <c r="L59" s="1211"/>
      <c r="M59" s="1211"/>
      <c r="N59" s="1"/>
      <c r="O59" s="150"/>
      <c r="P59" s="145"/>
      <c r="Q59" s="365"/>
      <c r="R59" s="366"/>
      <c r="S59" s="366"/>
      <c r="T59" s="366"/>
      <c r="U59" s="366"/>
      <c r="V59" s="366"/>
      <c r="W59" s="366"/>
      <c r="X59" s="366"/>
    </row>
    <row r="60" spans="1:25" ht="15.75" customHeight="1" thickBot="1">
      <c r="A60" s="1212"/>
      <c r="B60" s="1212"/>
      <c r="C60" s="1212"/>
      <c r="D60" s="1212"/>
      <c r="E60" s="1212"/>
      <c r="F60" s="1212"/>
      <c r="G60" s="1212"/>
      <c r="H60" s="1212"/>
      <c r="I60" s="1212"/>
      <c r="J60" s="1212"/>
      <c r="K60" s="1212"/>
      <c r="L60" s="1212"/>
      <c r="M60" s="1212"/>
      <c r="N60" s="1"/>
      <c r="P60" s="145"/>
      <c r="Q60" s="365"/>
      <c r="R60" s="365"/>
      <c r="S60" s="1067"/>
      <c r="T60" s="366"/>
      <c r="U60" s="366"/>
      <c r="V60" s="366"/>
      <c r="W60" s="366"/>
      <c r="X60" s="366"/>
    </row>
    <row r="61" spans="1:25" ht="15.75" thickTop="1">
      <c r="A61" s="1220" t="s">
        <v>346</v>
      </c>
      <c r="B61" s="1166"/>
      <c r="C61" s="1166"/>
      <c r="D61" s="1166"/>
      <c r="E61" s="1166"/>
      <c r="F61" s="1166"/>
      <c r="G61" s="1167"/>
      <c r="H61" s="1250" t="s">
        <v>345</v>
      </c>
      <c r="I61" s="1251"/>
      <c r="J61" s="1251"/>
      <c r="K61" s="1251"/>
      <c r="L61" s="1251"/>
      <c r="M61" s="1252"/>
      <c r="N61" s="1"/>
      <c r="P61" s="84"/>
      <c r="Q61" s="366"/>
      <c r="S61" s="274"/>
      <c r="T61" s="366"/>
      <c r="U61" s="366"/>
      <c r="V61" s="366"/>
      <c r="W61" s="366"/>
      <c r="X61" s="366"/>
    </row>
    <row r="62" spans="1:25">
      <c r="A62" s="324" t="s">
        <v>2</v>
      </c>
      <c r="B62" s="1064" t="s">
        <v>34</v>
      </c>
      <c r="C62" s="36" t="s">
        <v>35</v>
      </c>
      <c r="D62" s="36" t="s">
        <v>38</v>
      </c>
      <c r="E62" s="36" t="s">
        <v>42</v>
      </c>
      <c r="F62" s="1064" t="s">
        <v>36</v>
      </c>
      <c r="G62" s="100" t="s">
        <v>173</v>
      </c>
      <c r="H62" s="715" t="s">
        <v>2</v>
      </c>
      <c r="I62" s="1234" t="s">
        <v>34</v>
      </c>
      <c r="J62" s="1234"/>
      <c r="K62" s="1071" t="s">
        <v>35</v>
      </c>
      <c r="L62" s="1253" t="s">
        <v>173</v>
      </c>
      <c r="M62" s="1254"/>
      <c r="N62" s="1"/>
      <c r="P62" s="449"/>
      <c r="Q62" s="366"/>
      <c r="S62" s="274"/>
      <c r="T62" s="366"/>
      <c r="U62" s="366"/>
      <c r="V62" s="366"/>
      <c r="W62" s="366"/>
      <c r="X62" s="366"/>
    </row>
    <row r="63" spans="1:25">
      <c r="A63" s="325"/>
      <c r="B63" s="161"/>
      <c r="C63" s="275"/>
      <c r="D63" s="275"/>
      <c r="E63" s="576" t="str">
        <f>IF(C63-D63=0,"",C63-D63)</f>
        <v/>
      </c>
      <c r="F63" s="162" t="str">
        <f t="shared" ref="F63:F78" si="4">IF(C63=0,"",IF(C63-D63=0,"оплачено","ОЖИДАЕТСЯ оплата"))</f>
        <v/>
      </c>
      <c r="G63" s="162"/>
      <c r="H63" s="325"/>
      <c r="I63" s="1244"/>
      <c r="J63" s="1245"/>
      <c r="K63" s="481"/>
      <c r="L63" s="1246"/>
      <c r="M63" s="1247"/>
      <c r="N63" s="1"/>
      <c r="P63" s="449"/>
      <c r="Q63" s="366"/>
      <c r="S63" s="366"/>
      <c r="T63" s="84"/>
      <c r="U63" s="366"/>
      <c r="W63" s="366"/>
      <c r="X63" s="366"/>
    </row>
    <row r="64" spans="1:25">
      <c r="A64" s="325"/>
      <c r="B64" s="161"/>
      <c r="C64" s="275"/>
      <c r="D64" s="275"/>
      <c r="E64" s="576" t="str">
        <f t="shared" ref="E64:E78" si="5">IF(C64-D64=0,"",C64-D64)</f>
        <v/>
      </c>
      <c r="F64" s="162" t="str">
        <f t="shared" si="4"/>
        <v/>
      </c>
      <c r="G64" s="162"/>
      <c r="H64" s="717"/>
      <c r="I64" s="1244"/>
      <c r="J64" s="1245"/>
      <c r="K64" s="481"/>
      <c r="L64" s="1246"/>
      <c r="M64" s="1247"/>
      <c r="N64" s="1"/>
      <c r="P64" s="449"/>
      <c r="Q64" s="366"/>
      <c r="S64" s="366"/>
      <c r="T64" s="366"/>
      <c r="U64" s="366"/>
      <c r="W64" s="366"/>
      <c r="X64" s="366"/>
    </row>
    <row r="65" spans="1:21">
      <c r="A65" s="325"/>
      <c r="B65" s="161"/>
      <c r="C65" s="275"/>
      <c r="D65" s="275"/>
      <c r="E65" s="673" t="str">
        <f t="shared" si="5"/>
        <v/>
      </c>
      <c r="F65" s="162" t="str">
        <f t="shared" si="4"/>
        <v/>
      </c>
      <c r="G65" s="162"/>
      <c r="H65" s="717"/>
      <c r="I65" s="1244"/>
      <c r="J65" s="1245"/>
      <c r="K65" s="481"/>
      <c r="L65" s="1248"/>
      <c r="M65" s="1249"/>
      <c r="N65" s="1"/>
      <c r="P65" s="449"/>
      <c r="T65" s="366"/>
      <c r="U65" s="366"/>
    </row>
    <row r="66" spans="1:21">
      <c r="A66" s="325"/>
      <c r="B66" s="161"/>
      <c r="C66" s="275"/>
      <c r="D66" s="275"/>
      <c r="E66" s="673" t="str">
        <f t="shared" si="5"/>
        <v/>
      </c>
      <c r="F66" s="161" t="str">
        <f t="shared" si="4"/>
        <v/>
      </c>
      <c r="G66" s="161"/>
      <c r="H66" s="717"/>
      <c r="I66" s="1244"/>
      <c r="J66" s="1245"/>
      <c r="K66" s="481"/>
      <c r="L66" s="1248"/>
      <c r="M66" s="1249"/>
      <c r="N66" s="1"/>
      <c r="P66" s="449"/>
      <c r="U66" s="366"/>
    </row>
    <row r="67" spans="1:21">
      <c r="A67" s="325"/>
      <c r="B67" s="161"/>
      <c r="C67" s="531"/>
      <c r="D67" s="531"/>
      <c r="E67" s="673" t="str">
        <f t="shared" si="5"/>
        <v/>
      </c>
      <c r="F67" s="162" t="str">
        <f t="shared" si="4"/>
        <v/>
      </c>
      <c r="G67" s="162"/>
      <c r="H67" s="717"/>
      <c r="I67" s="1283"/>
      <c r="J67" s="1245"/>
      <c r="K67" s="481"/>
      <c r="L67" s="1248"/>
      <c r="M67" s="1249"/>
      <c r="N67" s="1"/>
      <c r="O67" s="150"/>
      <c r="P67" s="571"/>
      <c r="U67" s="366"/>
    </row>
    <row r="68" spans="1:21">
      <c r="A68" s="325"/>
      <c r="B68" s="161"/>
      <c r="C68" s="275"/>
      <c r="D68" s="275"/>
      <c r="E68" s="673" t="str">
        <f t="shared" si="5"/>
        <v/>
      </c>
      <c r="F68" s="162" t="str">
        <f t="shared" si="4"/>
        <v/>
      </c>
      <c r="G68" s="162"/>
      <c r="H68" s="717"/>
      <c r="I68" s="1244"/>
      <c r="J68" s="1245"/>
      <c r="K68" s="481"/>
      <c r="L68" s="1248"/>
      <c r="M68" s="1249"/>
      <c r="N68" s="1"/>
      <c r="O68" s="150"/>
      <c r="P68" s="86"/>
      <c r="U68" s="366"/>
    </row>
    <row r="69" spans="1:21" ht="14.45" customHeight="1">
      <c r="A69" s="325"/>
      <c r="B69" s="161"/>
      <c r="C69" s="951"/>
      <c r="D69" s="951"/>
      <c r="E69" s="673" t="str">
        <f>IF(C69-D69=0,"",C69-D69)</f>
        <v/>
      </c>
      <c r="F69" s="162" t="str">
        <f>IF(C69=0,"",IF(C69-D69=0,"оплачено","ОЖИДАЕТСЯ оплата"))</f>
        <v/>
      </c>
      <c r="G69" s="162"/>
      <c r="H69" s="717"/>
      <c r="I69" s="1244"/>
      <c r="J69" s="1245"/>
      <c r="K69" s="481"/>
      <c r="L69" s="1183"/>
      <c r="M69" s="1241"/>
      <c r="N69" s="1"/>
      <c r="O69" s="150"/>
      <c r="P69" s="86"/>
    </row>
    <row r="70" spans="1:21" ht="14.45" customHeight="1">
      <c r="A70" s="325"/>
      <c r="B70" s="161"/>
      <c r="C70" s="275"/>
      <c r="D70" s="275"/>
      <c r="E70" s="673" t="str">
        <f>IF(C70-D70=0,"",C70-D70)</f>
        <v/>
      </c>
      <c r="F70" s="162" t="str">
        <f>IF(C70=0,"",IF(C70-D70=0,"оплачено","ОЖИДАЕТСЯ оплата"))</f>
        <v/>
      </c>
      <c r="G70" s="162"/>
      <c r="H70" s="717" t="str">
        <f t="shared" ref="H70:I78" si="6">IF(S11="","",S11)</f>
        <v/>
      </c>
      <c r="I70" s="1244"/>
      <c r="J70" s="1245"/>
      <c r="K70" s="481"/>
      <c r="L70" s="1183"/>
      <c r="M70" s="1241"/>
      <c r="N70" s="1"/>
    </row>
    <row r="71" spans="1:21" ht="14.45" customHeight="1">
      <c r="A71" s="325"/>
      <c r="B71" s="161"/>
      <c r="C71" s="275"/>
      <c r="D71" s="275"/>
      <c r="E71" s="673" t="str">
        <f t="shared" si="5"/>
        <v/>
      </c>
      <c r="F71" s="162" t="str">
        <f t="shared" si="4"/>
        <v/>
      </c>
      <c r="G71" s="162"/>
      <c r="H71" s="717" t="str">
        <f t="shared" si="6"/>
        <v/>
      </c>
      <c r="I71" s="1244" t="str">
        <f t="shared" si="6"/>
        <v/>
      </c>
      <c r="J71" s="1245"/>
      <c r="K71" s="481" t="str">
        <f t="shared" ref="K71:K78" si="7">IF(U12="","",U12)</f>
        <v/>
      </c>
      <c r="L71" s="1183"/>
      <c r="M71" s="1241"/>
      <c r="N71" s="1"/>
      <c r="O71" s="366"/>
    </row>
    <row r="72" spans="1:21">
      <c r="A72" s="325"/>
      <c r="B72" s="161"/>
      <c r="C72" s="275"/>
      <c r="D72" s="275"/>
      <c r="E72" s="673" t="str">
        <f t="shared" si="5"/>
        <v/>
      </c>
      <c r="F72" s="162" t="str">
        <f t="shared" si="4"/>
        <v/>
      </c>
      <c r="G72" s="162"/>
      <c r="H72" s="717" t="str">
        <f t="shared" si="6"/>
        <v/>
      </c>
      <c r="I72" s="1244" t="str">
        <f t="shared" si="6"/>
        <v/>
      </c>
      <c r="J72" s="1245"/>
      <c r="K72" s="481" t="str">
        <f t="shared" si="7"/>
        <v/>
      </c>
      <c r="L72" s="1183"/>
      <c r="M72" s="1241"/>
      <c r="N72" s="1"/>
      <c r="O72" s="366"/>
    </row>
    <row r="73" spans="1:21" s="86" customFormat="1">
      <c r="A73" s="325"/>
      <c r="B73" s="161"/>
      <c r="C73" s="275"/>
      <c r="D73" s="275"/>
      <c r="E73" s="673" t="str">
        <f t="shared" si="5"/>
        <v/>
      </c>
      <c r="F73" s="162" t="str">
        <f t="shared" si="4"/>
        <v/>
      </c>
      <c r="G73" s="162"/>
      <c r="H73" s="717" t="str">
        <f t="shared" si="6"/>
        <v/>
      </c>
      <c r="I73" s="1244" t="str">
        <f t="shared" si="6"/>
        <v/>
      </c>
      <c r="J73" s="1245"/>
      <c r="K73" s="481" t="str">
        <f t="shared" si="7"/>
        <v/>
      </c>
      <c r="L73" s="1248"/>
      <c r="M73" s="1249"/>
      <c r="N73" s="366"/>
      <c r="O73" s="84"/>
      <c r="P73" s="1"/>
      <c r="Q73" s="35"/>
      <c r="T73" s="35"/>
      <c r="U73" s="35"/>
    </row>
    <row r="74" spans="1:21">
      <c r="A74" s="325"/>
      <c r="B74" s="161"/>
      <c r="C74" s="275"/>
      <c r="D74" s="275"/>
      <c r="E74" s="673" t="str">
        <f t="shared" si="5"/>
        <v/>
      </c>
      <c r="F74" s="162" t="str">
        <f t="shared" si="4"/>
        <v/>
      </c>
      <c r="G74" s="162"/>
      <c r="H74" s="717" t="str">
        <f t="shared" si="6"/>
        <v/>
      </c>
      <c r="I74" s="1244" t="str">
        <f t="shared" si="6"/>
        <v/>
      </c>
      <c r="J74" s="1245"/>
      <c r="K74" s="481" t="str">
        <f t="shared" si="7"/>
        <v/>
      </c>
      <c r="L74" s="1183"/>
      <c r="M74" s="1241"/>
      <c r="N74" s="150"/>
      <c r="O74" s="366"/>
      <c r="P74" s="1"/>
      <c r="T74" s="86"/>
    </row>
    <row r="75" spans="1:21">
      <c r="A75" s="325"/>
      <c r="B75" s="161"/>
      <c r="C75" s="275"/>
      <c r="D75" s="275"/>
      <c r="E75" s="673" t="str">
        <f>IF(C75-D75=0,"",C75-D75)</f>
        <v/>
      </c>
      <c r="F75" s="162" t="str">
        <f>IF(C75=0,"",IF(C75-D75=0,"оплачено","ОЖИДАЕТСЯ оплата"))</f>
        <v/>
      </c>
      <c r="G75" s="162"/>
      <c r="H75" s="717" t="str">
        <f t="shared" si="6"/>
        <v/>
      </c>
      <c r="I75" s="1244" t="str">
        <f t="shared" si="6"/>
        <v/>
      </c>
      <c r="J75" s="1245"/>
      <c r="K75" s="481" t="str">
        <f t="shared" si="7"/>
        <v/>
      </c>
      <c r="L75" s="1183"/>
      <c r="M75" s="1241"/>
      <c r="N75" s="1"/>
      <c r="O75" s="84"/>
      <c r="P75" s="366"/>
    </row>
    <row r="76" spans="1:21">
      <c r="A76" s="325"/>
      <c r="B76" s="161"/>
      <c r="C76" s="275"/>
      <c r="D76" s="275"/>
      <c r="E76" s="576" t="str">
        <f t="shared" si="5"/>
        <v/>
      </c>
      <c r="F76" s="162" t="str">
        <f t="shared" si="4"/>
        <v/>
      </c>
      <c r="G76" s="162"/>
      <c r="H76" s="717" t="str">
        <f t="shared" si="6"/>
        <v/>
      </c>
      <c r="I76" s="1244" t="str">
        <f t="shared" si="6"/>
        <v/>
      </c>
      <c r="J76" s="1245"/>
      <c r="K76" s="481" t="str">
        <f t="shared" si="7"/>
        <v/>
      </c>
      <c r="L76" s="1183"/>
      <c r="M76" s="1241"/>
      <c r="N76" s="1"/>
      <c r="O76" s="84"/>
      <c r="P76" s="150"/>
    </row>
    <row r="77" spans="1:21">
      <c r="A77" s="325"/>
      <c r="B77" s="161"/>
      <c r="C77" s="275"/>
      <c r="D77" s="275"/>
      <c r="E77" s="576" t="str">
        <f t="shared" si="5"/>
        <v/>
      </c>
      <c r="F77" s="162" t="str">
        <f t="shared" si="4"/>
        <v/>
      </c>
      <c r="G77" s="162"/>
      <c r="H77" s="717" t="str">
        <f t="shared" si="6"/>
        <v/>
      </c>
      <c r="I77" s="1244" t="str">
        <f t="shared" si="6"/>
        <v/>
      </c>
      <c r="J77" s="1245"/>
      <c r="K77" s="481" t="str">
        <f t="shared" si="7"/>
        <v/>
      </c>
      <c r="L77" s="1183"/>
      <c r="M77" s="1241"/>
      <c r="N77" s="1"/>
      <c r="O77" s="366"/>
      <c r="P77" s="1"/>
      <c r="Q77" s="86"/>
    </row>
    <row r="78" spans="1:21">
      <c r="A78" s="325"/>
      <c r="B78" s="161"/>
      <c r="C78" s="275"/>
      <c r="D78" s="275"/>
      <c r="E78" s="576" t="str">
        <f t="shared" si="5"/>
        <v/>
      </c>
      <c r="F78" s="162" t="str">
        <f t="shared" si="4"/>
        <v/>
      </c>
      <c r="G78" s="162"/>
      <c r="H78" s="717" t="str">
        <f t="shared" si="6"/>
        <v/>
      </c>
      <c r="I78" s="1244" t="str">
        <f t="shared" si="6"/>
        <v/>
      </c>
      <c r="J78" s="1245"/>
      <c r="K78" s="481" t="str">
        <f t="shared" si="7"/>
        <v/>
      </c>
      <c r="L78" s="1183"/>
      <c r="M78" s="1241"/>
      <c r="N78" s="1"/>
      <c r="O78" s="84"/>
    </row>
    <row r="79" spans="1:21" ht="15.75" thickBot="1">
      <c r="A79" s="1221" t="s">
        <v>259</v>
      </c>
      <c r="B79" s="1222"/>
      <c r="C79" s="358">
        <f>SUM(C63:C78)</f>
        <v>0</v>
      </c>
      <c r="D79" s="358"/>
      <c r="E79" s="576">
        <f>SUM(E63:E78)</f>
        <v>0</v>
      </c>
      <c r="F79" s="162"/>
      <c r="G79" s="451"/>
      <c r="H79" s="1238" t="s">
        <v>259</v>
      </c>
      <c r="I79" s="1239"/>
      <c r="J79" s="1240"/>
      <c r="K79" s="716">
        <f>SUM(K63:K78)</f>
        <v>0</v>
      </c>
      <c r="L79" s="1242"/>
      <c r="M79" s="1243"/>
      <c r="N79" s="1"/>
      <c r="O79" s="366"/>
      <c r="P79" s="84"/>
      <c r="U79" s="86"/>
    </row>
    <row r="80" spans="1:21" ht="15.75" thickTop="1">
      <c r="A80" s="351"/>
      <c r="B80" s="352"/>
      <c r="C80" s="353"/>
      <c r="D80" s="353"/>
      <c r="E80" s="354"/>
      <c r="F80" s="352"/>
      <c r="G80" s="376"/>
      <c r="H80" s="1168" t="s">
        <v>16</v>
      </c>
      <c r="I80" s="1170" t="s">
        <v>17</v>
      </c>
      <c r="J80" s="1170" t="s">
        <v>21</v>
      </c>
      <c r="K80" s="1170"/>
      <c r="L80" s="1172" t="s">
        <v>93</v>
      </c>
      <c r="M80" s="1174" t="s">
        <v>95</v>
      </c>
      <c r="N80" s="1"/>
      <c r="O80" s="84"/>
      <c r="P80" s="84"/>
    </row>
    <row r="81" spans="1:22" ht="24">
      <c r="A81" s="355"/>
      <c r="B81" s="201"/>
      <c r="C81" s="201"/>
      <c r="D81" s="201"/>
      <c r="E81" s="216"/>
      <c r="F81" s="201"/>
      <c r="G81" s="201"/>
      <c r="H81" s="1169"/>
      <c r="I81" s="1171"/>
      <c r="J81" s="1068" t="s">
        <v>21</v>
      </c>
      <c r="K81" s="1068" t="s">
        <v>25</v>
      </c>
      <c r="L81" s="1173"/>
      <c r="M81" s="1175"/>
      <c r="N81" s="1"/>
      <c r="O81" s="366"/>
      <c r="P81" s="84"/>
    </row>
    <row r="82" spans="1:22">
      <c r="A82" s="338"/>
      <c r="B82" s="199"/>
      <c r="C82" s="288"/>
      <c r="D82" s="232"/>
      <c r="E82" s="84"/>
      <c r="F82" s="199"/>
      <c r="G82" s="199"/>
      <c r="H82" s="347" t="s">
        <v>163</v>
      </c>
      <c r="I82" s="94">
        <v>2420.3999999999996</v>
      </c>
      <c r="J82" s="94">
        <v>115.5</v>
      </c>
      <c r="K82" s="1069">
        <v>132.61000000000001</v>
      </c>
      <c r="L82" s="96">
        <v>22665.5</v>
      </c>
      <c r="M82" s="104">
        <f>L82-I82-J82-K82</f>
        <v>19996.989999999998</v>
      </c>
      <c r="N82" s="150"/>
      <c r="O82" s="449"/>
      <c r="P82" s="439"/>
      <c r="R82" s="86"/>
    </row>
    <row r="83" spans="1:22">
      <c r="A83" s="339"/>
      <c r="B83" s="199"/>
      <c r="C83" s="199"/>
      <c r="D83" s="273"/>
      <c r="E83" s="366"/>
      <c r="F83" s="84"/>
      <c r="G83" s="366"/>
      <c r="H83" s="347" t="s">
        <v>192</v>
      </c>
      <c r="I83" s="94">
        <v>7629.69</v>
      </c>
      <c r="J83" s="94">
        <v>352.29</v>
      </c>
      <c r="K83" s="94">
        <v>193.85000000000002</v>
      </c>
      <c r="L83" s="96">
        <v>10342</v>
      </c>
      <c r="M83" s="104">
        <f>M82-I83-J83-K83+L83</f>
        <v>22163.159999999996</v>
      </c>
      <c r="N83" s="1"/>
      <c r="O83" s="449"/>
      <c r="P83" s="439"/>
      <c r="R83" s="86"/>
    </row>
    <row r="84" spans="1:22">
      <c r="A84" s="339"/>
      <c r="B84" s="366"/>
      <c r="C84" s="199"/>
      <c r="D84" s="273"/>
      <c r="E84" s="366"/>
      <c r="F84" s="366"/>
      <c r="G84" s="366"/>
      <c r="H84" s="347" t="s">
        <v>199</v>
      </c>
      <c r="I84" s="298">
        <v>8423.6400000000012</v>
      </c>
      <c r="J84" s="94">
        <v>921.3</v>
      </c>
      <c r="K84" s="299">
        <v>312.46000000000004</v>
      </c>
      <c r="L84" s="299">
        <v>16668</v>
      </c>
      <c r="M84" s="104">
        <f>M83-I84-J84-K84+L84</f>
        <v>29173.759999999995</v>
      </c>
      <c r="N84" s="1"/>
      <c r="O84" s="449"/>
      <c r="P84" s="436"/>
      <c r="R84" s="86"/>
    </row>
    <row r="85" spans="1:22">
      <c r="A85" s="339"/>
      <c r="B85" s="1"/>
      <c r="C85" s="284"/>
      <c r="D85" s="273"/>
      <c r="E85" s="366"/>
      <c r="F85" s="366"/>
      <c r="G85" s="84"/>
      <c r="H85" s="347" t="s">
        <v>209</v>
      </c>
      <c r="I85" s="299">
        <v>8639.7199999999993</v>
      </c>
      <c r="J85" s="300">
        <v>749.49</v>
      </c>
      <c r="K85" s="552">
        <v>435.1</v>
      </c>
      <c r="L85" s="299">
        <v>17824.919999999998</v>
      </c>
      <c r="M85" s="104">
        <f>M84-I85-J85-K85+L85</f>
        <v>37174.369999999995</v>
      </c>
      <c r="N85" s="366"/>
      <c r="O85" s="449"/>
      <c r="P85" s="436"/>
      <c r="R85" s="86"/>
    </row>
    <row r="86" spans="1:22">
      <c r="A86" s="339"/>
      <c r="B86" s="199"/>
      <c r="C86" s="1"/>
      <c r="D86" s="273"/>
      <c r="E86" s="366"/>
      <c r="F86" s="366"/>
      <c r="G86" s="366"/>
      <c r="H86" s="348" t="s">
        <v>210</v>
      </c>
      <c r="I86" s="300">
        <v>12605.26</v>
      </c>
      <c r="J86" s="299">
        <v>600.5</v>
      </c>
      <c r="K86" s="300">
        <v>491.64</v>
      </c>
      <c r="L86" s="299">
        <v>15183.9</v>
      </c>
      <c r="M86" s="104">
        <v>36025.39</v>
      </c>
      <c r="N86" s="436"/>
      <c r="O86" s="145"/>
      <c r="P86" s="437"/>
      <c r="Q86" s="86"/>
      <c r="R86" s="86"/>
    </row>
    <row r="87" spans="1:22">
      <c r="A87" s="339"/>
      <c r="B87" s="199"/>
      <c r="C87" s="1"/>
      <c r="D87" s="273"/>
      <c r="E87" s="366"/>
      <c r="F87" s="366"/>
      <c r="G87" s="366"/>
      <c r="H87" s="379" t="s">
        <v>211</v>
      </c>
      <c r="I87" s="728">
        <v>11425.189999999999</v>
      </c>
      <c r="J87" s="438">
        <v>232.2</v>
      </c>
      <c r="K87" s="733">
        <v>262</v>
      </c>
      <c r="L87" s="644">
        <v>11864.4</v>
      </c>
      <c r="M87" s="104">
        <f>M86-I87-J87-K87+L87</f>
        <v>35970.400000000001</v>
      </c>
      <c r="N87" s="1"/>
      <c r="O87" s="366"/>
      <c r="P87" s="437"/>
      <c r="Q87" s="86"/>
      <c r="R87" s="86"/>
      <c r="V87" s="1"/>
    </row>
    <row r="88" spans="1:22">
      <c r="A88" s="339"/>
      <c r="B88" s="199"/>
      <c r="C88" s="1"/>
      <c r="D88" s="273"/>
      <c r="E88" s="366"/>
      <c r="F88" s="366"/>
      <c r="G88" s="366"/>
      <c r="H88" s="347" t="s">
        <v>9</v>
      </c>
      <c r="I88" s="728">
        <v>13612.520000000002</v>
      </c>
      <c r="J88" s="438">
        <f>19+42+25.5+33+4+25+7.5+18+170+1+9+37.5+2+1.4</f>
        <v>394.9</v>
      </c>
      <c r="K88" s="733">
        <f>112.8+296.38+33.5</f>
        <v>442.68</v>
      </c>
      <c r="L88" s="645">
        <f>14352+1353+311+316+73+278</f>
        <v>16683</v>
      </c>
      <c r="M88" s="777">
        <v>37929.35</v>
      </c>
      <c r="N88" s="761" t="s">
        <v>355</v>
      </c>
      <c r="O88" s="762"/>
      <c r="P88" s="437"/>
      <c r="Q88" s="742"/>
      <c r="R88" s="86"/>
      <c r="V88" s="1"/>
    </row>
    <row r="89" spans="1:22">
      <c r="A89" s="339"/>
      <c r="B89" s="199"/>
      <c r="C89" s="1"/>
      <c r="D89" s="273"/>
      <c r="E89" s="366"/>
      <c r="F89" s="366"/>
      <c r="G89" s="366"/>
      <c r="H89" s="347" t="s">
        <v>18</v>
      </c>
      <c r="I89" s="728">
        <v>14474.099999999999</v>
      </c>
      <c r="J89" s="438">
        <v>947.5</v>
      </c>
      <c r="K89" s="733">
        <v>526.15</v>
      </c>
      <c r="L89" s="645">
        <v>19238.8</v>
      </c>
      <c r="M89" s="104">
        <f>M88-I89-J89-K89+L89</f>
        <v>41220.399999999994</v>
      </c>
      <c r="N89" s="84"/>
      <c r="O89" s="366"/>
      <c r="P89" s="437"/>
      <c r="Q89" s="742"/>
      <c r="R89" s="86"/>
      <c r="V89" s="1"/>
    </row>
    <row r="90" spans="1:22">
      <c r="A90" s="339"/>
      <c r="B90" s="199"/>
      <c r="C90" s="1"/>
      <c r="D90" s="273"/>
      <c r="E90" s="366"/>
      <c r="F90" s="366"/>
      <c r="G90" s="366"/>
      <c r="H90" s="379" t="s">
        <v>19</v>
      </c>
      <c r="I90" s="660">
        <v>17170.439999999999</v>
      </c>
      <c r="J90" s="432">
        <v>3911.3</v>
      </c>
      <c r="K90" s="687">
        <f>21.5+122.1+41.6+353.89+95.92+8.2</f>
        <v>643.20999999999992</v>
      </c>
      <c r="L90" s="660">
        <f>660+513.5+514+683.5+535+212+2085+763+334+208+378+75+60+44+972+347+1461+81+303+363+12+44+73+133+667+281+234+225+789+767+1661+682+2828+477.5+365+873.5+390+553</f>
        <v>21647</v>
      </c>
      <c r="M90" s="104">
        <f>M89-I90-J90-K90+L90</f>
        <v>41142.449999999997</v>
      </c>
      <c r="N90" s="84"/>
      <c r="O90" s="366"/>
      <c r="P90" s="437"/>
      <c r="Q90" s="742"/>
      <c r="R90" s="86"/>
      <c r="V90" s="1"/>
    </row>
    <row r="91" spans="1:22">
      <c r="A91" s="339"/>
      <c r="B91" s="199"/>
      <c r="C91" s="1"/>
      <c r="D91" s="273"/>
      <c r="E91" s="366"/>
      <c r="F91" s="366"/>
      <c r="G91" s="366"/>
      <c r="H91" s="347" t="s">
        <v>20</v>
      </c>
      <c r="I91" s="728">
        <v>17084.789999999997</v>
      </c>
      <c r="J91" s="438">
        <v>1384.5</v>
      </c>
      <c r="K91" s="733">
        <f>231.74+381.32</f>
        <v>613.05999999999995</v>
      </c>
      <c r="L91" s="728">
        <f>861.5+275+194+301.5+390+1883.5+794+563+1402.5+380+670+229.5+35+275+150.5+18+76+68+310+1078+448+706+130+132+120+2048+130.5+296+608+1835+355+214.5+280+60+684+606</f>
        <v>18608</v>
      </c>
      <c r="M91" s="772">
        <v>43441.55</v>
      </c>
      <c r="N91" s="84"/>
      <c r="O91" s="366"/>
      <c r="P91" s="84"/>
      <c r="Q91" s="742"/>
      <c r="R91" s="86"/>
      <c r="V91" s="1"/>
    </row>
    <row r="92" spans="1:22">
      <c r="A92" s="339"/>
      <c r="B92" s="199"/>
      <c r="C92" s="1"/>
      <c r="D92" s="273"/>
      <c r="E92" s="366"/>
      <c r="F92" s="366"/>
      <c r="G92" s="366"/>
      <c r="H92" s="347" t="s">
        <v>148</v>
      </c>
      <c r="I92" s="728">
        <v>16010.099999999999</v>
      </c>
      <c r="J92" s="438">
        <f>16+65+35+15+24+192+4.6+315+19+6+29+4+35+35+15+160</f>
        <v>969.6</v>
      </c>
      <c r="K92" s="733">
        <f>318.55+297.05</f>
        <v>615.6</v>
      </c>
      <c r="L92" s="728">
        <f>2329.5+560+1456+491+2680+2008+1170+1743+283+1122+2144+623+348+597.5+612+1914+48.5+1270+194+20+375+514.5+108+1502+669+441+33+712+828+1156+829+50</f>
        <v>28831</v>
      </c>
      <c r="M92" s="104">
        <f>M91-I92-J92-K92+L92</f>
        <v>54677.250000000007</v>
      </c>
      <c r="N92" s="84"/>
      <c r="O92" s="366"/>
      <c r="P92" s="685"/>
      <c r="Q92" s="742"/>
      <c r="R92" s="86"/>
      <c r="V92" s="1"/>
    </row>
    <row r="93" spans="1:22">
      <c r="A93" s="339"/>
      <c r="B93" s="199"/>
      <c r="C93" s="1"/>
      <c r="D93" s="273"/>
      <c r="E93" s="366"/>
      <c r="F93" s="366"/>
      <c r="G93" s="366"/>
      <c r="H93" s="379" t="s">
        <v>162</v>
      </c>
      <c r="I93" s="660">
        <v>18487.2</v>
      </c>
      <c r="J93" s="432"/>
      <c r="K93" s="687">
        <v>733</v>
      </c>
      <c r="L93" s="660">
        <f>1090.5+178+238+342+320+112+163+3418.5+747+1608+1004+396+30+1858+1508+198+163+100+490+552+1725+777+245+1514.5+850.5+1647+348+1827+454</f>
        <v>23904</v>
      </c>
      <c r="M93" s="104">
        <f>M92-I93-J93-K93+L93</f>
        <v>59361.05</v>
      </c>
      <c r="N93" s="84"/>
      <c r="O93" s="366"/>
      <c r="P93" s="685"/>
      <c r="Q93" s="742"/>
      <c r="R93" s="86"/>
      <c r="V93" s="1"/>
    </row>
    <row r="94" spans="1:22">
      <c r="A94" s="339"/>
      <c r="B94" s="199"/>
      <c r="C94" s="1"/>
      <c r="D94" s="273"/>
      <c r="E94" s="366"/>
      <c r="F94" s="366"/>
      <c r="G94" s="366"/>
      <c r="H94" s="347" t="s">
        <v>163</v>
      </c>
      <c r="I94" s="728">
        <v>18961.969999999998</v>
      </c>
      <c r="J94" s="438"/>
      <c r="K94" s="733">
        <f>334.04+378.25</f>
        <v>712.29</v>
      </c>
      <c r="L94" s="728">
        <f>15.5+600+364+12+2306+740+1687+96+195.5+330+605+285+1211+2305+437+30+1509+42+443.5+664.5+239+42+42.5+114+364+617+545</f>
        <v>15841.5</v>
      </c>
      <c r="M94" s="772">
        <f>M93-I94-J94-K94+L94</f>
        <v>55528.29</v>
      </c>
      <c r="N94" s="84"/>
      <c r="O94" s="366"/>
      <c r="P94" s="685"/>
      <c r="Q94" s="742"/>
      <c r="R94" s="86"/>
      <c r="V94" s="1"/>
    </row>
    <row r="95" spans="1:22" ht="15.75" thickBot="1">
      <c r="A95" s="339"/>
      <c r="B95" s="199"/>
      <c r="C95" s="1"/>
      <c r="D95" s="273"/>
      <c r="E95" s="366"/>
      <c r="F95" s="366"/>
      <c r="G95" s="366"/>
      <c r="H95" s="1285" t="s">
        <v>192</v>
      </c>
      <c r="I95" s="774">
        <v>20708.280000000002</v>
      </c>
      <c r="J95" s="775">
        <f>3.2+18.5+47+46+7+4+329+628.5+6+34+18+28+4+41.5+1.2+77.5+42+2.92+3+48+180</f>
        <v>1569.3200000000002</v>
      </c>
      <c r="K95" s="1286">
        <f>163.32+459.3+23.5+1.4</f>
        <v>647.52</v>
      </c>
      <c r="L95" s="774">
        <v>25525.5</v>
      </c>
      <c r="M95" s="104">
        <f>M94-I95-J95-K95+L95</f>
        <v>58128.67</v>
      </c>
      <c r="N95" s="84"/>
      <c r="O95" s="366"/>
      <c r="P95" s="685"/>
      <c r="Q95" s="742"/>
      <c r="R95" s="86"/>
      <c r="V95" s="1"/>
    </row>
    <row r="96" spans="1:22" ht="14.25" customHeight="1" thickTop="1">
      <c r="A96" s="339"/>
      <c r="B96" s="199"/>
      <c r="C96" s="1"/>
      <c r="D96" s="273"/>
      <c r="E96" s="84"/>
      <c r="F96" s="366"/>
      <c r="G96" s="366"/>
      <c r="H96" s="1152" t="s">
        <v>36</v>
      </c>
      <c r="I96" s="1154" t="s">
        <v>178</v>
      </c>
      <c r="J96" s="1155"/>
      <c r="K96" s="1156"/>
      <c r="L96" s="1160" t="s">
        <v>159</v>
      </c>
      <c r="M96" s="1161"/>
      <c r="N96" s="150"/>
      <c r="O96" s="84"/>
      <c r="P96" s="437"/>
      <c r="Q96" s="86"/>
      <c r="R96" s="86"/>
      <c r="V96" s="1"/>
    </row>
    <row r="97" spans="1:26">
      <c r="A97" s="339"/>
      <c r="B97" s="199"/>
      <c r="C97" s="284"/>
      <c r="D97" s="273"/>
      <c r="E97" s="284"/>
      <c r="F97" s="366"/>
      <c r="G97" s="378"/>
      <c r="H97" s="1153"/>
      <c r="I97" s="1157"/>
      <c r="J97" s="1158"/>
      <c r="K97" s="1159"/>
      <c r="L97" s="1162"/>
      <c r="M97" s="1163"/>
      <c r="N97" s="1"/>
      <c r="O97" s="12"/>
      <c r="P97" s="685"/>
      <c r="Q97" s="86"/>
      <c r="R97" s="366"/>
      <c r="S97" s="1"/>
      <c r="V97" s="1"/>
      <c r="W97" s="1"/>
      <c r="X97" s="1"/>
      <c r="Y97" s="1"/>
    </row>
    <row r="98" spans="1:26">
      <c r="A98" s="339"/>
      <c r="B98" s="199"/>
      <c r="C98" s="199"/>
      <c r="D98" s="273"/>
      <c r="E98" s="199"/>
      <c r="F98" s="366"/>
      <c r="G98" s="378"/>
      <c r="H98" s="529"/>
      <c r="I98" s="1164" t="s">
        <v>47</v>
      </c>
      <c r="J98" s="1164"/>
      <c r="K98" s="1071">
        <f>98.88+5</f>
        <v>103.88</v>
      </c>
      <c r="L98" s="282">
        <v>44211</v>
      </c>
      <c r="M98" s="44" t="s">
        <v>171</v>
      </c>
      <c r="O98" s="84"/>
      <c r="P98" s="685"/>
      <c r="Q98" s="86"/>
      <c r="R98" s="366"/>
      <c r="S98" s="1"/>
      <c r="T98" s="1"/>
      <c r="V98" s="282"/>
      <c r="W98" s="1"/>
      <c r="X98" s="1"/>
      <c r="Y98" s="1"/>
    </row>
    <row r="99" spans="1:26">
      <c r="A99" s="339"/>
      <c r="B99" s="366"/>
      <c r="C99" s="274"/>
      <c r="D99" s="273"/>
      <c r="E99" s="274"/>
      <c r="F99" s="366"/>
      <c r="G99" s="366"/>
      <c r="H99" s="529"/>
      <c r="I99" s="1149" t="s">
        <v>51</v>
      </c>
      <c r="J99" s="1149"/>
      <c r="K99" s="1070">
        <v>9.17</v>
      </c>
      <c r="L99" s="282">
        <v>44211</v>
      </c>
      <c r="M99" s="44" t="s">
        <v>171</v>
      </c>
      <c r="N99" s="506"/>
      <c r="O99" s="84"/>
      <c r="P99" s="685"/>
      <c r="Q99" s="571"/>
      <c r="R99" s="86"/>
      <c r="S99" s="1"/>
      <c r="T99" s="1"/>
      <c r="V99" s="282"/>
      <c r="W99" s="1"/>
      <c r="X99" s="1"/>
      <c r="Y99" s="1"/>
    </row>
    <row r="100" spans="1:26">
      <c r="A100" s="340"/>
      <c r="B100" s="366"/>
      <c r="C100" s="366"/>
      <c r="D100" s="273"/>
      <c r="E100" s="199"/>
      <c r="F100" s="366"/>
      <c r="G100" s="366"/>
      <c r="H100" s="529"/>
      <c r="I100" s="1149" t="s">
        <v>52</v>
      </c>
      <c r="J100" s="1149"/>
      <c r="K100" s="1070">
        <v>1.7</v>
      </c>
      <c r="L100" s="282">
        <v>44211</v>
      </c>
      <c r="M100" s="44" t="s">
        <v>171</v>
      </c>
      <c r="O100" s="84"/>
      <c r="P100" s="685"/>
      <c r="Q100" s="86"/>
      <c r="R100" s="1067"/>
      <c r="S100" s="1"/>
      <c r="T100" s="1"/>
      <c r="V100" s="282"/>
      <c r="W100" s="282"/>
      <c r="X100" s="282"/>
      <c r="Y100" s="1"/>
      <c r="Z100" s="1"/>
    </row>
    <row r="101" spans="1:26">
      <c r="A101" s="340"/>
      <c r="B101" s="366"/>
      <c r="C101" s="366"/>
      <c r="D101" s="273"/>
      <c r="E101" s="366"/>
      <c r="F101" s="366"/>
      <c r="G101" s="366"/>
      <c r="H101" s="529"/>
      <c r="I101" s="1229" t="s">
        <v>49</v>
      </c>
      <c r="J101" s="1229"/>
      <c r="K101" s="1070">
        <v>89</v>
      </c>
      <c r="L101" s="282">
        <v>44216</v>
      </c>
      <c r="M101" s="44" t="s">
        <v>455</v>
      </c>
      <c r="O101" s="84"/>
      <c r="P101" s="685"/>
      <c r="Q101" s="366"/>
      <c r="R101" s="86"/>
      <c r="S101" s="1"/>
      <c r="T101" s="282"/>
      <c r="U101" s="1"/>
      <c r="V101" s="282"/>
      <c r="W101" s="282"/>
      <c r="X101" s="282"/>
      <c r="Y101" s="1"/>
      <c r="Z101" s="1"/>
    </row>
    <row r="102" spans="1:26">
      <c r="A102" s="340"/>
      <c r="B102" s="366"/>
      <c r="C102" s="366"/>
      <c r="D102" s="273"/>
      <c r="E102" s="366"/>
      <c r="F102" s="366"/>
      <c r="G102" s="366"/>
      <c r="H102" s="529"/>
      <c r="I102" s="1217" t="s">
        <v>59</v>
      </c>
      <c r="J102" s="1217"/>
      <c r="K102" s="1073">
        <v>627.51</v>
      </c>
      <c r="L102" s="302" t="s">
        <v>177</v>
      </c>
      <c r="M102" s="44" t="s">
        <v>171</v>
      </c>
      <c r="N102" s="506"/>
      <c r="O102" s="84"/>
      <c r="P102" s="685"/>
      <c r="Q102" s="480"/>
      <c r="R102" s="1067"/>
      <c r="S102" s="1"/>
      <c r="T102" s="282"/>
      <c r="U102" s="1"/>
      <c r="V102" s="1"/>
      <c r="W102" s="282"/>
      <c r="X102" s="282"/>
      <c r="Y102" s="1"/>
      <c r="Z102" s="1"/>
    </row>
    <row r="103" spans="1:26">
      <c r="A103" s="340"/>
      <c r="B103" s="199"/>
      <c r="C103" s="199"/>
      <c r="D103" s="273"/>
      <c r="E103" s="199"/>
      <c r="F103" s="366"/>
      <c r="G103" s="366"/>
      <c r="H103" s="529"/>
      <c r="I103" s="1218" t="s">
        <v>68</v>
      </c>
      <c r="J103" s="1219"/>
      <c r="K103" s="1070">
        <v>59.48</v>
      </c>
      <c r="L103" s="282">
        <v>44216</v>
      </c>
      <c r="M103" s="44" t="s">
        <v>171</v>
      </c>
      <c r="O103" s="84"/>
      <c r="P103" s="437"/>
      <c r="Q103" s="366"/>
      <c r="R103" s="1067"/>
      <c r="S103" s="1"/>
      <c r="T103" s="282"/>
      <c r="U103" s="1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199"/>
      <c r="F104" s="366"/>
      <c r="G104" s="366"/>
      <c r="H104" s="529"/>
      <c r="I104" s="1218" t="s">
        <v>174</v>
      </c>
      <c r="J104" s="1219"/>
      <c r="K104" s="1070">
        <f>44.05+117.96</f>
        <v>162.01</v>
      </c>
      <c r="L104" s="282">
        <v>44211</v>
      </c>
      <c r="M104" s="44" t="s">
        <v>171</v>
      </c>
      <c r="N104" s="506"/>
      <c r="O104" s="84"/>
      <c r="P104" s="86"/>
      <c r="Q104" s="366"/>
      <c r="R104" s="1067"/>
      <c r="S104" s="1067"/>
      <c r="T104" s="282"/>
      <c r="U104" s="282"/>
      <c r="V104" s="282"/>
      <c r="W104" s="1"/>
      <c r="X104" s="1"/>
      <c r="Y104" s="1"/>
      <c r="Z104" s="1"/>
    </row>
    <row r="105" spans="1:26">
      <c r="A105" s="340"/>
      <c r="B105" s="199"/>
      <c r="C105" s="366"/>
      <c r="D105" s="273"/>
      <c r="E105" s="199"/>
      <c r="F105" s="366"/>
      <c r="G105" s="366"/>
      <c r="H105" s="1033"/>
      <c r="I105" s="1062" t="s">
        <v>176</v>
      </c>
      <c r="J105" s="1063"/>
      <c r="K105" s="1070" t="s">
        <v>258</v>
      </c>
      <c r="L105" s="282">
        <v>44216</v>
      </c>
      <c r="M105" s="44" t="s">
        <v>171</v>
      </c>
      <c r="N105" s="506"/>
      <c r="O105" s="84"/>
      <c r="P105" s="86"/>
      <c r="Q105" s="366"/>
      <c r="R105" s="485"/>
      <c r="S105" s="150"/>
      <c r="T105" s="1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 t="s">
        <v>250</v>
      </c>
      <c r="I106" s="1218" t="s">
        <v>81</v>
      </c>
      <c r="J106" s="1219"/>
      <c r="K106" s="1070">
        <v>871.2</v>
      </c>
      <c r="L106" s="282">
        <v>44206</v>
      </c>
      <c r="M106" s="44" t="s">
        <v>171</v>
      </c>
      <c r="O106" s="84"/>
      <c r="P106" s="86"/>
      <c r="Q106" s="485"/>
      <c r="R106" s="365"/>
      <c r="S106" s="150"/>
      <c r="T106" s="282"/>
      <c r="U106" s="282"/>
      <c r="V106" s="282"/>
      <c r="W106" s="282"/>
      <c r="X106" s="282"/>
      <c r="Y106" s="366"/>
      <c r="Z106" s="1"/>
    </row>
    <row r="107" spans="1:26">
      <c r="A107" s="340"/>
      <c r="B107" s="199"/>
      <c r="C107" s="366"/>
      <c r="D107" s="273"/>
      <c r="E107" s="232"/>
      <c r="F107" s="366"/>
      <c r="G107" s="366"/>
      <c r="H107" s="529"/>
      <c r="I107" s="1218" t="s">
        <v>53</v>
      </c>
      <c r="J107" s="1219"/>
      <c r="K107" s="455">
        <v>10</v>
      </c>
      <c r="L107" s="282">
        <v>44211</v>
      </c>
      <c r="M107" s="44" t="s">
        <v>171</v>
      </c>
      <c r="N107" s="506"/>
      <c r="O107" s="84"/>
      <c r="P107" s="86"/>
      <c r="Q107" s="1067"/>
      <c r="R107" s="1067"/>
      <c r="S107" s="1"/>
      <c r="T107" s="282"/>
      <c r="U107" s="282"/>
      <c r="V107" s="282"/>
      <c r="W107" s="282"/>
      <c r="X107" s="282"/>
      <c r="Y107" s="366"/>
      <c r="Z107" s="1"/>
    </row>
    <row r="108" spans="1:26">
      <c r="A108" s="340"/>
      <c r="B108" s="199"/>
      <c r="C108" s="366"/>
      <c r="D108" s="273"/>
      <c r="E108" s="232"/>
      <c r="F108" s="366"/>
      <c r="G108" s="366"/>
      <c r="H108" s="529"/>
      <c r="I108" s="1230" t="s">
        <v>300</v>
      </c>
      <c r="J108" s="1230"/>
      <c r="K108" s="676">
        <v>100</v>
      </c>
      <c r="L108" s="282">
        <v>44226</v>
      </c>
      <c r="M108" s="44" t="s">
        <v>171</v>
      </c>
      <c r="O108" s="84"/>
      <c r="P108" s="86"/>
      <c r="Q108" s="1067"/>
      <c r="R108" s="1067"/>
      <c r="S108" s="366"/>
      <c r="T108" s="282"/>
      <c r="U108" s="282"/>
      <c r="V108" s="282"/>
      <c r="W108" s="282"/>
      <c r="X108" s="282"/>
      <c r="Y108" s="1"/>
      <c r="Z108" s="1"/>
    </row>
    <row r="109" spans="1:26">
      <c r="A109" s="340"/>
      <c r="B109" s="199"/>
      <c r="C109" s="366"/>
      <c r="D109" s="273"/>
      <c r="E109" s="232"/>
      <c r="F109" s="366"/>
      <c r="G109" s="366"/>
      <c r="H109" s="529"/>
      <c r="I109" s="1230" t="s">
        <v>325</v>
      </c>
      <c r="J109" s="1230"/>
      <c r="K109" s="676">
        <v>9</v>
      </c>
      <c r="L109" s="282">
        <v>44211</v>
      </c>
      <c r="M109" s="44" t="s">
        <v>171</v>
      </c>
      <c r="O109" s="84"/>
      <c r="P109" s="86"/>
      <c r="Q109" s="1067"/>
      <c r="R109" s="1067"/>
      <c r="S109" s="366"/>
      <c r="T109" s="282"/>
      <c r="U109" s="282"/>
      <c r="V109" s="282"/>
      <c r="W109" s="282"/>
      <c r="X109" s="282"/>
      <c r="Y109" s="1"/>
      <c r="Z109" s="1"/>
    </row>
    <row r="110" spans="1:26">
      <c r="A110" s="340"/>
      <c r="B110" s="199"/>
      <c r="C110" s="366"/>
      <c r="D110" s="273"/>
      <c r="E110" s="232"/>
      <c r="F110" s="366"/>
      <c r="G110" s="366"/>
      <c r="H110" s="529"/>
      <c r="I110" s="1150" t="s">
        <v>374</v>
      </c>
      <c r="J110" s="1151"/>
      <c r="K110" s="476">
        <v>1601.98</v>
      </c>
      <c r="L110" s="282">
        <v>44226</v>
      </c>
      <c r="M110" s="44" t="s">
        <v>171</v>
      </c>
      <c r="O110" s="84"/>
      <c r="P110" s="86"/>
      <c r="Q110" s="1067"/>
      <c r="R110" s="1067"/>
      <c r="S110" s="366"/>
      <c r="T110" s="282"/>
      <c r="U110" s="282"/>
      <c r="V110" s="282"/>
      <c r="W110" s="282"/>
      <c r="X110" s="282"/>
      <c r="Y110" s="1"/>
      <c r="Z110" s="1"/>
    </row>
    <row r="111" spans="1:26">
      <c r="A111" s="340"/>
      <c r="B111" s="199"/>
      <c r="C111" s="366"/>
      <c r="D111" s="273"/>
      <c r="E111" s="232"/>
      <c r="F111" s="366"/>
      <c r="G111" s="366"/>
      <c r="H111" s="529"/>
      <c r="I111" s="1146" t="s">
        <v>446</v>
      </c>
      <c r="J111" s="1146"/>
      <c r="K111" s="676">
        <v>50</v>
      </c>
      <c r="L111" s="282"/>
      <c r="M111" s="44"/>
      <c r="O111" s="84"/>
      <c r="P111" s="86"/>
      <c r="Q111" s="1067"/>
      <c r="R111" s="1067"/>
      <c r="S111" s="366"/>
      <c r="T111" s="282"/>
      <c r="U111" s="282"/>
      <c r="V111" s="282"/>
      <c r="W111" s="282"/>
      <c r="X111" s="282"/>
      <c r="Y111" s="1"/>
      <c r="Z111" s="1"/>
    </row>
    <row r="112" spans="1:26" ht="15.75" thickBot="1">
      <c r="A112" s="341"/>
      <c r="B112" s="330"/>
      <c r="C112" s="331"/>
      <c r="D112" s="342"/>
      <c r="E112" s="330"/>
      <c r="F112" s="331"/>
      <c r="G112" s="331"/>
      <c r="H112" s="1236" t="s">
        <v>179</v>
      </c>
      <c r="I112" s="1237"/>
      <c r="J112" s="361">
        <f>SUM(K98:K111)</f>
        <v>3694.9300000000003</v>
      </c>
      <c r="K112" s="1147" t="s">
        <v>180</v>
      </c>
      <c r="L112" s="1147"/>
      <c r="M112" s="535">
        <v>0</v>
      </c>
      <c r="O112" s="84"/>
      <c r="P112" s="86"/>
      <c r="Q112" s="1067"/>
      <c r="R112" s="365"/>
      <c r="S112" s="366"/>
      <c r="T112" s="282"/>
      <c r="U112" s="282"/>
      <c r="V112" s="1"/>
      <c r="W112" s="282"/>
      <c r="X112" s="282"/>
      <c r="Y112" s="1"/>
      <c r="Z112" s="1"/>
    </row>
    <row r="113" spans="1:26" ht="15.75" thickTop="1">
      <c r="C113" s="507"/>
      <c r="D113" s="507"/>
      <c r="O113" s="84"/>
      <c r="P113" s="86"/>
      <c r="Q113" s="1067"/>
      <c r="R113" s="365"/>
      <c r="S113" s="366"/>
      <c r="T113" s="282"/>
      <c r="U113" s="282"/>
      <c r="V113" s="1"/>
      <c r="W113" s="282"/>
      <c r="X113" s="282"/>
      <c r="Y113" s="1"/>
      <c r="Z113" s="1"/>
    </row>
    <row r="114" spans="1:26" ht="15" customHeight="1">
      <c r="A114" s="1211" t="s">
        <v>415</v>
      </c>
      <c r="B114" s="1211"/>
      <c r="C114" s="1211"/>
      <c r="D114" s="1211"/>
      <c r="E114" s="1211"/>
      <c r="F114" s="1211"/>
      <c r="G114" s="1211"/>
      <c r="H114" s="1211"/>
      <c r="I114" s="1211"/>
      <c r="J114" s="1211"/>
      <c r="K114" s="1211"/>
      <c r="L114" s="1211"/>
      <c r="M114" s="1211"/>
      <c r="O114" s="84"/>
      <c r="P114" s="86"/>
      <c r="Q114" s="1067"/>
      <c r="R114" s="1067"/>
      <c r="S114" s="1"/>
      <c r="T114" s="282"/>
      <c r="U114" s="282"/>
      <c r="V114" s="1"/>
      <c r="W114" s="1"/>
      <c r="X114" s="1"/>
      <c r="Y114" s="1"/>
      <c r="Z114" s="1"/>
    </row>
    <row r="115" spans="1:26" ht="15.75" customHeight="1" thickBot="1">
      <c r="A115" s="1212"/>
      <c r="B115" s="1212"/>
      <c r="C115" s="1212"/>
      <c r="D115" s="1212"/>
      <c r="E115" s="1212"/>
      <c r="F115" s="1212"/>
      <c r="G115" s="1212"/>
      <c r="H115" s="1212"/>
      <c r="I115" s="1212"/>
      <c r="J115" s="1212"/>
      <c r="K115" s="1212"/>
      <c r="L115" s="1212"/>
      <c r="M115" s="1212"/>
      <c r="O115" s="84"/>
      <c r="P115" s="86"/>
      <c r="Q115" s="1067"/>
      <c r="R115" s="1067"/>
      <c r="S115" s="1"/>
      <c r="T115" s="1"/>
      <c r="U115" s="282"/>
      <c r="V115" s="1"/>
      <c r="W115" s="1"/>
      <c r="X115" s="1"/>
      <c r="Y115" s="1"/>
      <c r="Z115" s="1"/>
    </row>
    <row r="116" spans="1:26" ht="15.75" thickTop="1">
      <c r="A116" s="1255" t="s">
        <v>43</v>
      </c>
      <c r="B116" s="1227"/>
      <c r="C116" s="1227"/>
      <c r="D116" s="1227"/>
      <c r="E116" s="1227"/>
      <c r="F116" s="1256"/>
      <c r="G116" s="323"/>
      <c r="O116" s="84"/>
      <c r="P116" s="86"/>
      <c r="Q116" s="686"/>
      <c r="R116" s="1067"/>
      <c r="S116" s="1"/>
      <c r="T116" s="1"/>
      <c r="U116" s="282"/>
      <c r="V116" s="1"/>
      <c r="W116" s="1"/>
      <c r="X116" s="1"/>
      <c r="Y116" s="1"/>
      <c r="Z116" s="1"/>
    </row>
    <row r="117" spans="1:26">
      <c r="A117" s="1144" t="s">
        <v>371</v>
      </c>
      <c r="B117" s="1145"/>
      <c r="C117" s="1066" t="s">
        <v>35</v>
      </c>
      <c r="D117" s="1066" t="s">
        <v>38</v>
      </c>
      <c r="E117" s="1066" t="s">
        <v>42</v>
      </c>
      <c r="F117" s="1066" t="s">
        <v>44</v>
      </c>
      <c r="G117" s="1"/>
      <c r="O117" s="84"/>
      <c r="P117" s="86"/>
      <c r="Q117" s="1067"/>
      <c r="R117" s="1067"/>
      <c r="S117" s="1"/>
      <c r="T117" s="1"/>
      <c r="U117" s="1"/>
      <c r="W117" s="1"/>
      <c r="X117" s="1"/>
      <c r="Y117" s="1"/>
      <c r="Z117" s="1"/>
    </row>
    <row r="118" spans="1:26">
      <c r="A118" s="1248" t="s">
        <v>40</v>
      </c>
      <c r="B118" s="1224"/>
      <c r="C118" s="1007">
        <v>788.34</v>
      </c>
      <c r="D118" s="1007">
        <v>788.34</v>
      </c>
      <c r="E118" s="482">
        <v>0</v>
      </c>
      <c r="F118" s="3"/>
      <c r="G118" s="1"/>
      <c r="O118" s="84"/>
      <c r="P118" s="86"/>
      <c r="Q118" s="1067"/>
      <c r="R118" s="1067"/>
      <c r="S118" s="1"/>
      <c r="T118" s="1"/>
      <c r="U118" s="1"/>
      <c r="W118" s="1"/>
      <c r="X118" s="1"/>
      <c r="Y118" s="1"/>
      <c r="Z118" s="1"/>
    </row>
    <row r="119" spans="1:26">
      <c r="A119" s="340"/>
      <c r="B119" s="366"/>
      <c r="C119" s="514">
        <f>SUM(C118:C118)</f>
        <v>788.34</v>
      </c>
      <c r="D119" s="366"/>
      <c r="E119" s="84"/>
      <c r="F119" s="366"/>
      <c r="G119" s="1"/>
      <c r="K119" s="506"/>
      <c r="O119" s="84"/>
      <c r="P119" s="86"/>
      <c r="Q119" s="1067"/>
      <c r="R119" s="1067"/>
      <c r="T119" s="1"/>
      <c r="U119" s="1"/>
      <c r="Z119" s="1"/>
    </row>
    <row r="120" spans="1:26">
      <c r="A120" s="340"/>
      <c r="B120" s="366"/>
      <c r="C120" s="366"/>
      <c r="D120" s="366"/>
      <c r="E120" s="366"/>
      <c r="F120" s="366"/>
      <c r="G120" s="1"/>
      <c r="O120" s="84"/>
      <c r="P120" s="86"/>
      <c r="Q120" s="1067"/>
      <c r="R120" s="1067"/>
      <c r="U120" s="1"/>
      <c r="Z120" s="1"/>
    </row>
    <row r="121" spans="1:26">
      <c r="A121" s="340"/>
      <c r="B121" s="366"/>
      <c r="C121" s="366"/>
      <c r="D121" s="366"/>
      <c r="E121" s="366"/>
      <c r="F121" s="366"/>
      <c r="G121" s="1"/>
      <c r="M121" s="506"/>
      <c r="O121" s="84"/>
      <c r="P121" s="86"/>
      <c r="Q121" s="1067"/>
      <c r="R121" s="1067"/>
      <c r="U121" s="1"/>
      <c r="Z121" s="1"/>
    </row>
    <row r="122" spans="1:26">
      <c r="A122" s="340"/>
      <c r="B122" s="366"/>
      <c r="C122" s="366"/>
      <c r="D122" s="366"/>
      <c r="E122" s="366"/>
      <c r="F122" s="366"/>
      <c r="G122" s="1"/>
      <c r="O122" s="84"/>
      <c r="P122" s="86"/>
      <c r="Q122" s="1067"/>
      <c r="R122" s="1067"/>
      <c r="U122" s="1"/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1067"/>
      <c r="R123" s="1067"/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1067"/>
      <c r="R124" s="1067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1067"/>
      <c r="R125" s="1067"/>
    </row>
    <row r="126" spans="1:26">
      <c r="A126" s="43"/>
      <c r="B126" s="1"/>
      <c r="C126" s="366"/>
      <c r="D126" s="1"/>
      <c r="E126" s="1"/>
      <c r="F126" s="1"/>
      <c r="G126" s="1"/>
      <c r="M126" s="366"/>
      <c r="O126" s="84"/>
      <c r="P126" s="86"/>
      <c r="Q126" s="1067"/>
      <c r="R126" s="1067"/>
    </row>
    <row r="127" spans="1:26">
      <c r="A127" s="43"/>
      <c r="B127" s="1"/>
      <c r="C127" s="366"/>
      <c r="D127" s="1"/>
      <c r="E127" s="1"/>
      <c r="F127" s="1"/>
      <c r="G127" s="1"/>
      <c r="M127" s="366"/>
      <c r="O127" s="84"/>
      <c r="P127" s="86"/>
      <c r="Q127" s="1067"/>
      <c r="R127" s="1067"/>
    </row>
    <row r="128" spans="1:26">
      <c r="A128" s="43"/>
      <c r="B128" s="1"/>
      <c r="C128" s="366"/>
      <c r="D128" s="1"/>
      <c r="E128" s="1"/>
      <c r="F128" s="1"/>
      <c r="G128" s="1"/>
      <c r="M128" s="1"/>
      <c r="O128" s="84"/>
      <c r="P128" s="86"/>
      <c r="Q128" s="1067"/>
      <c r="R128" s="1067"/>
    </row>
    <row r="129" spans="1:26">
      <c r="A129" s="43"/>
      <c r="B129" s="1"/>
      <c r="C129" s="366"/>
      <c r="D129" s="1"/>
      <c r="E129" s="1"/>
      <c r="F129" s="1"/>
      <c r="G129" s="1"/>
      <c r="M129" s="1"/>
      <c r="O129" s="84"/>
      <c r="P129" s="86"/>
      <c r="Q129" s="1067"/>
      <c r="R129" s="1067"/>
    </row>
    <row r="130" spans="1:26">
      <c r="A130" s="43"/>
      <c r="B130" s="1"/>
      <c r="C130" s="366"/>
      <c r="D130" s="1"/>
      <c r="E130" s="1"/>
      <c r="F130" s="1"/>
      <c r="G130" s="1"/>
      <c r="M130" s="1"/>
      <c r="O130" s="84"/>
      <c r="P130" s="86"/>
      <c r="Q130" s="86"/>
      <c r="R130" s="1067"/>
    </row>
    <row r="131" spans="1:26">
      <c r="A131" s="43"/>
      <c r="B131" s="1"/>
      <c r="C131" s="366"/>
      <c r="D131" s="1"/>
      <c r="E131" s="1"/>
      <c r="F131" s="1"/>
      <c r="G131" s="1"/>
      <c r="M131" s="1"/>
      <c r="O131" s="84"/>
      <c r="P131" s="86"/>
      <c r="Q131" s="86"/>
      <c r="R131" s="1067"/>
    </row>
    <row r="132" spans="1:26">
      <c r="A132" s="43"/>
      <c r="B132" s="1"/>
      <c r="C132" s="366"/>
      <c r="D132" s="1"/>
      <c r="E132" s="1"/>
      <c r="F132" s="1"/>
      <c r="G132" s="1"/>
      <c r="O132" s="84"/>
      <c r="P132" s="86"/>
      <c r="Q132" s="86"/>
      <c r="R132" s="1067"/>
    </row>
    <row r="133" spans="1:26">
      <c r="A133" s="43"/>
      <c r="B133" s="1"/>
      <c r="C133" s="366"/>
      <c r="D133" s="1"/>
      <c r="E133" s="1"/>
      <c r="F133" s="1"/>
      <c r="G133" s="1"/>
      <c r="O133" s="84"/>
      <c r="P133" s="86"/>
      <c r="Q133" s="86"/>
      <c r="R133" s="1067"/>
    </row>
    <row r="134" spans="1:26">
      <c r="C134" s="447"/>
      <c r="O134" s="84"/>
      <c r="P134" s="86"/>
      <c r="Q134" s="86"/>
      <c r="R134" s="145"/>
    </row>
    <row r="135" spans="1:26">
      <c r="A135" s="12"/>
      <c r="C135" s="447"/>
      <c r="O135" s="84"/>
      <c r="P135" s="86"/>
      <c r="Q135" s="86"/>
      <c r="R135" s="366"/>
    </row>
    <row r="136" spans="1:26">
      <c r="C136" s="447"/>
      <c r="O136" s="84"/>
      <c r="R136" s="366"/>
    </row>
    <row r="137" spans="1:26" s="1" customFormat="1" ht="12.75" customHeight="1">
      <c r="A137" s="449"/>
      <c r="B137" s="199"/>
      <c r="D137" s="273"/>
      <c r="E137" s="366"/>
      <c r="F137" s="366"/>
      <c r="G137" s="366"/>
      <c r="H137" s="565"/>
      <c r="I137" s="942"/>
      <c r="J137" s="437"/>
      <c r="K137" s="643"/>
      <c r="L137" s="643"/>
      <c r="M137" s="436"/>
      <c r="O137" s="84"/>
      <c r="P137" s="84"/>
      <c r="Q137" s="145"/>
      <c r="R137" s="84"/>
      <c r="S137" s="84"/>
      <c r="T137" s="366"/>
      <c r="U137" s="366"/>
      <c r="V137" s="366"/>
      <c r="W137" s="366"/>
      <c r="X137" s="366"/>
      <c r="Y137" s="366"/>
      <c r="Z137" s="366"/>
    </row>
    <row r="138" spans="1:26">
      <c r="C138" s="447"/>
      <c r="O138" s="84"/>
      <c r="R138" s="366"/>
    </row>
    <row r="139" spans="1:26">
      <c r="C139" s="447"/>
      <c r="O139" s="150"/>
      <c r="R139" s="366"/>
    </row>
    <row r="140" spans="1:26">
      <c r="C140" s="447"/>
      <c r="R140" s="366"/>
    </row>
    <row r="141" spans="1:26">
      <c r="C141" s="447"/>
      <c r="R141" s="366"/>
    </row>
    <row r="142" spans="1:26">
      <c r="C142" s="447"/>
      <c r="R142" s="950"/>
    </row>
    <row r="143" spans="1:26">
      <c r="C143" s="447"/>
    </row>
  </sheetData>
  <mergeCells count="132">
    <mergeCell ref="A114:M115"/>
    <mergeCell ref="A116:F116"/>
    <mergeCell ref="A117:B117"/>
    <mergeCell ref="A118:B118"/>
    <mergeCell ref="I108:J108"/>
    <mergeCell ref="I109:J109"/>
    <mergeCell ref="I110:J110"/>
    <mergeCell ref="I111:J111"/>
    <mergeCell ref="H112:I112"/>
    <mergeCell ref="K112:L112"/>
    <mergeCell ref="I101:J101"/>
    <mergeCell ref="I102:J102"/>
    <mergeCell ref="I103:J103"/>
    <mergeCell ref="I104:J104"/>
    <mergeCell ref="I106:J106"/>
    <mergeCell ref="I107:J107"/>
    <mergeCell ref="H96:H97"/>
    <mergeCell ref="I96:K97"/>
    <mergeCell ref="L96:M97"/>
    <mergeCell ref="I98:J98"/>
    <mergeCell ref="I99:J99"/>
    <mergeCell ref="I100:J100"/>
    <mergeCell ref="I78:J78"/>
    <mergeCell ref="L78:M78"/>
    <mergeCell ref="A79:B79"/>
    <mergeCell ref="H79:J79"/>
    <mergeCell ref="L79:M79"/>
    <mergeCell ref="H80:H81"/>
    <mergeCell ref="I80:I81"/>
    <mergeCell ref="J80:K80"/>
    <mergeCell ref="L80:L81"/>
    <mergeCell ref="M80:M81"/>
    <mergeCell ref="I75:J75"/>
    <mergeCell ref="L75:M75"/>
    <mergeCell ref="I76:J76"/>
    <mergeCell ref="L76:M76"/>
    <mergeCell ref="I77:J77"/>
    <mergeCell ref="L77:M77"/>
    <mergeCell ref="I72:J72"/>
    <mergeCell ref="L72:M72"/>
    <mergeCell ref="I73:J73"/>
    <mergeCell ref="L73:M73"/>
    <mergeCell ref="I74:J74"/>
    <mergeCell ref="L74:M74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K57:L57"/>
    <mergeCell ref="H58:K58"/>
    <mergeCell ref="A59:M60"/>
    <mergeCell ref="A61:G61"/>
    <mergeCell ref="H61:M61"/>
    <mergeCell ref="I62:J62"/>
    <mergeCell ref="L62:M62"/>
    <mergeCell ref="I52:J52"/>
    <mergeCell ref="I53:J53"/>
    <mergeCell ref="I54:J54"/>
    <mergeCell ref="I55:J55"/>
    <mergeCell ref="I56:J56"/>
    <mergeCell ref="H57:I57"/>
    <mergeCell ref="I44:J44"/>
    <mergeCell ref="I45:J45"/>
    <mergeCell ref="I46:J46"/>
    <mergeCell ref="I49:J49"/>
    <mergeCell ref="I50:J50"/>
    <mergeCell ref="I51:J51"/>
    <mergeCell ref="H39:H40"/>
    <mergeCell ref="I39:K40"/>
    <mergeCell ref="L39:M40"/>
    <mergeCell ref="I41:J41"/>
    <mergeCell ref="I42:J42"/>
    <mergeCell ref="I43:J43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72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1"/>
  <sheetViews>
    <sheetView zoomScaleNormal="100" zoomScaleSheetLayoutView="115" zoomScalePageLayoutView="70" workbookViewId="0">
      <pane xSplit="1" ySplit="1" topLeftCell="F32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6.7109375" style="35" customWidth="1"/>
    <col min="4" max="4" width="13.5703125" style="35" customWidth="1"/>
    <col min="5" max="5" width="12.85546875" style="35" customWidth="1"/>
    <col min="6" max="7" width="16.7109375" style="35" customWidth="1"/>
    <col min="8" max="13" width="18.7109375" style="35" customWidth="1"/>
    <col min="14" max="16384" width="9.140625" style="35"/>
  </cols>
  <sheetData>
    <row r="1" spans="2:16" ht="14.1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2:16" ht="14.1" customHeight="1">
      <c r="B2" s="16">
        <f>IF(C2="","",WEEKDAY(C2,2))</f>
        <v>7</v>
      </c>
      <c r="C2" s="17">
        <v>44164</v>
      </c>
      <c r="D2" s="796"/>
      <c r="E2" s="796"/>
      <c r="F2" s="913"/>
      <c r="G2" s="227">
        <v>617.5</v>
      </c>
      <c r="H2" s="1066"/>
      <c r="I2" s="708"/>
      <c r="J2" s="464"/>
      <c r="K2" s="464"/>
      <c r="L2" s="464"/>
    </row>
    <row r="3" spans="2:16" ht="14.1" customHeight="1">
      <c r="B3" s="16">
        <f t="shared" ref="B3" si="0">IF(C3="","",WEEKDAY(C3,2))</f>
        <v>1</v>
      </c>
      <c r="C3" s="17">
        <v>44165</v>
      </c>
      <c r="D3" s="796"/>
      <c r="E3" s="796"/>
      <c r="F3" s="913"/>
      <c r="G3" s="227">
        <v>589.6</v>
      </c>
      <c r="H3" s="1066"/>
      <c r="I3" s="709"/>
      <c r="J3" s="464"/>
      <c r="K3" s="464"/>
      <c r="L3" s="1287"/>
      <c r="M3" s="1288"/>
    </row>
    <row r="4" spans="2:16" ht="14.1" customHeight="1">
      <c r="B4" s="16">
        <f>IF(C4="","",WEEKDAY(C4,2))</f>
        <v>2</v>
      </c>
      <c r="C4" s="17">
        <v>44166</v>
      </c>
      <c r="D4" s="796">
        <v>1341.1</v>
      </c>
      <c r="E4" s="796">
        <v>40</v>
      </c>
      <c r="F4" s="913"/>
      <c r="G4" s="227">
        <v>247.3</v>
      </c>
      <c r="H4" s="1066"/>
      <c r="I4" s="708"/>
      <c r="J4" s="464"/>
      <c r="L4" s="464"/>
    </row>
    <row r="5" spans="2:16" ht="14.1" customHeight="1">
      <c r="B5" s="16">
        <f t="shared" ref="B5:B34" si="1">IF(C5="","",WEEKDAY(C5,2))</f>
        <v>3</v>
      </c>
      <c r="C5" s="17">
        <v>44167</v>
      </c>
      <c r="D5" s="796">
        <v>954.6</v>
      </c>
      <c r="E5" s="796"/>
      <c r="F5" s="913"/>
      <c r="G5" s="227">
        <v>386.6</v>
      </c>
      <c r="H5" s="1066"/>
      <c r="I5" s="709"/>
      <c r="J5" s="464"/>
      <c r="K5" s="464"/>
      <c r="L5" s="464"/>
    </row>
    <row r="6" spans="2:16" ht="14.1" customHeight="1">
      <c r="B6" s="16">
        <f t="shared" si="1"/>
        <v>4</v>
      </c>
      <c r="C6" s="17">
        <v>44168</v>
      </c>
      <c r="D6" s="796"/>
      <c r="E6" s="796">
        <v>679.75</v>
      </c>
      <c r="F6" s="913"/>
      <c r="G6" s="227"/>
      <c r="H6" s="1066">
        <v>219</v>
      </c>
      <c r="I6" s="709" t="s">
        <v>452</v>
      </c>
      <c r="J6" s="464"/>
      <c r="K6" s="464"/>
      <c r="L6" s="464"/>
    </row>
    <row r="7" spans="2:16" ht="14.1" customHeight="1">
      <c r="B7" s="16">
        <f t="shared" si="1"/>
        <v>5</v>
      </c>
      <c r="C7" s="17">
        <v>44169</v>
      </c>
      <c r="D7" s="796"/>
      <c r="E7" s="796">
        <v>793.5</v>
      </c>
      <c r="F7" s="913"/>
      <c r="G7" s="227">
        <v>357.5</v>
      </c>
      <c r="H7" s="1066"/>
      <c r="I7" s="85"/>
      <c r="J7" s="464"/>
      <c r="K7" s="464"/>
      <c r="L7" s="464"/>
    </row>
    <row r="8" spans="2:16" ht="14.1" customHeight="1">
      <c r="B8" s="16">
        <f t="shared" si="1"/>
        <v>6</v>
      </c>
      <c r="C8" s="17">
        <v>44170</v>
      </c>
      <c r="D8" s="796">
        <v>255.8</v>
      </c>
      <c r="E8" s="778"/>
      <c r="F8" s="913"/>
      <c r="G8" s="227">
        <v>616.5</v>
      </c>
      <c r="H8" s="1066"/>
      <c r="I8" s="85"/>
      <c r="J8" s="464"/>
      <c r="K8" s="464"/>
      <c r="L8" s="464"/>
    </row>
    <row r="9" spans="2:16" ht="14.1" customHeight="1">
      <c r="B9" s="16">
        <f t="shared" si="1"/>
        <v>7</v>
      </c>
      <c r="C9" s="17">
        <v>44171</v>
      </c>
      <c r="D9" s="796">
        <v>1130</v>
      </c>
      <c r="E9" s="796"/>
      <c r="F9" s="913"/>
      <c r="G9" s="227">
        <v>513.35</v>
      </c>
      <c r="H9" s="915"/>
      <c r="I9" s="85"/>
      <c r="J9" s="464"/>
      <c r="K9" s="464"/>
      <c r="L9" s="464"/>
    </row>
    <row r="10" spans="2:16" ht="14.1" customHeight="1">
      <c r="B10" s="16">
        <f t="shared" si="1"/>
        <v>1</v>
      </c>
      <c r="C10" s="17">
        <v>44172</v>
      </c>
      <c r="D10" s="796"/>
      <c r="E10" s="796">
        <v>298</v>
      </c>
      <c r="F10" s="913"/>
      <c r="G10" s="227">
        <v>278.89999999999998</v>
      </c>
      <c r="H10" s="925"/>
      <c r="I10" s="765"/>
      <c r="J10" s="464"/>
      <c r="K10" s="464"/>
      <c r="L10" s="464"/>
    </row>
    <row r="11" spans="2:16" ht="14.1" customHeight="1">
      <c r="B11" s="16">
        <f t="shared" si="1"/>
        <v>2</v>
      </c>
      <c r="C11" s="17">
        <v>44173</v>
      </c>
      <c r="D11" s="778">
        <v>192.3</v>
      </c>
      <c r="E11" s="796">
        <v>333.31</v>
      </c>
      <c r="F11" s="913"/>
      <c r="G11" s="227"/>
      <c r="H11" s="18"/>
      <c r="I11" s="765"/>
      <c r="J11" s="464"/>
      <c r="K11" s="464"/>
      <c r="L11" s="464"/>
    </row>
    <row r="12" spans="2:16" ht="14.1" customHeight="1">
      <c r="B12" s="16">
        <f t="shared" si="1"/>
        <v>3</v>
      </c>
      <c r="C12" s="17">
        <v>44174</v>
      </c>
      <c r="D12" s="796">
        <v>528</v>
      </c>
      <c r="E12" s="796"/>
      <c r="F12" s="913"/>
      <c r="G12" s="227">
        <v>482</v>
      </c>
      <c r="H12" s="431"/>
      <c r="I12" s="765"/>
      <c r="J12" s="464"/>
      <c r="K12" s="464"/>
      <c r="L12" s="464"/>
    </row>
    <row r="13" spans="2:16" ht="14.1" customHeight="1">
      <c r="B13" s="16">
        <f t="shared" si="1"/>
        <v>4</v>
      </c>
      <c r="C13" s="17">
        <v>44175</v>
      </c>
      <c r="D13" s="796">
        <v>715.35</v>
      </c>
      <c r="E13" s="796"/>
      <c r="F13" s="913"/>
      <c r="G13" s="227">
        <v>479.8</v>
      </c>
      <c r="H13" s="226"/>
      <c r="I13" s="1066"/>
      <c r="J13" s="464"/>
      <c r="K13" s="466"/>
      <c r="L13" s="464"/>
      <c r="N13" s="86"/>
      <c r="O13" s="86"/>
      <c r="P13" s="86"/>
    </row>
    <row r="14" spans="2:16" ht="14.1" customHeight="1">
      <c r="B14" s="16">
        <f t="shared" si="1"/>
        <v>5</v>
      </c>
      <c r="C14" s="17">
        <v>44176</v>
      </c>
      <c r="D14" s="778">
        <v>62</v>
      </c>
      <c r="E14" s="796">
        <v>430.5</v>
      </c>
      <c r="F14" s="913"/>
      <c r="G14" s="227">
        <v>238.7</v>
      </c>
      <c r="H14" s="226"/>
      <c r="I14" s="765"/>
      <c r="J14" s="464"/>
      <c r="K14" s="466"/>
      <c r="L14" s="464"/>
      <c r="N14" s="86"/>
      <c r="O14" s="86"/>
      <c r="P14" s="86"/>
    </row>
    <row r="15" spans="2:16" ht="14.1" customHeight="1">
      <c r="B15" s="16">
        <f t="shared" si="1"/>
        <v>6</v>
      </c>
      <c r="C15" s="17">
        <v>44177</v>
      </c>
      <c r="D15" s="796"/>
      <c r="E15" s="796">
        <v>596.6</v>
      </c>
      <c r="F15" s="913"/>
      <c r="G15" s="227">
        <v>968</v>
      </c>
      <c r="H15" s="226"/>
      <c r="I15" s="765"/>
      <c r="J15" s="464"/>
      <c r="K15" s="466"/>
      <c r="L15" s="464"/>
      <c r="N15" s="86"/>
      <c r="O15" s="86"/>
      <c r="P15" s="86"/>
    </row>
    <row r="16" spans="2:16" ht="14.1" customHeight="1">
      <c r="B16" s="16">
        <f t="shared" si="1"/>
        <v>7</v>
      </c>
      <c r="C16" s="17">
        <v>44178</v>
      </c>
      <c r="D16" s="796">
        <v>817.5</v>
      </c>
      <c r="E16" s="796"/>
      <c r="F16" s="913"/>
      <c r="G16" s="227"/>
      <c r="H16" s="226">
        <v>529.82000000000005</v>
      </c>
      <c r="I16" s="765" t="s">
        <v>190</v>
      </c>
      <c r="J16" s="464"/>
      <c r="K16" s="466"/>
      <c r="L16" s="464"/>
      <c r="N16" s="86"/>
      <c r="O16" s="86"/>
      <c r="P16" s="86"/>
    </row>
    <row r="17" spans="1:16" ht="14.1" customHeight="1">
      <c r="A17" s="86"/>
      <c r="B17" s="16">
        <f t="shared" si="1"/>
        <v>1</v>
      </c>
      <c r="C17" s="17">
        <v>44179</v>
      </c>
      <c r="D17" s="796">
        <v>669.51</v>
      </c>
      <c r="E17" s="796"/>
      <c r="F17" s="913"/>
      <c r="G17" s="227"/>
      <c r="H17" s="1066">
        <v>288.85000000000002</v>
      </c>
      <c r="I17" s="765" t="s">
        <v>190</v>
      </c>
      <c r="J17" s="464"/>
      <c r="K17" s="466"/>
      <c r="L17" s="464"/>
      <c r="N17" s="86"/>
      <c r="O17" s="86"/>
      <c r="P17" s="86"/>
    </row>
    <row r="18" spans="1:16" ht="14.1" customHeight="1">
      <c r="A18" s="86"/>
      <c r="B18" s="16">
        <f t="shared" si="1"/>
        <v>2</v>
      </c>
      <c r="C18" s="17">
        <v>44180</v>
      </c>
      <c r="D18" s="796"/>
      <c r="E18" s="796">
        <v>507</v>
      </c>
      <c r="F18" s="913"/>
      <c r="G18" s="227">
        <v>837.7</v>
      </c>
      <c r="H18" s="925"/>
      <c r="I18" s="765"/>
      <c r="J18" s="464"/>
      <c r="K18" s="466"/>
      <c r="L18" s="466"/>
      <c r="M18" s="86"/>
      <c r="N18" s="86"/>
      <c r="O18" s="86"/>
      <c r="P18" s="86"/>
    </row>
    <row r="19" spans="1:16" ht="14.1" customHeight="1">
      <c r="A19" s="86"/>
      <c r="B19" s="16">
        <f t="shared" si="1"/>
        <v>3</v>
      </c>
      <c r="C19" s="17">
        <v>44181</v>
      </c>
      <c r="D19" s="796"/>
      <c r="E19" s="796">
        <v>1191.3</v>
      </c>
      <c r="F19" s="913"/>
      <c r="G19" s="227">
        <v>1042.9000000000001</v>
      </c>
      <c r="H19" s="14"/>
      <c r="I19" s="765"/>
      <c r="J19" s="464"/>
      <c r="K19" s="466"/>
      <c r="L19" s="468"/>
      <c r="M19" s="86"/>
      <c r="N19" s="86"/>
      <c r="O19" s="86"/>
      <c r="P19" s="86"/>
    </row>
    <row r="20" spans="1:16" ht="14.1" customHeight="1">
      <c r="A20" s="86"/>
      <c r="B20" s="16">
        <f t="shared" si="1"/>
        <v>4</v>
      </c>
      <c r="C20" s="17">
        <v>44182</v>
      </c>
      <c r="D20" s="796"/>
      <c r="E20" s="796">
        <v>1079.3</v>
      </c>
      <c r="F20" s="913"/>
      <c r="G20" s="227">
        <v>929.3</v>
      </c>
      <c r="H20" s="226"/>
      <c r="I20" s="765"/>
      <c r="J20" s="464"/>
      <c r="K20" s="466"/>
      <c r="L20" s="466"/>
      <c r="M20" s="86"/>
      <c r="N20" s="86"/>
      <c r="O20" s="86"/>
      <c r="P20" s="86"/>
    </row>
    <row r="21" spans="1:16" ht="14.1" customHeight="1">
      <c r="A21" s="86"/>
      <c r="B21" s="16">
        <f t="shared" si="1"/>
        <v>5</v>
      </c>
      <c r="C21" s="17">
        <v>44183</v>
      </c>
      <c r="D21" s="796"/>
      <c r="E21" s="796"/>
      <c r="F21" s="913"/>
      <c r="G21" s="227">
        <v>1313.8</v>
      </c>
      <c r="H21" s="14">
        <v>844.6</v>
      </c>
      <c r="I21" s="765" t="s">
        <v>189</v>
      </c>
      <c r="J21" s="464"/>
      <c r="K21" s="466"/>
      <c r="L21" s="466"/>
      <c r="M21" s="86"/>
      <c r="N21" s="86"/>
      <c r="O21" s="86"/>
      <c r="P21" s="86"/>
    </row>
    <row r="22" spans="1:16" s="86" customFormat="1" ht="14.1" customHeight="1">
      <c r="A22" s="475"/>
      <c r="B22" s="16">
        <f t="shared" si="1"/>
        <v>6</v>
      </c>
      <c r="C22" s="17">
        <v>44184</v>
      </c>
      <c r="D22" s="796"/>
      <c r="E22" s="796">
        <v>1060.5</v>
      </c>
      <c r="F22" s="913">
        <v>1159</v>
      </c>
      <c r="G22" s="227"/>
      <c r="H22" s="22"/>
      <c r="I22" s="766"/>
      <c r="J22" s="466"/>
      <c r="K22" s="466"/>
      <c r="L22" s="466"/>
    </row>
    <row r="23" spans="1:16" s="86" customFormat="1" ht="14.1" customHeight="1">
      <c r="B23" s="16">
        <f t="shared" si="1"/>
        <v>7</v>
      </c>
      <c r="C23" s="17">
        <v>44185</v>
      </c>
      <c r="D23" s="778"/>
      <c r="E23" s="796">
        <v>1488.8</v>
      </c>
      <c r="F23" s="913"/>
      <c r="G23" s="227">
        <v>915.7</v>
      </c>
      <c r="H23" s="226"/>
      <c r="I23" s="766"/>
      <c r="J23" s="466"/>
      <c r="K23" s="466"/>
      <c r="L23" s="466"/>
    </row>
    <row r="24" spans="1:16" s="86" customFormat="1" ht="14.1" customHeight="1">
      <c r="B24" s="16">
        <f t="shared" si="1"/>
        <v>1</v>
      </c>
      <c r="C24" s="17">
        <v>44186</v>
      </c>
      <c r="D24" s="778"/>
      <c r="E24" s="796">
        <v>986.1</v>
      </c>
      <c r="F24" s="913"/>
      <c r="G24" s="227">
        <v>338</v>
      </c>
      <c r="H24" s="226"/>
      <c r="I24" s="766"/>
      <c r="J24" s="466"/>
      <c r="K24" s="466"/>
      <c r="L24" s="466"/>
    </row>
    <row r="25" spans="1:16" s="86" customFormat="1" ht="14.1" customHeight="1">
      <c r="A25" s="928"/>
      <c r="B25" s="16">
        <f t="shared" si="1"/>
        <v>2</v>
      </c>
      <c r="C25" s="17">
        <v>44187</v>
      </c>
      <c r="D25" s="796"/>
      <c r="E25" s="796"/>
      <c r="F25" s="913">
        <v>728</v>
      </c>
      <c r="G25" s="913">
        <v>1517.8</v>
      </c>
      <c r="H25" s="476"/>
      <c r="I25" s="766"/>
      <c r="J25" s="466"/>
      <c r="K25" s="466"/>
      <c r="L25" s="466"/>
    </row>
    <row r="26" spans="1:16" s="86" customFormat="1" ht="14.1" customHeight="1">
      <c r="A26" s="928"/>
      <c r="B26" s="16">
        <f t="shared" si="1"/>
        <v>3</v>
      </c>
      <c r="C26" s="17">
        <v>44188</v>
      </c>
      <c r="D26" s="796"/>
      <c r="E26" s="796">
        <v>586.1</v>
      </c>
      <c r="F26" s="913">
        <v>691.9</v>
      </c>
      <c r="G26" s="227"/>
      <c r="H26" s="226"/>
      <c r="I26" s="766"/>
      <c r="J26" s="466"/>
      <c r="K26" s="743"/>
      <c r="L26" s="466"/>
    </row>
    <row r="27" spans="1:16" s="86" customFormat="1" ht="14.1" customHeight="1">
      <c r="B27" s="16">
        <f t="shared" si="1"/>
        <v>4</v>
      </c>
      <c r="C27" s="17">
        <v>44189</v>
      </c>
      <c r="D27" s="796"/>
      <c r="E27" s="796">
        <v>1043</v>
      </c>
      <c r="F27" s="913"/>
      <c r="G27" s="227">
        <v>997.1</v>
      </c>
      <c r="H27" s="226"/>
      <c r="I27" s="766"/>
      <c r="J27" s="466"/>
      <c r="K27" s="466"/>
      <c r="L27" s="477"/>
    </row>
    <row r="28" spans="1:16" s="86" customFormat="1" ht="14.1" customHeight="1">
      <c r="B28" s="16">
        <f t="shared" si="1"/>
        <v>5</v>
      </c>
      <c r="C28" s="17">
        <v>44190</v>
      </c>
      <c r="D28" s="796"/>
      <c r="E28" s="796">
        <v>1429.3</v>
      </c>
      <c r="F28" s="913"/>
      <c r="G28" s="227">
        <v>1037.9000000000001</v>
      </c>
      <c r="H28" s="226"/>
      <c r="I28" s="766"/>
      <c r="J28" s="466"/>
      <c r="K28" s="466"/>
      <c r="L28" s="477"/>
    </row>
    <row r="29" spans="1:16" s="86" customFormat="1" ht="14.1" customHeight="1">
      <c r="B29" s="16">
        <f t="shared" si="1"/>
        <v>6</v>
      </c>
      <c r="C29" s="17">
        <v>44191</v>
      </c>
      <c r="D29" s="796"/>
      <c r="E29" s="796"/>
      <c r="F29" s="913">
        <v>917.4</v>
      </c>
      <c r="G29" s="913">
        <v>1031</v>
      </c>
      <c r="H29" s="226"/>
      <c r="I29" s="766"/>
      <c r="J29" s="469"/>
      <c r="K29" s="469"/>
      <c r="L29" s="469"/>
      <c r="M29" s="366"/>
      <c r="N29" s="366"/>
      <c r="O29" s="366"/>
      <c r="P29" s="366"/>
    </row>
    <row r="30" spans="1:16" s="86" customFormat="1" ht="14.1" customHeight="1">
      <c r="A30" s="475"/>
      <c r="B30" s="16">
        <f t="shared" si="1"/>
        <v>7</v>
      </c>
      <c r="C30" s="17">
        <v>44192</v>
      </c>
      <c r="D30" s="796"/>
      <c r="E30" s="796"/>
      <c r="F30" s="913">
        <v>1027.6600000000001</v>
      </c>
      <c r="G30" s="913">
        <v>678.3</v>
      </c>
      <c r="H30" s="226"/>
      <c r="I30" s="766"/>
      <c r="J30" s="469"/>
      <c r="K30" s="469"/>
      <c r="L30" s="469"/>
      <c r="M30" s="366"/>
      <c r="N30" s="366"/>
      <c r="O30" s="366"/>
      <c r="P30" s="366"/>
    </row>
    <row r="31" spans="1:16" s="86" customFormat="1" ht="14.1" customHeight="1">
      <c r="B31" s="16">
        <f t="shared" si="1"/>
        <v>1</v>
      </c>
      <c r="C31" s="17">
        <v>44193</v>
      </c>
      <c r="D31" s="778"/>
      <c r="E31" s="796">
        <v>960.7</v>
      </c>
      <c r="F31" s="741"/>
      <c r="G31" s="226">
        <v>604</v>
      </c>
      <c r="H31" s="226"/>
      <c r="I31" s="766"/>
      <c r="J31" s="469"/>
      <c r="K31" s="467"/>
      <c r="L31" s="467"/>
      <c r="M31" s="366"/>
      <c r="N31" s="366"/>
      <c r="O31" s="366"/>
      <c r="P31" s="366"/>
    </row>
    <row r="32" spans="1:16" s="86" customFormat="1" ht="14.1" customHeight="1">
      <c r="B32" s="16">
        <f t="shared" si="1"/>
        <v>2</v>
      </c>
      <c r="C32" s="17">
        <v>44194</v>
      </c>
      <c r="D32" s="796"/>
      <c r="E32" s="796">
        <v>565.1</v>
      </c>
      <c r="F32" s="741"/>
      <c r="G32" s="226">
        <v>903.9</v>
      </c>
      <c r="H32" s="226"/>
      <c r="I32" s="766"/>
      <c r="J32" s="467"/>
      <c r="K32" s="469"/>
      <c r="L32" s="467"/>
      <c r="M32" s="366"/>
      <c r="N32" s="366"/>
      <c r="O32" s="366"/>
      <c r="P32" s="366"/>
    </row>
    <row r="33" spans="1:16" s="86" customFormat="1" ht="14.1" customHeight="1">
      <c r="A33" s="475"/>
      <c r="B33" s="16">
        <f t="shared" si="1"/>
        <v>3</v>
      </c>
      <c r="C33" s="17">
        <v>44195</v>
      </c>
      <c r="D33" s="796"/>
      <c r="E33" s="796">
        <v>773.1</v>
      </c>
      <c r="F33" s="741">
        <v>958.9</v>
      </c>
      <c r="H33" s="22"/>
      <c r="I33" s="767"/>
      <c r="J33" s="470"/>
      <c r="K33" s="470"/>
      <c r="L33" s="470"/>
      <c r="M33" s="366"/>
      <c r="N33" s="366"/>
      <c r="O33" s="366"/>
      <c r="P33" s="366"/>
    </row>
    <row r="34" spans="1:16" s="86" customFormat="1" ht="14.1" customHeight="1">
      <c r="A34" s="475"/>
      <c r="B34" s="16">
        <f t="shared" si="1"/>
        <v>4</v>
      </c>
      <c r="C34" s="17">
        <v>44196</v>
      </c>
      <c r="D34" s="796"/>
      <c r="E34" s="778"/>
      <c r="F34" s="741">
        <v>506.5</v>
      </c>
      <c r="G34" s="741">
        <v>301</v>
      </c>
      <c r="H34" s="366"/>
      <c r="I34" s="470"/>
      <c r="J34" s="470"/>
      <c r="K34" s="470"/>
      <c r="L34" s="470"/>
      <c r="M34" s="145"/>
      <c r="N34" s="366"/>
      <c r="O34" s="366"/>
      <c r="P34" s="366"/>
    </row>
    <row r="35" spans="1:16" ht="14.1" customHeight="1" thickBot="1">
      <c r="B35" s="21"/>
      <c r="C35" s="612" t="s">
        <v>225</v>
      </c>
      <c r="D35" s="85">
        <v>8</v>
      </c>
      <c r="E35" s="85">
        <v>18</v>
      </c>
      <c r="F35" s="85">
        <f>COUNT(F4:F34)</f>
        <v>7</v>
      </c>
      <c r="G35" s="85">
        <f>COUNT(G2:G34)</f>
        <v>26</v>
      </c>
      <c r="I35" s="470"/>
      <c r="J35" s="470"/>
      <c r="K35" s="470"/>
      <c r="L35" s="470"/>
      <c r="M35" s="366"/>
      <c r="N35" s="366"/>
      <c r="O35" s="366"/>
      <c r="P35" s="366"/>
    </row>
    <row r="36" spans="1:16" ht="14.1" customHeight="1" thickBot="1">
      <c r="B36" s="21"/>
      <c r="C36" s="85" t="s">
        <v>73</v>
      </c>
      <c r="D36" s="238">
        <f>SUM(D4:D34)</f>
        <v>6666.1600000000008</v>
      </c>
      <c r="E36" s="238">
        <f>SUM(E4:E34)</f>
        <v>14841.960000000001</v>
      </c>
      <c r="F36" s="238">
        <f>SUM(F4:F34)</f>
        <v>5989.36</v>
      </c>
      <c r="G36" s="238">
        <f>SUM(G2:G34)</f>
        <v>18224.150000000001</v>
      </c>
      <c r="H36" s="1"/>
      <c r="I36" s="253" t="s">
        <v>189</v>
      </c>
      <c r="J36" s="292" t="s">
        <v>190</v>
      </c>
      <c r="K36" s="453" t="s">
        <v>219</v>
      </c>
      <c r="L36" s="363"/>
      <c r="M36" s="366"/>
      <c r="N36" s="366"/>
      <c r="O36" s="366"/>
      <c r="P36" s="366"/>
    </row>
    <row r="37" spans="1:16" ht="14.1" customHeight="1" thickBot="1">
      <c r="B37" s="21"/>
      <c r="C37" s="85" t="s">
        <v>22</v>
      </c>
      <c r="D37" s="238">
        <v>6661.7</v>
      </c>
      <c r="E37" s="238">
        <v>14480.3</v>
      </c>
      <c r="F37" s="238">
        <v>5874.98</v>
      </c>
      <c r="G37" s="238">
        <v>18069.55</v>
      </c>
      <c r="H37" s="12"/>
      <c r="I37" s="292">
        <f>SUM(D4:E34)-D11+G34+G30+G29+G25+H21</f>
        <v>25688.519999999993</v>
      </c>
      <c r="J37" s="292">
        <f>SUM(F4:G24)+H16+H17+H6+D11+F25+F26+G27+G28+F29+F30+G31+G32+F33+F34</f>
        <v>20708.280000000002</v>
      </c>
      <c r="K37" s="454">
        <f>SUM(I4:I34)</f>
        <v>0</v>
      </c>
      <c r="L37" s="363"/>
      <c r="M37" s="366"/>
      <c r="N37" s="366"/>
      <c r="O37" s="366"/>
      <c r="P37" s="366"/>
    </row>
    <row r="38" spans="1:16" ht="14.1" customHeight="1">
      <c r="B38" s="21"/>
      <c r="C38" s="85" t="s">
        <v>5</v>
      </c>
      <c r="D38" s="88">
        <f t="shared" ref="D38:G38" si="2">ABS(D36-D37)</f>
        <v>4.4600000000009459</v>
      </c>
      <c r="E38" s="88">
        <f t="shared" si="2"/>
        <v>361.66000000000167</v>
      </c>
      <c r="F38" s="88">
        <f t="shared" si="2"/>
        <v>114.38000000000011</v>
      </c>
      <c r="G38" s="88">
        <f t="shared" si="2"/>
        <v>154.60000000000218</v>
      </c>
      <c r="H38" s="1"/>
      <c r="I38" s="363"/>
      <c r="J38" s="363"/>
      <c r="K38" s="363"/>
      <c r="L38" s="363"/>
      <c r="M38" s="366"/>
      <c r="N38" s="366"/>
      <c r="O38" s="366"/>
      <c r="P38" s="366"/>
    </row>
    <row r="39" spans="1:16" ht="14.1" customHeight="1">
      <c r="B39" s="21"/>
      <c r="C39" s="739" t="s">
        <v>233</v>
      </c>
      <c r="D39" s="89">
        <f>ROUND(D38*1%,2)</f>
        <v>0.04</v>
      </c>
      <c r="E39" s="89">
        <f t="shared" ref="E39" si="3">ROUND(E38*1%,2)</f>
        <v>3.62</v>
      </c>
      <c r="F39" s="89">
        <f>ROUND(F38*1%,2)</f>
        <v>1.1399999999999999</v>
      </c>
      <c r="G39" s="89">
        <f>ROUND(G38*1%,2)</f>
        <v>1.55</v>
      </c>
      <c r="H39" s="1"/>
      <c r="I39" s="363"/>
      <c r="J39" s="363"/>
      <c r="K39" s="363"/>
      <c r="L39" s="363"/>
      <c r="M39" s="366"/>
      <c r="N39" s="366"/>
      <c r="O39" s="366"/>
      <c r="P39" s="366"/>
    </row>
    <row r="40" spans="1:16" ht="14.1" customHeight="1">
      <c r="B40" s="21"/>
      <c r="C40" s="738" t="s">
        <v>234</v>
      </c>
      <c r="D40" s="89">
        <f>ROUND(3%*D37,2)</f>
        <v>199.85</v>
      </c>
      <c r="E40" s="89">
        <f>ROUND(3%*E37,2)</f>
        <v>434.41</v>
      </c>
      <c r="F40" s="89">
        <f>ROUND(3%*F37,2)</f>
        <v>176.25</v>
      </c>
      <c r="G40" s="89">
        <f>ROUND(3%*G37,2)</f>
        <v>542.09</v>
      </c>
      <c r="H40" s="1"/>
      <c r="I40" s="145"/>
      <c r="J40" s="145"/>
      <c r="K40" s="366"/>
      <c r="L40" s="363"/>
      <c r="M40" s="366"/>
      <c r="N40" s="366"/>
      <c r="O40" s="366"/>
      <c r="P40" s="366"/>
    </row>
    <row r="41" spans="1:16" ht="14.1" customHeight="1">
      <c r="B41" s="21"/>
      <c r="C41" s="85" t="s">
        <v>7</v>
      </c>
      <c r="D41" s="87">
        <v>25</v>
      </c>
      <c r="E41" s="87">
        <v>75</v>
      </c>
      <c r="F41" s="87"/>
      <c r="G41" s="87">
        <v>40</v>
      </c>
      <c r="H41" s="12"/>
      <c r="I41" s="145"/>
      <c r="J41" s="145"/>
      <c r="K41" s="366"/>
      <c r="L41" s="363"/>
      <c r="M41" s="366"/>
      <c r="N41" s="366"/>
      <c r="O41" s="366"/>
      <c r="P41" s="366"/>
    </row>
    <row r="42" spans="1:16" ht="14.1" customHeight="1">
      <c r="B42" s="21"/>
      <c r="C42" s="85" t="s">
        <v>14</v>
      </c>
      <c r="D42" s="87">
        <f>20*8</f>
        <v>160</v>
      </c>
      <c r="E42" s="87">
        <f>ROUND(20*E35,2)</f>
        <v>360</v>
      </c>
      <c r="F42" s="87">
        <f>ROUND(25*F35,2)</f>
        <v>175</v>
      </c>
      <c r="G42" s="88">
        <f>ROUND(25*22,2)+ROUND(20*4,2)</f>
        <v>630</v>
      </c>
      <c r="H42" s="8"/>
      <c r="I42" s="283"/>
      <c r="J42" s="145"/>
      <c r="K42" s="145"/>
      <c r="L42" s="363"/>
      <c r="M42" s="366"/>
      <c r="N42" s="366"/>
      <c r="O42" s="366"/>
      <c r="P42" s="366"/>
    </row>
    <row r="43" spans="1:16" ht="14.1" customHeight="1">
      <c r="B43" s="21"/>
      <c r="C43" s="85" t="s">
        <v>449</v>
      </c>
      <c r="D43" s="87">
        <v>25</v>
      </c>
      <c r="E43" s="87">
        <v>50</v>
      </c>
      <c r="F43" s="87"/>
      <c r="G43" s="88">
        <v>50</v>
      </c>
      <c r="H43" s="8"/>
      <c r="I43" s="283"/>
      <c r="J43" s="145"/>
      <c r="K43" s="145"/>
      <c r="L43" s="363"/>
      <c r="M43" s="366"/>
      <c r="N43" s="366"/>
      <c r="O43" s="366"/>
      <c r="P43" s="366"/>
    </row>
    <row r="44" spans="1:16" ht="14.1" customHeight="1">
      <c r="B44" s="21"/>
      <c r="C44" s="85" t="s">
        <v>450</v>
      </c>
      <c r="D44" s="72"/>
      <c r="E44" s="87">
        <v>30</v>
      </c>
      <c r="F44" s="87"/>
      <c r="G44" s="88">
        <v>30</v>
      </c>
      <c r="H44" s="8"/>
      <c r="I44" s="283"/>
      <c r="J44" s="145"/>
      <c r="K44" s="145"/>
      <c r="L44" s="363"/>
      <c r="M44" s="366"/>
      <c r="N44" s="366"/>
      <c r="O44" s="366"/>
      <c r="P44" s="366"/>
    </row>
    <row r="45" spans="1:16" ht="14.1" customHeight="1">
      <c r="B45" s="21"/>
      <c r="C45" s="1015" t="s">
        <v>48</v>
      </c>
      <c r="D45" s="72"/>
      <c r="E45" s="87"/>
      <c r="F45" s="87"/>
      <c r="G45" s="88">
        <v>205</v>
      </c>
      <c r="H45" s="8"/>
      <c r="I45" s="283"/>
      <c r="J45" s="145"/>
      <c r="K45" s="145"/>
      <c r="L45" s="363"/>
      <c r="M45" s="366"/>
      <c r="N45" s="366"/>
      <c r="O45" s="366"/>
      <c r="P45" s="366"/>
    </row>
    <row r="46" spans="1:16" ht="14.1" customHeight="1">
      <c r="B46" s="1014"/>
      <c r="C46" s="1015" t="s">
        <v>94</v>
      </c>
      <c r="E46" s="241">
        <v>180.88</v>
      </c>
      <c r="F46" s="87"/>
      <c r="G46" s="87">
        <v>44.05</v>
      </c>
      <c r="I46" s="145"/>
      <c r="J46" s="145"/>
      <c r="K46" s="366"/>
      <c r="L46" s="363"/>
      <c r="M46" s="366"/>
      <c r="N46" s="366"/>
      <c r="O46" s="366"/>
      <c r="P46" s="366"/>
    </row>
    <row r="47" spans="1:16" ht="14.1" customHeight="1">
      <c r="B47" s="21"/>
      <c r="C47" s="1015" t="s">
        <v>453</v>
      </c>
      <c r="D47" s="18"/>
      <c r="E47" s="241">
        <v>17.5</v>
      </c>
      <c r="F47" s="87"/>
      <c r="G47" s="87">
        <v>50</v>
      </c>
      <c r="H47" s="12"/>
      <c r="I47" s="283"/>
      <c r="J47" s="145"/>
      <c r="K47" s="366"/>
      <c r="L47" s="366"/>
      <c r="M47" s="366"/>
      <c r="N47" s="366"/>
      <c r="O47" s="366"/>
      <c r="P47" s="366"/>
    </row>
    <row r="48" spans="1:16" ht="14.1" customHeight="1">
      <c r="B48" s="31"/>
      <c r="C48" s="245" t="s">
        <v>77</v>
      </c>
      <c r="D48" s="456">
        <f>D39+D40+D41+D42+D43</f>
        <v>409.89</v>
      </c>
      <c r="E48" s="456">
        <f>E39+E40+E41+E42+E43+E44-E46-E47</f>
        <v>754.65</v>
      </c>
      <c r="F48" s="456" t="e">
        <f>F39+F40+F42-F46-F47-#REF!</f>
        <v>#REF!</v>
      </c>
      <c r="G48" s="456">
        <f>G49-G47-G46-G45</f>
        <v>994.58999999999992</v>
      </c>
      <c r="H48" s="8"/>
      <c r="I48" s="145"/>
      <c r="J48" s="145"/>
      <c r="K48" s="366"/>
      <c r="L48" s="366"/>
      <c r="M48" s="366"/>
      <c r="N48" s="366"/>
      <c r="O48" s="366"/>
      <c r="P48" s="366"/>
    </row>
    <row r="49" spans="1:22" ht="14.1" customHeight="1">
      <c r="B49" s="21"/>
      <c r="C49" s="286" t="s">
        <v>45</v>
      </c>
      <c r="D49" s="287"/>
      <c r="E49" s="287">
        <f>E39+E40+E42+E41+E43+E44</f>
        <v>953.03</v>
      </c>
      <c r="F49" s="287">
        <f>F39+F40+F42</f>
        <v>352.39</v>
      </c>
      <c r="G49" s="287">
        <f>G39+G40+G41+G42+G43+G44</f>
        <v>1293.6399999999999</v>
      </c>
      <c r="H49" s="8"/>
      <c r="I49" s="462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ht="14.1" customHeight="1">
      <c r="B50" s="21"/>
      <c r="C50" s="169"/>
      <c r="D50" s="364"/>
      <c r="E50" s="462"/>
      <c r="F50" s="8"/>
      <c r="G50" s="8"/>
      <c r="H50" s="8"/>
      <c r="I50" s="283"/>
      <c r="J50" s="145"/>
      <c r="K50" s="366"/>
      <c r="L50" s="366"/>
      <c r="M50" s="366"/>
      <c r="N50" s="366"/>
      <c r="O50" s="366"/>
      <c r="P50" s="366"/>
      <c r="Q50" s="1"/>
      <c r="R50" s="1"/>
      <c r="S50" s="1"/>
      <c r="T50" s="1"/>
      <c r="U50" s="1"/>
      <c r="V50" s="1"/>
    </row>
    <row r="51" spans="1:22" s="86" customFormat="1" ht="14.1" customHeight="1">
      <c r="A51" s="168"/>
      <c r="B51" s="475"/>
      <c r="C51" s="363"/>
      <c r="D51" s="363"/>
      <c r="E51" s="363"/>
      <c r="F51" s="363"/>
      <c r="G51" s="363" t="s">
        <v>454</v>
      </c>
      <c r="H51" s="8"/>
      <c r="I51" s="68"/>
      <c r="J51" s="145"/>
      <c r="K51" s="366"/>
      <c r="L51" s="366"/>
      <c r="M51" s="145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.95" customHeight="1">
      <c r="A52" s="168"/>
      <c r="B52" s="475"/>
      <c r="C52" s="1284" t="s">
        <v>451</v>
      </c>
      <c r="D52" s="1284"/>
      <c r="E52" s="145"/>
      <c r="F52" s="168"/>
      <c r="G52" s="168"/>
      <c r="H52" s="168"/>
      <c r="I52" s="72"/>
      <c r="J52" s="366"/>
      <c r="K52" s="366"/>
      <c r="L52" s="366"/>
      <c r="M52" s="145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ht="12.95" customHeight="1">
      <c r="B53" s="32"/>
      <c r="C53" s="1284"/>
      <c r="D53" s="1284"/>
      <c r="E53" s="12"/>
      <c r="G53" s="8"/>
      <c r="H53" s="207"/>
      <c r="I53" s="68"/>
      <c r="J53" s="366"/>
      <c r="K53" s="366"/>
      <c r="L53" s="366"/>
      <c r="M53" s="366"/>
      <c r="N53" s="366"/>
      <c r="O53" s="366"/>
      <c r="P53" s="366"/>
      <c r="Q53" s="1"/>
      <c r="R53" s="1"/>
      <c r="S53" s="1"/>
      <c r="T53" s="1"/>
      <c r="U53" s="1"/>
      <c r="V53" s="1"/>
    </row>
    <row r="54" spans="1:22" s="86" customFormat="1" ht="12.95" customHeight="1">
      <c r="B54" s="517"/>
      <c r="C54" s="1284"/>
      <c r="D54" s="1284"/>
      <c r="E54" s="518"/>
      <c r="F54" s="550"/>
      <c r="G54" s="518"/>
      <c r="H54" s="519"/>
      <c r="I54" s="1065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2.95" customHeight="1">
      <c r="C55" s="518"/>
      <c r="D55" s="518"/>
      <c r="E55" s="550"/>
      <c r="F55" s="550"/>
      <c r="G55" s="518"/>
      <c r="H55" s="168"/>
      <c r="I55" s="551"/>
      <c r="J55" s="518"/>
      <c r="K55" s="518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2" customHeight="1">
      <c r="A56" s="366"/>
      <c r="B56" s="366"/>
      <c r="C56" s="518"/>
      <c r="D56" s="518"/>
      <c r="E56" s="550"/>
      <c r="F56" s="550"/>
      <c r="G56" s="518"/>
      <c r="H56" s="519"/>
      <c r="I56" s="518"/>
      <c r="J56" s="518"/>
      <c r="K56" s="518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8.75">
      <c r="A57" s="366"/>
      <c r="B57" s="366"/>
      <c r="C57" s="366"/>
      <c r="D57" s="366"/>
      <c r="E57" s="144"/>
      <c r="F57" s="168"/>
      <c r="H57" s="519"/>
      <c r="I57" s="518"/>
      <c r="J57" s="518"/>
      <c r="K57" s="518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I58" s="143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 ht="15" customHeight="1">
      <c r="A59" s="366"/>
      <c r="B59" s="366"/>
      <c r="C59" s="366"/>
      <c r="D59" s="366"/>
      <c r="E59" s="144"/>
      <c r="H59" s="550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 ht="15" customHeight="1">
      <c r="A60" s="366"/>
      <c r="B60" s="366"/>
      <c r="C60" s="366"/>
      <c r="D60" s="366"/>
      <c r="E60" s="144"/>
      <c r="H60" s="550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 ht="15" customHeight="1">
      <c r="A61" s="366"/>
      <c r="B61" s="366"/>
      <c r="C61" s="366"/>
      <c r="D61" s="366"/>
      <c r="E61" s="144"/>
      <c r="H61" s="550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H62" s="168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 s="86" customFormat="1">
      <c r="A63" s="366"/>
      <c r="B63" s="366"/>
      <c r="C63" s="366"/>
      <c r="D63" s="366"/>
      <c r="E63" s="144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</row>
    <row r="64" spans="1:22" s="86" customFormat="1">
      <c r="A64" s="366"/>
      <c r="B64" s="366"/>
      <c r="C64" s="366"/>
      <c r="D64" s="366"/>
      <c r="E64" s="144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  <c r="U64" s="366"/>
      <c r="V64" s="366"/>
    </row>
    <row r="65" spans="1:22" s="86" customFormat="1">
      <c r="A65" s="366"/>
      <c r="B65" s="366"/>
      <c r="C65" s="366"/>
      <c r="D65" s="366"/>
      <c r="E65" s="144"/>
      <c r="J65" s="366"/>
      <c r="K65" s="366"/>
      <c r="L65" s="366"/>
      <c r="M65" s="366"/>
      <c r="N65" s="366"/>
      <c r="O65" s="366"/>
      <c r="P65" s="366"/>
      <c r="Q65" s="366"/>
      <c r="R65" s="366"/>
      <c r="S65" s="366"/>
      <c r="T65" s="366"/>
      <c r="U65" s="366"/>
      <c r="V65" s="366"/>
    </row>
    <row r="66" spans="1:22" s="86" customFormat="1">
      <c r="A66" s="366"/>
      <c r="B66" s="366"/>
      <c r="C66" s="366"/>
      <c r="D66" s="366"/>
      <c r="E66" s="144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  <c r="U66" s="366"/>
      <c r="V66" s="366"/>
    </row>
    <row r="67" spans="1:22">
      <c r="A67" s="1"/>
      <c r="B67" s="1"/>
      <c r="C67" s="1"/>
      <c r="D67" s="1"/>
      <c r="E67" s="1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11"/>
    </row>
    <row r="90" spans="1:5">
      <c r="A90" s="1"/>
      <c r="B90" s="1"/>
      <c r="C90" s="1"/>
      <c r="D90" s="1"/>
      <c r="E90" s="11"/>
    </row>
    <row r="91" spans="1:5">
      <c r="A91" s="1"/>
      <c r="B91" s="1"/>
      <c r="C91" s="1"/>
      <c r="D91" s="1"/>
      <c r="E91" s="11"/>
    </row>
    <row r="92" spans="1:5">
      <c r="A92" s="1"/>
      <c r="B92" s="1"/>
      <c r="C92" s="1"/>
      <c r="D92" s="1"/>
      <c r="E92" s="11"/>
    </row>
    <row r="93" spans="1:5">
      <c r="A93" s="1"/>
      <c r="B93" s="1"/>
      <c r="C93" s="1"/>
      <c r="D93" s="1"/>
      <c r="E93" s="2"/>
    </row>
    <row r="94" spans="1:5">
      <c r="A94" s="1"/>
      <c r="B94" s="1"/>
      <c r="C94" s="1"/>
      <c r="D94" s="1"/>
      <c r="E94" s="2"/>
    </row>
    <row r="95" spans="1:5">
      <c r="A95" s="1"/>
      <c r="B95" s="1"/>
      <c r="E95" s="2"/>
    </row>
    <row r="96" spans="1:5">
      <c r="A96" s="1"/>
      <c r="B96" s="1"/>
      <c r="E96" s="2"/>
    </row>
    <row r="97" spans="1:5">
      <c r="A97" s="1"/>
      <c r="B97" s="1"/>
      <c r="E97" s="2"/>
    </row>
    <row r="98" spans="1:5">
      <c r="B98" s="1"/>
      <c r="E98" s="2"/>
    </row>
    <row r="99" spans="1:5">
      <c r="B99" s="1"/>
      <c r="E99" s="2"/>
    </row>
    <row r="100" spans="1:5">
      <c r="E100" s="2"/>
    </row>
    <row r="101" spans="1:5">
      <c r="E101" s="2"/>
    </row>
    <row r="102" spans="1:5">
      <c r="E102" s="2"/>
    </row>
    <row r="103" spans="1:5">
      <c r="E103" s="2"/>
    </row>
    <row r="104" spans="1:5">
      <c r="E104" s="2"/>
    </row>
    <row r="105" spans="1:5">
      <c r="E105" s="2"/>
    </row>
    <row r="106" spans="1:5">
      <c r="E106" s="2"/>
    </row>
    <row r="107" spans="1:5">
      <c r="E107" s="2"/>
    </row>
    <row r="108" spans="1:5">
      <c r="E108" s="2"/>
    </row>
    <row r="109" spans="1:5">
      <c r="E109" s="2"/>
    </row>
    <row r="110" spans="1:5">
      <c r="E110" s="2"/>
    </row>
    <row r="111" spans="1:5">
      <c r="E111" s="2"/>
    </row>
    <row r="112" spans="1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</sheetData>
  <mergeCells count="1">
    <mergeCell ref="C52:D54"/>
  </mergeCells>
  <conditionalFormatting sqref="B4:G13 B16:G31 B14:D15 F14:G15 B34:G34 B32:F33 C2:C3">
    <cfRule type="expression" dxfId="7" priority="5">
      <formula>$B2=7</formula>
    </cfRule>
    <cfRule type="expression" dxfId="6" priority="6">
      <formula>$B2=6</formula>
    </cfRule>
  </conditionalFormatting>
  <conditionalFormatting sqref="E14 G32">
    <cfRule type="expression" dxfId="5" priority="7">
      <formula>$B15=7</formula>
    </cfRule>
    <cfRule type="expression" dxfId="4" priority="8">
      <formula>$B15=6</formula>
    </cfRule>
  </conditionalFormatting>
  <conditionalFormatting sqref="E15">
    <cfRule type="expression" dxfId="3" priority="3">
      <formula>$B15=7</formula>
    </cfRule>
    <cfRule type="expression" dxfId="2" priority="4">
      <formula>$B15=6</formula>
    </cfRule>
  </conditionalFormatting>
  <conditionalFormatting sqref="B2:B3 D2:G3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16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211" t="s">
        <v>262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</row>
    <row r="2" spans="1:20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</row>
    <row r="3" spans="1:20" ht="15.75" thickTop="1">
      <c r="A3" s="1220" t="s">
        <v>28</v>
      </c>
      <c r="B3" s="1166"/>
      <c r="C3" s="1166"/>
      <c r="D3" s="1166"/>
      <c r="E3" s="1166"/>
      <c r="F3" s="1166"/>
      <c r="G3" s="1167"/>
      <c r="H3" s="1226" t="s">
        <v>246</v>
      </c>
      <c r="I3" s="1227"/>
      <c r="J3" s="1227"/>
      <c r="K3" s="1227"/>
      <c r="L3" s="1227"/>
      <c r="M3" s="1228"/>
      <c r="N3" s="496"/>
      <c r="O3" s="1193" t="s">
        <v>60</v>
      </c>
      <c r="P3" s="1193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207"/>
      <c r="I4" s="1208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209" t="s">
        <v>39</v>
      </c>
      <c r="I5" s="1184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223" t="s">
        <v>40</v>
      </c>
      <c r="I6" s="1224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225"/>
      <c r="Q16" s="1225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221" t="s">
        <v>259</v>
      </c>
      <c r="B21" s="1222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168" t="s">
        <v>16</v>
      </c>
      <c r="I22" s="1170" t="s">
        <v>17</v>
      </c>
      <c r="J22" s="1170" t="s">
        <v>21</v>
      </c>
      <c r="K22" s="1170"/>
      <c r="L22" s="1172" t="s">
        <v>93</v>
      </c>
      <c r="M22" s="1174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169"/>
      <c r="I23" s="1171"/>
      <c r="J23" s="492" t="s">
        <v>21</v>
      </c>
      <c r="K23" s="492" t="s">
        <v>25</v>
      </c>
      <c r="L23" s="1173"/>
      <c r="M23" s="1175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152" t="s">
        <v>36</v>
      </c>
      <c r="I33" s="1154" t="s">
        <v>178</v>
      </c>
      <c r="J33" s="1155"/>
      <c r="K33" s="1156"/>
      <c r="L33" s="1160" t="s">
        <v>159</v>
      </c>
      <c r="M33" s="1161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153"/>
      <c r="I34" s="1157"/>
      <c r="J34" s="1158"/>
      <c r="K34" s="1159"/>
      <c r="L34" s="1162"/>
      <c r="M34" s="1163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231" t="s">
        <v>47</v>
      </c>
      <c r="J35" s="1231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229" t="s">
        <v>51</v>
      </c>
      <c r="J36" s="1229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229" t="s">
        <v>52</v>
      </c>
      <c r="J37" s="1229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229" t="s">
        <v>49</v>
      </c>
      <c r="J38" s="1229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230" t="s">
        <v>59</v>
      </c>
      <c r="J39" s="1230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218" t="s">
        <v>68</v>
      </c>
      <c r="J40" s="1219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218" t="s">
        <v>81</v>
      </c>
      <c r="J43" s="1219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218" t="s">
        <v>181</v>
      </c>
      <c r="J44" s="1219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1146" t="s">
        <v>61</v>
      </c>
      <c r="J45" s="1146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1147" t="s">
        <v>180</v>
      </c>
      <c r="L46" s="1147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210"/>
      <c r="I47" s="1210"/>
      <c r="J47" s="1210"/>
      <c r="K47" s="1210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211" t="s">
        <v>261</v>
      </c>
      <c r="B48" s="1211"/>
      <c r="C48" s="1211"/>
      <c r="D48" s="1211"/>
      <c r="E48" s="1211"/>
      <c r="F48" s="1211"/>
      <c r="G48" s="1211"/>
      <c r="H48" s="1211"/>
      <c r="I48" s="1211"/>
      <c r="J48" s="1211"/>
      <c r="K48" s="1211"/>
      <c r="L48" s="1211"/>
      <c r="M48" s="1211"/>
      <c r="N48" s="1"/>
      <c r="P48" s="1"/>
      <c r="Q48" s="366"/>
      <c r="R48" s="366"/>
      <c r="S48" s="366"/>
      <c r="T48" s="366"/>
    </row>
    <row r="49" spans="1:20" ht="15.75" customHeight="1" thickBot="1">
      <c r="A49" s="1212"/>
      <c r="B49" s="1212"/>
      <c r="C49" s="1212"/>
      <c r="D49" s="1212"/>
      <c r="E49" s="1212"/>
      <c r="F49" s="1212"/>
      <c r="G49" s="1212"/>
      <c r="H49" s="1212"/>
      <c r="I49" s="1212"/>
      <c r="J49" s="1212"/>
      <c r="K49" s="1212"/>
      <c r="L49" s="1212"/>
      <c r="M49" s="1212"/>
      <c r="N49" s="1"/>
      <c r="P49" s="1"/>
      <c r="Q49" s="366"/>
      <c r="R49" s="365"/>
      <c r="S49" s="498"/>
      <c r="T49" s="366"/>
    </row>
    <row r="50" spans="1:20" ht="15.75" thickTop="1">
      <c r="A50" s="1220" t="s">
        <v>28</v>
      </c>
      <c r="B50" s="1166"/>
      <c r="C50" s="1166"/>
      <c r="D50" s="1166"/>
      <c r="E50" s="1166"/>
      <c r="F50" s="1166"/>
      <c r="G50" s="1167"/>
      <c r="H50" s="1213" t="s">
        <v>260</v>
      </c>
      <c r="I50" s="1214"/>
      <c r="J50" s="1214"/>
      <c r="K50" s="1214"/>
      <c r="L50" s="1214"/>
      <c r="M50" s="1215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221" t="s">
        <v>259</v>
      </c>
      <c r="B68" s="1222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168" t="s">
        <v>16</v>
      </c>
      <c r="I69" s="1170" t="s">
        <v>17</v>
      </c>
      <c r="J69" s="1170" t="s">
        <v>21</v>
      </c>
      <c r="K69" s="1170"/>
      <c r="L69" s="1172" t="s">
        <v>93</v>
      </c>
      <c r="M69" s="1174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169"/>
      <c r="I70" s="1171"/>
      <c r="J70" s="492" t="s">
        <v>21</v>
      </c>
      <c r="K70" s="492" t="s">
        <v>25</v>
      </c>
      <c r="L70" s="1173"/>
      <c r="M70" s="1175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152" t="s">
        <v>36</v>
      </c>
      <c r="I77" s="1154" t="s">
        <v>178</v>
      </c>
      <c r="J77" s="1155"/>
      <c r="K77" s="1156"/>
      <c r="L77" s="1160" t="s">
        <v>159</v>
      </c>
      <c r="M77" s="1161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153"/>
      <c r="I78" s="1157"/>
      <c r="J78" s="1158"/>
      <c r="K78" s="1159"/>
      <c r="L78" s="1162"/>
      <c r="M78" s="1163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164" t="s">
        <v>47</v>
      </c>
      <c r="J79" s="1164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1149" t="s">
        <v>51</v>
      </c>
      <c r="J80" s="1149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1149" t="s">
        <v>52</v>
      </c>
      <c r="J81" s="1149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1149" t="s">
        <v>49</v>
      </c>
      <c r="J82" s="1149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217" t="s">
        <v>59</v>
      </c>
      <c r="J83" s="1217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218" t="s">
        <v>68</v>
      </c>
      <c r="J84" s="1219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1150" t="s">
        <v>174</v>
      </c>
      <c r="J85" s="1151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1150" t="s">
        <v>81</v>
      </c>
      <c r="J87" s="1151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1150" t="s">
        <v>53</v>
      </c>
      <c r="J88" s="1151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216" t="s">
        <v>61</v>
      </c>
      <c r="J89" s="1216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1147" t="s">
        <v>180</v>
      </c>
      <c r="L90" s="1147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39" priority="1">
      <formula>$B2=7</formula>
    </cfRule>
    <cfRule type="expression" dxfId="3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8" sqref="B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211" t="s">
        <v>265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</row>
    <row r="2" spans="1:33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</row>
    <row r="3" spans="1:33" ht="15.75" thickTop="1">
      <c r="A3" s="1220" t="s">
        <v>28</v>
      </c>
      <c r="B3" s="1166"/>
      <c r="C3" s="1166"/>
      <c r="D3" s="1166"/>
      <c r="E3" s="1166"/>
      <c r="F3" s="1166"/>
      <c r="G3" s="1167"/>
      <c r="H3" s="1226" t="s">
        <v>267</v>
      </c>
      <c r="I3" s="1227"/>
      <c r="J3" s="1227"/>
      <c r="K3" s="1227"/>
      <c r="L3" s="1227"/>
      <c r="M3" s="1228"/>
      <c r="N3" s="542"/>
      <c r="O3" s="1193" t="s">
        <v>60</v>
      </c>
      <c r="P3" s="1193"/>
      <c r="U3" s="1232" t="s">
        <v>168</v>
      </c>
      <c r="V3" s="1232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207"/>
      <c r="I4" s="1208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209" t="s">
        <v>39</v>
      </c>
      <c r="I5" s="1184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223" t="s">
        <v>40</v>
      </c>
      <c r="I6" s="1224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233">
        <f>AG7/2</f>
        <v>289.5</v>
      </c>
      <c r="AG7" s="1233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234"/>
      <c r="AG8" s="1234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221" t="s">
        <v>259</v>
      </c>
      <c r="B21" s="1222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168" t="s">
        <v>16</v>
      </c>
      <c r="I22" s="1170" t="s">
        <v>17</v>
      </c>
      <c r="J22" s="1170" t="s">
        <v>21</v>
      </c>
      <c r="K22" s="1170"/>
      <c r="L22" s="1172" t="s">
        <v>93</v>
      </c>
      <c r="M22" s="1174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169"/>
      <c r="I23" s="1171"/>
      <c r="J23" s="587" t="s">
        <v>21</v>
      </c>
      <c r="K23" s="587" t="s">
        <v>25</v>
      </c>
      <c r="L23" s="1173"/>
      <c r="M23" s="1175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152" t="s">
        <v>36</v>
      </c>
      <c r="I34" s="1154" t="s">
        <v>178</v>
      </c>
      <c r="J34" s="1155"/>
      <c r="K34" s="1156"/>
      <c r="L34" s="1160" t="s">
        <v>159</v>
      </c>
      <c r="M34" s="1161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153"/>
      <c r="I35" s="1157"/>
      <c r="J35" s="1158"/>
      <c r="K35" s="1159"/>
      <c r="L35" s="1162"/>
      <c r="M35" s="1163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231" t="s">
        <v>47</v>
      </c>
      <c r="J36" s="1231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229" t="s">
        <v>51</v>
      </c>
      <c r="J37" s="1229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229" t="s">
        <v>52</v>
      </c>
      <c r="J38" s="1229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229" t="s">
        <v>49</v>
      </c>
      <c r="J39" s="1229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230" t="s">
        <v>59</v>
      </c>
      <c r="J40" s="1230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218" t="s">
        <v>68</v>
      </c>
      <c r="J41" s="1219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218" t="s">
        <v>81</v>
      </c>
      <c r="J44" s="1219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218" t="s">
        <v>181</v>
      </c>
      <c r="J45" s="1219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1146" t="s">
        <v>61</v>
      </c>
      <c r="J46" s="1146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1146" t="s">
        <v>298</v>
      </c>
      <c r="J47" s="1146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1146" t="s">
        <v>299</v>
      </c>
      <c r="J48" s="1146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1146" t="s">
        <v>300</v>
      </c>
      <c r="J49" s="1146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1147" t="s">
        <v>180</v>
      </c>
      <c r="L50" s="1147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210"/>
      <c r="I51" s="1210"/>
      <c r="J51" s="1210"/>
      <c r="K51" s="1210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211" t="s">
        <v>266</v>
      </c>
      <c r="B52" s="1211"/>
      <c r="C52" s="1211"/>
      <c r="D52" s="1211"/>
      <c r="E52" s="1211"/>
      <c r="F52" s="1211"/>
      <c r="G52" s="1211"/>
      <c r="H52" s="1211"/>
      <c r="I52" s="1211"/>
      <c r="J52" s="1211"/>
      <c r="K52" s="1211"/>
      <c r="L52" s="1211"/>
      <c r="M52" s="1211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212"/>
      <c r="B53" s="1212"/>
      <c r="C53" s="1212"/>
      <c r="D53" s="1212"/>
      <c r="E53" s="1212"/>
      <c r="F53" s="1212"/>
      <c r="G53" s="1212"/>
      <c r="H53" s="1212"/>
      <c r="I53" s="1212"/>
      <c r="J53" s="1212"/>
      <c r="K53" s="1212"/>
      <c r="L53" s="1212"/>
      <c r="M53" s="1212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220" t="s">
        <v>28</v>
      </c>
      <c r="B54" s="1166"/>
      <c r="C54" s="1166"/>
      <c r="D54" s="1166"/>
      <c r="E54" s="1166"/>
      <c r="F54" s="1166"/>
      <c r="G54" s="1167"/>
      <c r="H54" s="1213" t="s">
        <v>268</v>
      </c>
      <c r="I54" s="1214"/>
      <c r="J54" s="1214"/>
      <c r="K54" s="1214"/>
      <c r="L54" s="1214"/>
      <c r="M54" s="1215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221" t="s">
        <v>259</v>
      </c>
      <c r="B72" s="1222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168" t="s">
        <v>16</v>
      </c>
      <c r="I73" s="1170" t="s">
        <v>17</v>
      </c>
      <c r="J73" s="1170" t="s">
        <v>21</v>
      </c>
      <c r="K73" s="1170"/>
      <c r="L73" s="1172" t="s">
        <v>93</v>
      </c>
      <c r="M73" s="1174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169"/>
      <c r="I74" s="1171"/>
      <c r="J74" s="537" t="s">
        <v>21</v>
      </c>
      <c r="K74" s="537" t="s">
        <v>25</v>
      </c>
      <c r="L74" s="1173"/>
      <c r="M74" s="1175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152" t="s">
        <v>36</v>
      </c>
      <c r="I81" s="1154" t="s">
        <v>178</v>
      </c>
      <c r="J81" s="1155"/>
      <c r="K81" s="1156"/>
      <c r="L81" s="1160" t="s">
        <v>159</v>
      </c>
      <c r="M81" s="1161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153"/>
      <c r="I82" s="1157"/>
      <c r="J82" s="1158"/>
      <c r="K82" s="1159"/>
      <c r="L82" s="1162"/>
      <c r="M82" s="1163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164" t="s">
        <v>47</v>
      </c>
      <c r="J83" s="1164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1149" t="s">
        <v>51</v>
      </c>
      <c r="J84" s="1149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1149" t="s">
        <v>52</v>
      </c>
      <c r="J85" s="1149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1149" t="s">
        <v>49</v>
      </c>
      <c r="J86" s="1149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217" t="s">
        <v>59</v>
      </c>
      <c r="J87" s="1217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218" t="s">
        <v>68</v>
      </c>
      <c r="J88" s="1219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1150" t="s">
        <v>174</v>
      </c>
      <c r="J89" s="1151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1150" t="s">
        <v>81</v>
      </c>
      <c r="J91" s="1151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1150" t="s">
        <v>53</v>
      </c>
      <c r="J92" s="1151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216" t="s">
        <v>61</v>
      </c>
      <c r="J93" s="1216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1146" t="s">
        <v>300</v>
      </c>
      <c r="J94" s="1146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1147" t="s">
        <v>180</v>
      </c>
      <c r="L95" s="1147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37" priority="1">
      <formula>$B2=7</formula>
    </cfRule>
    <cfRule type="expression" dxfId="3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311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670" t="s">
        <v>329</v>
      </c>
      <c r="O2" s="1235" t="s">
        <v>287</v>
      </c>
      <c r="P2" s="1235"/>
      <c r="Q2" s="1235"/>
      <c r="R2" s="366"/>
      <c r="S2" s="1235" t="s">
        <v>288</v>
      </c>
      <c r="T2" s="1235"/>
      <c r="U2" s="1235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28</v>
      </c>
      <c r="B3" s="1166"/>
      <c r="C3" s="1166"/>
      <c r="D3" s="1166"/>
      <c r="E3" s="1166"/>
      <c r="F3" s="1166"/>
      <c r="G3" s="1167"/>
      <c r="H3" s="1226" t="s">
        <v>323</v>
      </c>
      <c r="I3" s="1227"/>
      <c r="J3" s="1227"/>
      <c r="K3" s="1227"/>
      <c r="L3" s="1227"/>
      <c r="M3" s="1228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207"/>
      <c r="I4" s="1208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209" t="s">
        <v>39</v>
      </c>
      <c r="I5" s="1184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223" t="s">
        <v>40</v>
      </c>
      <c r="I6" s="1224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191"/>
      <c r="AG8" s="1191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221" t="s">
        <v>259</v>
      </c>
      <c r="B21" s="1222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168" t="s">
        <v>16</v>
      </c>
      <c r="I22" s="1170" t="s">
        <v>17</v>
      </c>
      <c r="J22" s="1170" t="s">
        <v>21</v>
      </c>
      <c r="K22" s="1170"/>
      <c r="L22" s="1172" t="s">
        <v>93</v>
      </c>
      <c r="M22" s="1174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169"/>
      <c r="I23" s="1171"/>
      <c r="J23" s="587" t="s">
        <v>21</v>
      </c>
      <c r="K23" s="587" t="s">
        <v>25</v>
      </c>
      <c r="L23" s="1173"/>
      <c r="M23" s="1175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52" t="s">
        <v>36</v>
      </c>
      <c r="I35" s="1154" t="s">
        <v>178</v>
      </c>
      <c r="J35" s="1155"/>
      <c r="K35" s="1156"/>
      <c r="L35" s="1160" t="s">
        <v>159</v>
      </c>
      <c r="M35" s="1161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53"/>
      <c r="I36" s="1157"/>
      <c r="J36" s="1158"/>
      <c r="K36" s="1159"/>
      <c r="L36" s="1162"/>
      <c r="M36" s="1163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231" t="s">
        <v>47</v>
      </c>
      <c r="J37" s="1231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229" t="s">
        <v>51</v>
      </c>
      <c r="J38" s="1229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229" t="s">
        <v>52</v>
      </c>
      <c r="J39" s="1229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229" t="s">
        <v>49</v>
      </c>
      <c r="J40" s="1229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230" t="s">
        <v>59</v>
      </c>
      <c r="J41" s="1230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218" t="s">
        <v>68</v>
      </c>
      <c r="J42" s="1219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218" t="s">
        <v>81</v>
      </c>
      <c r="J45" s="1219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218" t="s">
        <v>181</v>
      </c>
      <c r="J46" s="1219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46" t="s">
        <v>61</v>
      </c>
      <c r="J47" s="1146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46" t="s">
        <v>298</v>
      </c>
      <c r="J48" s="1146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46" t="s">
        <v>299</v>
      </c>
      <c r="J49" s="1146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46" t="s">
        <v>300</v>
      </c>
      <c r="J50" s="1146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46" t="s">
        <v>325</v>
      </c>
      <c r="J51" s="1146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236" t="s">
        <v>179</v>
      </c>
      <c r="I52" s="1237"/>
      <c r="J52" s="361">
        <f>SUM(K37:K51)</f>
        <v>3526.64</v>
      </c>
      <c r="K52" s="1147" t="s">
        <v>180</v>
      </c>
      <c r="L52" s="1147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210"/>
      <c r="I53" s="1210"/>
      <c r="J53" s="1210"/>
      <c r="K53" s="121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211" t="s">
        <v>312</v>
      </c>
      <c r="B54" s="1211"/>
      <c r="C54" s="1211"/>
      <c r="D54" s="1211"/>
      <c r="E54" s="1211"/>
      <c r="F54" s="1211"/>
      <c r="G54" s="1211"/>
      <c r="H54" s="1211"/>
      <c r="I54" s="1211"/>
      <c r="J54" s="1211"/>
      <c r="K54" s="1211"/>
      <c r="L54" s="1211"/>
      <c r="M54" s="1211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212"/>
      <c r="B55" s="1212"/>
      <c r="C55" s="1212"/>
      <c r="D55" s="1212"/>
      <c r="E55" s="1212"/>
      <c r="F55" s="1212"/>
      <c r="G55" s="1212"/>
      <c r="H55" s="1212"/>
      <c r="I55" s="1212"/>
      <c r="J55" s="1212"/>
      <c r="K55" s="1212"/>
      <c r="L55" s="1212"/>
      <c r="M55" s="1212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220" t="s">
        <v>28</v>
      </c>
      <c r="B56" s="1166"/>
      <c r="C56" s="1166"/>
      <c r="D56" s="1166"/>
      <c r="E56" s="1166"/>
      <c r="F56" s="1166"/>
      <c r="G56" s="1167"/>
      <c r="H56" s="1213" t="s">
        <v>322</v>
      </c>
      <c r="I56" s="1214"/>
      <c r="J56" s="1214"/>
      <c r="K56" s="1214"/>
      <c r="L56" s="1214"/>
      <c r="M56" s="1215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221" t="s">
        <v>259</v>
      </c>
      <c r="B74" s="1222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68" t="s">
        <v>16</v>
      </c>
      <c r="I75" s="1170" t="s">
        <v>17</v>
      </c>
      <c r="J75" s="1170" t="s">
        <v>21</v>
      </c>
      <c r="K75" s="1170"/>
      <c r="L75" s="1172" t="s">
        <v>93</v>
      </c>
      <c r="M75" s="1174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69"/>
      <c r="I76" s="1171"/>
      <c r="J76" s="587" t="s">
        <v>21</v>
      </c>
      <c r="K76" s="587" t="s">
        <v>25</v>
      </c>
      <c r="L76" s="1173"/>
      <c r="M76" s="1175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152" t="s">
        <v>36</v>
      </c>
      <c r="I83" s="1154" t="s">
        <v>178</v>
      </c>
      <c r="J83" s="1155"/>
      <c r="K83" s="1156"/>
      <c r="L83" s="1160" t="s">
        <v>159</v>
      </c>
      <c r="M83" s="1161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153"/>
      <c r="I84" s="1157"/>
      <c r="J84" s="1158"/>
      <c r="K84" s="1159"/>
      <c r="L84" s="1162"/>
      <c r="M84" s="1163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164" t="s">
        <v>47</v>
      </c>
      <c r="J85" s="1164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1149" t="s">
        <v>51</v>
      </c>
      <c r="J86" s="1149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1149" t="s">
        <v>52</v>
      </c>
      <c r="J87" s="1149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1149" t="s">
        <v>49</v>
      </c>
      <c r="J88" s="1149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217" t="s">
        <v>59</v>
      </c>
      <c r="J89" s="1217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218" t="s">
        <v>68</v>
      </c>
      <c r="J90" s="1219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1150" t="s">
        <v>174</v>
      </c>
      <c r="J91" s="1151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50" t="s">
        <v>81</v>
      </c>
      <c r="J93" s="1151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1150" t="s">
        <v>53</v>
      </c>
      <c r="J94" s="1151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216" t="s">
        <v>61</v>
      </c>
      <c r="J95" s="1216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1146" t="s">
        <v>300</v>
      </c>
      <c r="J96" s="1146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46" t="s">
        <v>325</v>
      </c>
      <c r="J97" s="1146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236" t="s">
        <v>179</v>
      </c>
      <c r="I98" s="1237"/>
      <c r="J98" s="361">
        <f>SUM(K85:K96)</f>
        <v>1673.17</v>
      </c>
      <c r="K98" s="1147" t="s">
        <v>180</v>
      </c>
      <c r="L98" s="1147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5" priority="1">
      <formula>$B2=7</formula>
    </cfRule>
    <cfRule type="expression" dxfId="3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46" zoomScale="85" zoomScaleNormal="85" zoomScaleSheetLayoutView="70" zoomScalePageLayoutView="70" workbookViewId="0">
      <selection activeCell="G68" sqref="G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211" t="s">
        <v>359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V1" s="693"/>
      <c r="W1" s="667"/>
      <c r="X1" s="694"/>
    </row>
    <row r="2" spans="1:35" ht="15.75" thickBot="1">
      <c r="A2" s="1212"/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695"/>
      <c r="O2" s="1235" t="s">
        <v>287</v>
      </c>
      <c r="P2" s="1235"/>
      <c r="Q2" s="1235"/>
      <c r="R2" s="366"/>
      <c r="S2" s="1235" t="s">
        <v>288</v>
      </c>
      <c r="T2" s="1235"/>
      <c r="U2" s="1235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220" t="s">
        <v>335</v>
      </c>
      <c r="B3" s="1166"/>
      <c r="C3" s="1166"/>
      <c r="D3" s="1166"/>
      <c r="E3" s="1166"/>
      <c r="F3" s="1166"/>
      <c r="G3" s="1167"/>
      <c r="H3" s="1226" t="s">
        <v>339</v>
      </c>
      <c r="I3" s="1227"/>
      <c r="J3" s="1227"/>
      <c r="K3" s="1227"/>
      <c r="L3" s="1227"/>
      <c r="M3" s="1228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207"/>
      <c r="I4" s="1208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223" t="s">
        <v>40</v>
      </c>
      <c r="I5" s="1224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91"/>
      <c r="AG6" s="1191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91"/>
      <c r="AG7" s="1191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221" t="s">
        <v>259</v>
      </c>
      <c r="B20" s="1222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68" t="s">
        <v>16</v>
      </c>
      <c r="I21" s="1170" t="s">
        <v>17</v>
      </c>
      <c r="J21" s="1170" t="s">
        <v>21</v>
      </c>
      <c r="K21" s="1170"/>
      <c r="L21" s="1172" t="s">
        <v>93</v>
      </c>
      <c r="M21" s="1174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69"/>
      <c r="I22" s="1171"/>
      <c r="J22" s="692" t="s">
        <v>21</v>
      </c>
      <c r="K22" s="692" t="s">
        <v>25</v>
      </c>
      <c r="L22" s="1173"/>
      <c r="M22" s="1175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52" t="s">
        <v>36</v>
      </c>
      <c r="I35" s="1154" t="s">
        <v>178</v>
      </c>
      <c r="J35" s="1155"/>
      <c r="K35" s="1156"/>
      <c r="L35" s="1160" t="s">
        <v>159</v>
      </c>
      <c r="M35" s="1161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53"/>
      <c r="I36" s="1157"/>
      <c r="J36" s="1158"/>
      <c r="K36" s="1159"/>
      <c r="L36" s="1162"/>
      <c r="M36" s="1163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231" t="s">
        <v>47</v>
      </c>
      <c r="J37" s="1231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229" t="s">
        <v>51</v>
      </c>
      <c r="J38" s="1229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229" t="s">
        <v>52</v>
      </c>
      <c r="J39" s="1229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229" t="s">
        <v>49</v>
      </c>
      <c r="J40" s="1229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230" t="s">
        <v>59</v>
      </c>
      <c r="J41" s="1230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218" t="s">
        <v>68</v>
      </c>
      <c r="J42" s="1219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218" t="s">
        <v>81</v>
      </c>
      <c r="J45" s="1219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218" t="s">
        <v>181</v>
      </c>
      <c r="J46" s="1219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146" t="s">
        <v>61</v>
      </c>
      <c r="J47" s="1146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46" t="s">
        <v>298</v>
      </c>
      <c r="J48" s="1146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46" t="s">
        <v>299</v>
      </c>
      <c r="J49" s="1146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46" t="s">
        <v>300</v>
      </c>
      <c r="J50" s="1146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46" t="s">
        <v>325</v>
      </c>
      <c r="J51" s="1146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236" t="s">
        <v>179</v>
      </c>
      <c r="I52" s="1237"/>
      <c r="J52" s="361">
        <f>SUM(K37:K51)</f>
        <v>3063.97</v>
      </c>
      <c r="K52" s="1147" t="s">
        <v>180</v>
      </c>
      <c r="L52" s="1147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210"/>
      <c r="I53" s="1210"/>
      <c r="J53" s="1210"/>
      <c r="K53" s="1210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211" t="s">
        <v>357</v>
      </c>
      <c r="B54" s="1211"/>
      <c r="C54" s="1211"/>
      <c r="D54" s="1211"/>
      <c r="E54" s="1211"/>
      <c r="F54" s="1211"/>
      <c r="G54" s="1211"/>
      <c r="H54" s="1211"/>
      <c r="I54" s="1211"/>
      <c r="J54" s="1211"/>
      <c r="K54" s="1211"/>
      <c r="L54" s="1211"/>
      <c r="M54" s="1211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212"/>
      <c r="B55" s="1212"/>
      <c r="C55" s="1212"/>
      <c r="D55" s="1212"/>
      <c r="E55" s="1212"/>
      <c r="F55" s="1212"/>
      <c r="G55" s="1212"/>
      <c r="H55" s="1212"/>
      <c r="I55" s="1212"/>
      <c r="J55" s="1212"/>
      <c r="K55" s="1212"/>
      <c r="L55" s="1212"/>
      <c r="M55" s="1212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220" t="s">
        <v>346</v>
      </c>
      <c r="B56" s="1166"/>
      <c r="C56" s="1166"/>
      <c r="D56" s="1166"/>
      <c r="E56" s="1166"/>
      <c r="F56" s="1166"/>
      <c r="G56" s="1167"/>
      <c r="H56" s="1250" t="s">
        <v>345</v>
      </c>
      <c r="I56" s="1251"/>
      <c r="J56" s="1251"/>
      <c r="K56" s="1251"/>
      <c r="L56" s="1251"/>
      <c r="M56" s="1252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234" t="s">
        <v>34</v>
      </c>
      <c r="J57" s="1234"/>
      <c r="K57" s="713" t="s">
        <v>35</v>
      </c>
      <c r="L57" s="1253" t="s">
        <v>173</v>
      </c>
      <c r="M57" s="1254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244" t="str">
        <f t="shared" si="5"/>
        <v>jess nail</v>
      </c>
      <c r="J58" s="1245"/>
      <c r="K58" s="481">
        <f t="shared" ref="K58:K63" si="6">U4</f>
        <v>290</v>
      </c>
      <c r="L58" s="1246"/>
      <c r="M58" s="1247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244" t="str">
        <f t="shared" si="5"/>
        <v>джамп</v>
      </c>
      <c r="J59" s="1245"/>
      <c r="K59" s="481">
        <f t="shared" si="6"/>
        <v>52.32</v>
      </c>
      <c r="L59" s="1246"/>
      <c r="M59" s="1247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244" t="str">
        <f t="shared" si="5"/>
        <v>граттол</v>
      </c>
      <c r="J60" s="1245"/>
      <c r="K60" s="481">
        <f t="shared" si="6"/>
        <v>100.2</v>
      </c>
      <c r="L60" s="1248"/>
      <c r="M60" s="1249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244" t="str">
        <f t="shared" si="5"/>
        <v>киеми</v>
      </c>
      <c r="J61" s="1245"/>
      <c r="K61" s="481">
        <f t="shared" si="6"/>
        <v>339.1</v>
      </c>
      <c r="L61" s="1248"/>
      <c r="M61" s="1249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244" t="str">
        <f t="shared" si="5"/>
        <v>насир</v>
      </c>
      <c r="J62" s="1245"/>
      <c r="K62" s="481">
        <f t="shared" si="6"/>
        <v>581.75</v>
      </c>
      <c r="L62" s="1248"/>
      <c r="M62" s="1249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244" t="str">
        <f t="shared" si="5"/>
        <v>киеми</v>
      </c>
      <c r="J63" s="1245"/>
      <c r="K63" s="481">
        <f t="shared" si="6"/>
        <v>253.6</v>
      </c>
      <c r="L63" s="1248"/>
      <c r="M63" s="1249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244" t="str">
        <f>IF(T10="","",T10)</f>
        <v>зингер</v>
      </c>
      <c r="J64" s="1245"/>
      <c r="K64" s="481">
        <f>IF(U10="","",U10)</f>
        <v>2000</v>
      </c>
      <c r="L64" s="1183"/>
      <c r="M64" s="1241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244" t="str">
        <f t="shared" ref="I65" si="9">IF(T11="","",T11)</f>
        <v>граттол</v>
      </c>
      <c r="J65" s="1245"/>
      <c r="K65" s="481">
        <v>344.25</v>
      </c>
      <c r="L65" s="1183"/>
      <c r="M65" s="1241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244" t="str">
        <f>IF(T12="","",T12)</f>
        <v/>
      </c>
      <c r="J66" s="1245"/>
      <c r="K66" s="481" t="str">
        <f>IF(U12="","",U12)</f>
        <v/>
      </c>
      <c r="L66" s="1183"/>
      <c r="M66" s="1241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244" t="str">
        <f t="shared" ref="I67:I73" si="11">IF(T13="","",T13)</f>
        <v/>
      </c>
      <c r="J67" s="1245"/>
      <c r="K67" s="481" t="str">
        <f>IF(U13="","",U13)</f>
        <v/>
      </c>
      <c r="L67" s="1183"/>
      <c r="M67" s="1241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244" t="str">
        <f t="shared" si="11"/>
        <v/>
      </c>
      <c r="J68" s="1245"/>
      <c r="K68" s="481" t="str">
        <f t="shared" ref="K68:K73" si="12">IF(U14="","",U14)</f>
        <v/>
      </c>
      <c r="L68" s="1248"/>
      <c r="M68" s="1249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244" t="str">
        <f t="shared" si="11"/>
        <v/>
      </c>
      <c r="J69" s="1245"/>
      <c r="K69" s="481" t="str">
        <f t="shared" si="12"/>
        <v/>
      </c>
      <c r="L69" s="1183"/>
      <c r="M69" s="1241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244" t="str">
        <f t="shared" si="11"/>
        <v/>
      </c>
      <c r="J70" s="1245"/>
      <c r="K70" s="481" t="str">
        <f t="shared" si="12"/>
        <v/>
      </c>
      <c r="L70" s="1183"/>
      <c r="M70" s="1241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244" t="str">
        <f t="shared" si="11"/>
        <v/>
      </c>
      <c r="J71" s="1245"/>
      <c r="K71" s="481" t="str">
        <f t="shared" si="12"/>
        <v/>
      </c>
      <c r="L71" s="1183"/>
      <c r="M71" s="1241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244" t="str">
        <f t="shared" si="11"/>
        <v/>
      </c>
      <c r="J72" s="1245"/>
      <c r="K72" s="481" t="str">
        <f t="shared" si="12"/>
        <v/>
      </c>
      <c r="L72" s="1183"/>
      <c r="M72" s="1241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244" t="str">
        <f t="shared" si="11"/>
        <v/>
      </c>
      <c r="J73" s="1245"/>
      <c r="K73" s="481" t="str">
        <f t="shared" si="12"/>
        <v/>
      </c>
      <c r="L73" s="1183"/>
      <c r="M73" s="1241"/>
      <c r="N73" s="1"/>
      <c r="O73" s="366"/>
      <c r="P73" s="1"/>
    </row>
    <row r="74" spans="1:21" ht="15.75" thickBot="1">
      <c r="A74" s="1221" t="s">
        <v>259</v>
      </c>
      <c r="B74" s="1222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238" t="s">
        <v>259</v>
      </c>
      <c r="I74" s="1239"/>
      <c r="J74" s="1240"/>
      <c r="K74" s="716">
        <f>SUM(K58:K73)</f>
        <v>3961.22</v>
      </c>
      <c r="L74" s="1242"/>
      <c r="M74" s="1243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68" t="s">
        <v>16</v>
      </c>
      <c r="I75" s="1170" t="s">
        <v>17</v>
      </c>
      <c r="J75" s="1170" t="s">
        <v>21</v>
      </c>
      <c r="K75" s="1170"/>
      <c r="L75" s="1172" t="s">
        <v>93</v>
      </c>
      <c r="M75" s="1174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69"/>
      <c r="I76" s="1171"/>
      <c r="J76" s="692" t="s">
        <v>21</v>
      </c>
      <c r="K76" s="692" t="s">
        <v>25</v>
      </c>
      <c r="L76" s="1173"/>
      <c r="M76" s="1175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152" t="s">
        <v>36</v>
      </c>
      <c r="I84" s="1154" t="s">
        <v>178</v>
      </c>
      <c r="J84" s="1155"/>
      <c r="K84" s="1156"/>
      <c r="L84" s="1160" t="s">
        <v>159</v>
      </c>
      <c r="M84" s="1161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153"/>
      <c r="I85" s="1157"/>
      <c r="J85" s="1158"/>
      <c r="K85" s="1159"/>
      <c r="L85" s="1162"/>
      <c r="M85" s="1163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164" t="s">
        <v>47</v>
      </c>
      <c r="J86" s="1164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1149" t="s">
        <v>51</v>
      </c>
      <c r="J87" s="1149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1149" t="s">
        <v>52</v>
      </c>
      <c r="J88" s="1149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49" t="s">
        <v>49</v>
      </c>
      <c r="J89" s="1149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217" t="s">
        <v>59</v>
      </c>
      <c r="J90" s="1217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218" t="s">
        <v>68</v>
      </c>
      <c r="J91" s="1219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150" t="s">
        <v>174</v>
      </c>
      <c r="J92" s="1151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150" t="s">
        <v>81</v>
      </c>
      <c r="J94" s="1151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50" t="s">
        <v>53</v>
      </c>
      <c r="J95" s="1151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46" t="s">
        <v>300</v>
      </c>
      <c r="J96" s="1146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1146" t="s">
        <v>325</v>
      </c>
      <c r="J97" s="1146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235" t="s">
        <v>344</v>
      </c>
      <c r="J98" s="1235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236" t="s">
        <v>179</v>
      </c>
      <c r="I99" s="1237"/>
      <c r="J99" s="361">
        <f>SUM(K86:K96)</f>
        <v>1555.4299999999998</v>
      </c>
      <c r="K99" s="1147" t="s">
        <v>180</v>
      </c>
      <c r="L99" s="1147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27</vt:i4>
      </vt:variant>
    </vt:vector>
  </HeadingPairs>
  <TitlesOfParts>
    <vt:vector size="55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сентябрь горит</vt:lpstr>
      <vt:lpstr>ЗП cent</vt:lpstr>
      <vt:lpstr>октябрь плачет</vt:lpstr>
      <vt:lpstr>юля окт</vt:lpstr>
      <vt:lpstr>ЗП окт</vt:lpstr>
      <vt:lpstr>НОЯБРЬ</vt:lpstr>
      <vt:lpstr>ЗП ноябрь</vt:lpstr>
      <vt:lpstr>Лист1</vt:lpstr>
      <vt:lpstr>декабрь</vt:lpstr>
      <vt:lpstr>зп декабрь</vt:lpstr>
      <vt:lpstr>январь</vt:lpstr>
      <vt:lpstr>ЗП ЯНВАРЬ</vt:lpstr>
      <vt:lpstr>АВГУСТ!Область_печати</vt:lpstr>
      <vt:lpstr>апрель!Область_печати</vt:lpstr>
      <vt:lpstr>декабрь!Область_печати</vt:lpstr>
      <vt:lpstr>'ЗП cent'!Область_печати</vt:lpstr>
      <vt:lpstr>'ЗП АВГУСТ'!Область_печати</vt:lpstr>
      <vt:lpstr>'зп апрель'!Область_печати</vt:lpstr>
      <vt:lpstr>'зп декабрь'!Область_печати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ноябрь'!Область_печати</vt:lpstr>
      <vt:lpstr>'ЗП окт'!Область_печати</vt:lpstr>
      <vt:lpstr>'ЗП ФЕВРАЛЬ'!Область_печати</vt:lpstr>
      <vt:lpstr>'ЗП ЯНВАРЬ'!Область_печати</vt:lpstr>
      <vt:lpstr>июЛь!Область_печати</vt:lpstr>
      <vt:lpstr>ИЮНЬ!Область_печати</vt:lpstr>
      <vt:lpstr>Лист1!Область_печати</vt:lpstr>
      <vt:lpstr>май!Область_печати</vt:lpstr>
      <vt:lpstr>МАРТ!Область_печати</vt:lpstr>
      <vt:lpstr>НОЯБРЬ!Область_печати</vt:lpstr>
      <vt:lpstr>'ОБЩАЯ СВЕРКА'!Область_печати</vt:lpstr>
      <vt:lpstr>'октябрь плачет'!Область_печати</vt:lpstr>
      <vt:lpstr>'сентябрь горит'!Область_печати</vt:lpstr>
      <vt:lpstr>ФЕВРАЛЬ!Область_печати</vt:lpstr>
      <vt:lpstr>'юля окт'!Область_печати</vt:lpstr>
      <vt:lpstr>январь!Область_печати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2021-01-06T20:15:23Z</cp:lastPrinted>
  <dcterms:created xsi:type="dcterms:W3CDTF">2019-05-31T14:37:56Z</dcterms:created>
  <dcterms:modified xsi:type="dcterms:W3CDTF">2021-01-06T20:20:46Z</dcterms:modified>
</cp:coreProperties>
</file>