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activeTab="9"/>
  </bookViews>
  <sheets>
    <sheet name="ОБЩЕЕ" sheetId="3" r:id="rId1"/>
    <sheet name="ОБЩАЯ СВЕРКА" sheetId="6" r:id="rId2"/>
    <sheet name="сверка ДЕКАБРЬ" sheetId="23" r:id="rId3"/>
    <sheet name="ЗП ДЕКАБРЬ" sheetId="24" r:id="rId4"/>
    <sheet name="сверка ЯНВАРЬ" sheetId="26" r:id="rId5"/>
    <sheet name="ЗП ЯНВАРЬ" sheetId="25" r:id="rId6"/>
    <sheet name="ФЕВРАЛЬ" sheetId="27" r:id="rId7"/>
    <sheet name="ЗП ФЕВРАЛЬ" sheetId="28" r:id="rId8"/>
    <sheet name="расчетный лист" sheetId="29" r:id="rId9"/>
    <sheet name="МАРТ" sheetId="30" r:id="rId10"/>
    <sheet name="ЗП МАРТ" sheetId="31" r:id="rId11"/>
  </sheets>
  <definedNames>
    <definedName name="_xlnm.Print_Area" localSheetId="10">'ЗП МАРТ'!$B$1:$G$44</definedName>
    <definedName name="_xlnm.Print_Area" localSheetId="7">'ЗП ФЕВРАЛЬ'!$B$1:$G$44</definedName>
    <definedName name="_xlnm.Print_Area" localSheetId="9">МАРТ!$A$48:$M$90</definedName>
    <definedName name="_xlnm.Print_Area" localSheetId="1">'ОБЩАЯ СВЕРКА'!$A$1:$Q$29</definedName>
    <definedName name="_xlnm.Print_Area" localSheetId="2">'сверка ДЕКАБРЬ'!$A$1:$M$41</definedName>
    <definedName name="_xlnm.Print_Area" localSheetId="4">'сверка ЯНВАРЬ'!$A$45:$M$87</definedName>
    <definedName name="_xlnm.Print_Area" localSheetId="6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0" l="1"/>
  <c r="J52" i="30" l="1"/>
  <c r="K89" i="30"/>
  <c r="J46" i="30"/>
  <c r="K45" i="30"/>
  <c r="K6" i="30"/>
  <c r="D23" i="31" l="1"/>
  <c r="AF15" i="30" l="1"/>
  <c r="AF13" i="30"/>
  <c r="AA16" i="30"/>
  <c r="W13" i="30"/>
  <c r="AA8" i="30" l="1"/>
  <c r="AF7" i="30"/>
  <c r="AF9" i="30"/>
  <c r="AF5" i="30"/>
  <c r="AA11" i="30"/>
  <c r="AA9" i="30"/>
  <c r="W5" i="30"/>
  <c r="I35" i="31" l="1"/>
  <c r="C68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Q29" i="30"/>
  <c r="Q28" i="30"/>
  <c r="Q27" i="30"/>
  <c r="Q26" i="30"/>
  <c r="Q25" i="30"/>
  <c r="Q24" i="30"/>
  <c r="S27" i="30" l="1"/>
  <c r="S31" i="30"/>
  <c r="S29" i="30"/>
  <c r="S25" i="30"/>
  <c r="S32" i="30"/>
  <c r="S30" i="30"/>
  <c r="S28" i="30"/>
  <c r="S26" i="30"/>
  <c r="P43" i="27"/>
  <c r="I35" i="25" l="1"/>
  <c r="G59" i="3" l="1"/>
  <c r="E5" i="30" l="1"/>
  <c r="F5" i="30"/>
  <c r="E9" i="27"/>
  <c r="F9" i="27"/>
  <c r="E52" i="30"/>
  <c r="F52" i="30"/>
  <c r="G58" i="3" l="1"/>
  <c r="G57" i="3"/>
  <c r="I35" i="28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G60" i="30"/>
  <c r="F61" i="30"/>
  <c r="G61" i="30"/>
  <c r="E62" i="30"/>
  <c r="F62" i="30"/>
  <c r="G62" i="30"/>
  <c r="E63" i="30"/>
  <c r="F63" i="30"/>
  <c r="G63" i="30"/>
  <c r="E64" i="30"/>
  <c r="F64" i="30"/>
  <c r="G64" i="30"/>
  <c r="E65" i="30"/>
  <c r="F65" i="30"/>
  <c r="G65" i="30"/>
  <c r="E66" i="30"/>
  <c r="F66" i="30"/>
  <c r="G66" i="30"/>
  <c r="E67" i="30"/>
  <c r="F67" i="30"/>
  <c r="G67" i="30"/>
  <c r="E6" i="30"/>
  <c r="F6" i="30"/>
  <c r="E7" i="30"/>
  <c r="F7" i="30"/>
  <c r="E8" i="30"/>
  <c r="F8" i="30"/>
  <c r="E9" i="30"/>
  <c r="F9" i="30"/>
  <c r="E10" i="30"/>
  <c r="F10" i="30"/>
  <c r="G10" i="30"/>
  <c r="E11" i="30"/>
  <c r="F11" i="30"/>
  <c r="G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D61" i="3"/>
  <c r="K35" i="31"/>
  <c r="O53" i="3" s="1"/>
  <c r="J35" i="31"/>
  <c r="L56" i="3" s="1"/>
  <c r="D33" i="31"/>
  <c r="D40" i="31" s="1"/>
  <c r="BB40" i="3"/>
  <c r="BA40" i="3"/>
  <c r="AZ40" i="3"/>
  <c r="AY40" i="3"/>
  <c r="BD36" i="3"/>
  <c r="BB36" i="3"/>
  <c r="BB38" i="3" s="1"/>
  <c r="BB39" i="3" s="1"/>
  <c r="BB45" i="3" s="1"/>
  <c r="BA36" i="3"/>
  <c r="BA38" i="3" s="1"/>
  <c r="BA39" i="3" s="1"/>
  <c r="AZ36" i="3"/>
  <c r="AZ38" i="3" s="1"/>
  <c r="AZ39" i="3" s="1"/>
  <c r="AZ45" i="3" s="1"/>
  <c r="BB34" i="3"/>
  <c r="BB42" i="3" s="1"/>
  <c r="BA34" i="3"/>
  <c r="BA42" i="3" s="1"/>
  <c r="BA46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BC36" i="3" s="1"/>
  <c r="AW5" i="3"/>
  <c r="AW4" i="3"/>
  <c r="AW3" i="3"/>
  <c r="Q189" i="6"/>
  <c r="M71" i="30"/>
  <c r="M72" i="30" s="1"/>
  <c r="M73" i="30" s="1"/>
  <c r="M74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F38" i="31"/>
  <c r="E38" i="31"/>
  <c r="D38" i="31"/>
  <c r="G34" i="31"/>
  <c r="G36" i="31" s="1"/>
  <c r="G37" i="31" s="1"/>
  <c r="F34" i="31"/>
  <c r="F36" i="31" s="1"/>
  <c r="F37" i="31" s="1"/>
  <c r="E34" i="31"/>
  <c r="E36" i="31" s="1"/>
  <c r="E37" i="31" s="1"/>
  <c r="D34" i="31"/>
  <c r="D36" i="31" s="1"/>
  <c r="D37" i="31" s="1"/>
  <c r="G33" i="31"/>
  <c r="G40" i="31" s="1"/>
  <c r="F33" i="31"/>
  <c r="F40" i="31" s="1"/>
  <c r="E33" i="31"/>
  <c r="E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2" i="30"/>
  <c r="M24" i="30"/>
  <c r="M25" i="30" s="1"/>
  <c r="M26" i="30" s="1"/>
  <c r="M27" i="30" s="1"/>
  <c r="M28" i="30" s="1"/>
  <c r="M29" i="30" s="1"/>
  <c r="M30" i="30" s="1"/>
  <c r="M31" i="30" s="1"/>
  <c r="M32" i="30" s="1"/>
  <c r="C21" i="30"/>
  <c r="J7" i="30"/>
  <c r="L6" i="30"/>
  <c r="L5" i="30"/>
  <c r="M74" i="27"/>
  <c r="M73" i="27"/>
  <c r="J90" i="30" l="1"/>
  <c r="E68" i="30"/>
  <c r="E21" i="30"/>
  <c r="AZ46" i="3"/>
  <c r="BB46" i="3"/>
  <c r="BA45" i="3"/>
  <c r="AY34" i="3"/>
  <c r="AY42" i="3" s="1"/>
  <c r="AY46" i="3" s="1"/>
  <c r="AY45" i="3" s="1"/>
  <c r="AY36" i="3"/>
  <c r="AY38" i="3" s="1"/>
  <c r="AY39" i="3" s="1"/>
  <c r="E44" i="31"/>
  <c r="E43" i="31"/>
  <c r="G44" i="31"/>
  <c r="G43" i="31"/>
  <c r="D44" i="31"/>
  <c r="D43" i="31"/>
  <c r="F44" i="31"/>
  <c r="F43" i="31"/>
  <c r="D11" i="27"/>
  <c r="M31" i="27" l="1"/>
  <c r="M32" i="27" s="1"/>
  <c r="D38" i="28" l="1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D49" i="24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39" i="24" l="1"/>
  <c r="M24" i="26"/>
  <c r="M25" i="26" s="1"/>
  <c r="M26" i="26" s="1"/>
  <c r="M23" i="26"/>
  <c r="L39" i="24"/>
  <c r="P98" i="23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I8" i="24"/>
  <c r="F3" i="26"/>
  <c r="E3" i="26"/>
  <c r="R4" i="26"/>
  <c r="R3" i="26"/>
  <c r="S6" i="23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I38" i="24"/>
  <c r="G45" i="24"/>
  <c r="G33" i="24"/>
  <c r="G39" i="24"/>
  <c r="E41" i="25" l="1"/>
  <c r="F36" i="25"/>
  <c r="F37" i="25" s="1"/>
  <c r="E45" i="24"/>
  <c r="F45" i="24"/>
  <c r="D45" i="24"/>
  <c r="D39" i="24"/>
  <c r="E43" i="24"/>
  <c r="D116" i="23" l="1"/>
  <c r="B32" i="24"/>
  <c r="D25" i="24" l="1"/>
  <c r="F33" i="24" l="1"/>
  <c r="G43" i="24"/>
  <c r="H37" i="23"/>
  <c r="H75" i="23"/>
  <c r="H76" i="23"/>
  <c r="H77" i="23"/>
  <c r="H78" i="23"/>
  <c r="H79" i="23"/>
  <c r="H80" i="23"/>
  <c r="H81" i="23"/>
  <c r="H82" i="23"/>
  <c r="H83" i="23"/>
  <c r="H84" i="23"/>
  <c r="H74" i="23"/>
  <c r="J85" i="23"/>
  <c r="F40" i="24" l="1"/>
  <c r="F43" i="24" s="1"/>
  <c r="J5" i="23"/>
  <c r="R4" i="23" l="1"/>
  <c r="R3" i="23"/>
  <c r="D17" i="24" l="1"/>
  <c r="B2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3" i="24"/>
  <c r="B24" i="24"/>
  <c r="B25" i="24"/>
  <c r="B26" i="24"/>
  <c r="B27" i="24"/>
  <c r="B28" i="24"/>
  <c r="B29" i="24"/>
  <c r="B30" i="24"/>
  <c r="B31" i="24"/>
  <c r="D43" i="24" l="1"/>
  <c r="D89" i="23"/>
  <c r="D88" i="23"/>
  <c r="D87" i="23"/>
  <c r="F48" i="23" l="1"/>
  <c r="B2" i="24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4" i="23"/>
  <c r="F5" i="23"/>
  <c r="F6" i="23"/>
  <c r="F7" i="23"/>
  <c r="F8" i="23"/>
  <c r="F9" i="23"/>
  <c r="F10" i="23"/>
  <c r="F11" i="23"/>
  <c r="F12" i="23"/>
  <c r="F15" i="23"/>
  <c r="F16" i="23"/>
  <c r="F17" i="23"/>
  <c r="F18" i="23"/>
  <c r="F19" i="23"/>
  <c r="F3" i="23"/>
  <c r="F47" i="23"/>
  <c r="E2" i="24"/>
  <c r="H2" i="24"/>
  <c r="G56" i="3"/>
  <c r="E39" i="24" l="1"/>
  <c r="E41" i="24" s="1"/>
  <c r="E42" i="24" s="1"/>
  <c r="E33" i="24"/>
  <c r="K47" i="23"/>
  <c r="F35" i="3"/>
  <c r="F42" i="3" s="1"/>
  <c r="F36" i="3"/>
  <c r="F38" i="3" s="1"/>
  <c r="F39" i="3" s="1"/>
  <c r="F40" i="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G41" i="24"/>
  <c r="G42" i="24" s="1"/>
  <c r="F39" i="24"/>
  <c r="F41" i="24" s="1"/>
  <c r="F42" i="24" s="1"/>
  <c r="F48" i="24" s="1"/>
  <c r="D41" i="24"/>
  <c r="D42" i="24" s="1"/>
  <c r="K36" i="23"/>
  <c r="M22" i="23"/>
  <c r="M23" i="23" s="1"/>
  <c r="M24" i="23" s="1"/>
  <c r="M25" i="23" s="1"/>
  <c r="M26" i="23" s="1"/>
  <c r="M27" i="23" s="1"/>
  <c r="E19" i="23"/>
  <c r="E18" i="23"/>
  <c r="E17" i="23"/>
  <c r="E16" i="23"/>
  <c r="E15" i="23"/>
  <c r="E14" i="23"/>
  <c r="E12" i="23"/>
  <c r="E11" i="23"/>
  <c r="E10" i="23"/>
  <c r="E8" i="23"/>
  <c r="E7" i="23"/>
  <c r="E6" i="23"/>
  <c r="K40" i="23"/>
  <c r="E5" i="23"/>
  <c r="L4" i="23"/>
  <c r="E4" i="23"/>
  <c r="L3" i="23"/>
  <c r="E3" i="23"/>
  <c r="F43" i="3" l="1"/>
  <c r="I40" i="24"/>
  <c r="G48" i="24"/>
  <c r="D48" i="24"/>
  <c r="E48" i="24"/>
  <c r="E49" i="24"/>
  <c r="G49" i="24"/>
  <c r="F49" i="24"/>
  <c r="J41" i="23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L45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AQ6" i="3" l="1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L45" i="3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R47" i="3" l="1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<sst xmlns="http://schemas.openxmlformats.org/spreadsheetml/2006/main" count="1510" uniqueCount="318">
  <si>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</si>
  <si>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</si>
  <si>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</si>
  <si>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</si>
  <si>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</si>
  <si>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</si>
  <si>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</si>
  <si>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</si>
  <si>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</si>
  <si>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</si>
  <si>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</si>
  <si>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</si>
  <si>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</si>
  <si>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</si>
  <si>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</si>
  <si>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</si>
  <si>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</si>
  <si>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</si>
  <si>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</si>
  <si>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</si>
  <si>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</si>
  <si>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</si>
  <si>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</si>
  <si>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</si>
  <si>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</si>
  <si>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</si>
  <si>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</si>
  <si>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</si>
  <si>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</si>
  <si>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</si>
  <si>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</si>
  <si>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</si>
  <si>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</si>
  <si>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</si>
  <si>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</si>
  <si>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</si>
  <si>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</si>
  <si>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</si>
  <si>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</si>
  <si>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</si>
  <si>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</si>
  <si>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</si>
  <si>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</si>
  <si>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</si>
  <si>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</si>
  <si>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</si>
  <si>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</si>
  <si>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</si>
  <si>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</si>
  <si>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</si>
  <si>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</si>
  <si>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</si>
  <si>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</si>
  <si>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</si>
  <si>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</si>
  <si>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</si>
  <si>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</si>
  <si>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</si>
  <si>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</si>
  <si>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</si>
  <si>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</si>
  <si>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</si>
  <si>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</si>
  <si>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</si>
  <si>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</si>
  <si>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</si>
  <si>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</si>
  <si>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</si>
  <si>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</si>
  <si>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</si>
  <si>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</si>
  <si>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</si>
  <si>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</si>
  <si>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</si>
  <si>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</si>
  <si>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</si>
  <si>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</si>
  <si>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</si>
  <si>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</si>
  <si>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</si>
  <si>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</si>
  <si>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</si>
  <si>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</si>
  <si>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</si>
  <si>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</si>
  <si>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</si>
  <si>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</si>
  <si>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</si>
  <si>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</si>
  <si>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</si>
  <si>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</si>
  <si>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</si>
  <si>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</si>
  <si>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</si>
  <si>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</si>
  <si>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</si>
  <si>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</si>
  <si>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</si>
  <si>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</si>
  <si>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</si>
  <si>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</si>
  <si>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</si>
  <si>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</si>
  <si>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</si>
  <si>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</si>
  <si>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</si>
  <si>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</si>
  <si>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</si>
  <si>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</si>
  <si>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</si>
  <si>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</si>
  <si>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</si>
  <si>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</si>
  <si>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</si>
  <si>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</si>
  <si>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</si>
  <si>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</si>
  <si>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</si>
  <si>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</si>
  <si>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</si>
  <si>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</si>
  <si>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</si>
  <si>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</si>
  <si>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</si>
  <si>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</si>
  <si>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</si>
  <si>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</si>
  <si>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</si>
  <si>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</si>
  <si>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</si>
  <si>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</si>
  <si>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</si>
  <si>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</si>
  <si>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</si>
  <si>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</si>
  <si>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</si>
  <si>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</si>
  <si>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</si>
  <si>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</si>
  <si>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</si>
  <si>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</si>
  <si>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</si>
  <si>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</si>
  <si>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</si>
  <si>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</si>
  <si>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</si>
  <si>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</si>
  <si>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</si>
  <si>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</si>
  <si>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</si>
  <si>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</si>
  <si>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</si>
  <si>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</si>
  <si>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</si>
  <si>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</si>
  <si>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</si>
  <si>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</si>
  <si>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</si>
  <si>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</si>
  <si>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</si>
  <si>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</si>
  <si>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</si>
  <si>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</si>
  <si>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</si>
  <si>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</si>
  <si>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</si>
  <si>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</si>
  <si>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</si>
  <si>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</si>
  <si>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</si>
  <si>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</si>
  <si>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</si>
  <si>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</si>
  <si>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</si>
  <si>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</si>
  <si>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</si>
  <si>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</si>
  <si>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</si>
  <si>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</si>
  <si>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</si>
  <si>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</si>
  <si>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</si>
  <si>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</si>
  <si>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</si>
  <si>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</si>
  <si>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</si>
  <si>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</si>
  <si>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</si>
  <si>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</si>
  <si>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</si>
  <si>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</si>
  <si>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</si>
  <si>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</si>
  <si>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</si>
  <si>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</si>
  <si>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</si>
  <si>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</si>
  <si>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</si>
  <si>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</si>
  <si>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</si>
  <si>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</si>
  <si>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</si>
  <si>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</si>
  <si>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</si>
  <si>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</si>
  <si>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</si>
  <si>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</si>
  <si>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</si>
  <si>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</si>
  <si>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</si>
  <si>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</si>
  <si>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</si>
  <si>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</si>
  <si>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</si>
  <si>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</si>
  <si>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</si>
  <si>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</si>
  <si>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</si>
  <si>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НАСИР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</si>
  <si>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</si>
  <si>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</si>
  <si>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</si>
  <si>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</si>
  <si>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</si>
  <si>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</si>
  <si>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</si>
  <si>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</si>
  <si>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</si>
  <si>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скидочные дни</t>
  </si>
  <si>
    <t>кол-во всех смен</t>
  </si>
  <si>
    <t>наташа 5,5 часа</t>
  </si>
  <si>
    <t>с10 до 21</t>
  </si>
  <si>
    <t>11 часов</t>
  </si>
  <si>
    <t>юля с 10-19</t>
  </si>
  <si>
    <t>9часов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</si>
  <si>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</si>
  <si>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</si>
  <si>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</si>
  <si>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</si>
  <si>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</si>
  <si>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</si>
  <si>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</si>
  <si>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</si>
  <si>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</si>
  <si>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</si>
  <si>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</si>
  <si>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</si>
  <si>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</si>
  <si>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</si>
  <si>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</si>
  <si>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</si>
  <si>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</si>
  <si>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</si>
  <si>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</si>
  <si>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</si>
  <si>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</si>
  <si>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</si>
  <si>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</si>
  <si>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</si>
  <si>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</si>
  <si>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</si>
  <si>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</si>
  <si>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</si>
  <si>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</si>
  <si>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</si>
  <si>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</si>
  <si>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</si>
  <si>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</si>
  <si>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</si>
  <si>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</si>
  <si>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</si>
  <si>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</si>
  <si>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</si>
  <si>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</si>
  <si>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</si>
  <si>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</si>
  <si>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</si>
  <si>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</si>
  <si>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</si>
  <si>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</si>
  <si>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</si>
  <si>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</si>
  <si>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</si>
  <si>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</si>
  <si>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</si>
  <si>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</si>
  <si>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</si>
  <si>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</si>
  <si>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</si>
  <si>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>1575.56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</si>
  <si>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</si>
  <si>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</si>
  <si>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</si>
  <si>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</si>
  <si>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</si>
  <si>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</si>
  <si>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</si>
  <si>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</si>
  <si>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</si>
  <si>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</si>
  <si>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</si>
  <si>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</si>
  <si>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</si>
  <si>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</si>
  <si>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</si>
  <si>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</si>
  <si>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</si>
  <si>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</si>
  <si>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</si>
  <si>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</si>
  <si>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 xml:space="preserve">         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</si>
  <si>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</si>
  <si>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</si>
  <si>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</si>
  <si>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</si>
  <si>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</si>
  <si>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</si>
  <si>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>ВОЗВРА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</si>
</sst>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р_."/>
    <numFmt numFmtId="165" formatCode="#,##0.00_р_."/>
    <numFmt numFmtId="166" formatCode="0.0"/>
    <numFmt numFmtId="167" formatCode="0.0000"/>
    <numFmt numFmtId="168" formatCode="0.000"/>
  </numFmts>
  <fonts count="24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rgb="FF1B1725"/>
      <name val="Arial"/>
      <family val="2"/>
      <charset val="204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14" fontId="0" fillId="6" borderId="0" xfId="0" applyNumberFormat="1" applyFont="1" applyFill="1" applyBorder="1"/>
    <xf numFmtId="1" fontId="0" fillId="6" borderId="0" xfId="0" applyNumberFormat="1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1" fontId="0" fillId="0" borderId="0" xfId="0" applyNumberFormat="1" applyFont="1" applyFill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0" fontId="0" fillId="0" borderId="24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4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4" fillId="2" borderId="0" xfId="0" applyNumberFormat="1" applyFont="1" applyFill="1"/>
    <xf numFmtId="2" fontId="8" fillId="0" borderId="0" xfId="0" applyNumberFormat="1" applyFont="1" applyFill="1" applyBorder="1"/>
    <xf numFmtId="0" fontId="4" fillId="0" borderId="0" xfId="0" applyFont="1" applyFill="1" applyBorder="1" applyAlignment="1" applyProtection="1">
      <protection hidden="1"/>
    </xf>
    <xf numFmtId="2" fontId="4" fillId="0" borderId="0" xfId="0" applyNumberFormat="1" applyFont="1" applyFill="1" applyBorder="1"/>
    <xf numFmtId="0" fontId="3" fillId="0" borderId="0" xfId="0" applyFont="1" applyBorder="1" applyProtection="1">
      <protection hidden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0" fontId="18" fillId="0" borderId="0" xfId="0" applyFont="1"/>
    <xf numFmtId="0" fontId="3" fillId="0" borderId="0" xfId="0" applyNumberFormat="1" applyFont="1" applyBorder="1"/>
    <xf numFmtId="0" fontId="3" fillId="0" borderId="0" xfId="0" applyFont="1" applyFill="1" applyBorder="1" applyAlignment="1" applyProtection="1">
      <protection hidden="1"/>
    </xf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NumberFormat="1" applyFont="1"/>
    <xf numFmtId="9" fontId="3" fillId="0" borderId="0" xfId="0" applyNumberFormat="1" applyFont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167" fontId="4" fillId="0" borderId="0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14" fontId="4" fillId="0" borderId="7" xfId="0" applyNumberFormat="1" applyFont="1" applyBorder="1" applyAlignment="1" applyProtection="1">
      <alignment horizontal="left"/>
      <protection hidden="1"/>
    </xf>
    <xf numFmtId="0" fontId="4" fillId="0" borderId="7" xfId="0" applyFont="1" applyBorder="1" applyProtection="1">
      <protection hidden="1"/>
    </xf>
    <xf numFmtId="2" fontId="20" fillId="0" borderId="1" xfId="0" applyNumberFormat="1" applyFont="1" applyFill="1" applyBorder="1" applyProtection="1">
      <protection hidden="1"/>
    </xf>
    <xf numFmtId="0" fontId="20" fillId="0" borderId="1" xfId="0" applyFont="1" applyFill="1" applyBorder="1" applyProtection="1">
      <protection hidden="1"/>
    </xf>
    <xf numFmtId="1" fontId="20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8" fontId="0" fillId="0" borderId="0" xfId="0" applyNumberFormat="1" applyFill="1" applyBorder="1"/>
    <xf numFmtId="168" fontId="2" fillId="0" borderId="0" xfId="0" applyNumberFormat="1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 applyProtection="1">
      <alignment wrapText="1"/>
      <protection hidden="1"/>
    </xf>
    <xf numFmtId="14" fontId="21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4" fontId="3" fillId="2" borderId="2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0" fillId="3" borderId="9" xfId="0" applyNumberFormat="1" applyFill="1" applyBorder="1"/>
    <xf numFmtId="165" fontId="3" fillId="3" borderId="0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4" fontId="3" fillId="15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2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3" xfId="0" applyFont="1" applyFill="1" applyBorder="1" applyAlignment="1"/>
    <xf numFmtId="2" fontId="0" fillId="0" borderId="4" xfId="0" applyNumberFormat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21" fillId="0" borderId="2" xfId="0" applyFont="1" applyBorder="1" applyAlignment="1" applyProtection="1">
      <alignment wrapText="1"/>
      <protection hidden="1"/>
    </xf>
    <xf numFmtId="0" fontId="0" fillId="0" borderId="35" xfId="0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3" xfId="0" applyFill="1" applyBorder="1" applyAlignment="1">
      <alignment horizontal="center" wrapText="1"/>
    </xf>
    <xf numFmtId="0" fontId="0" fillId="2" borderId="24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4" fontId="3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/>
    <xf numFmtId="0" fontId="17" fillId="2" borderId="0" xfId="0" applyFont="1" applyFill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4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22742,85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22742.850000000002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9915.6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30E-8096-3F3A096772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30E-8096-3F3A096772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8FC-8619-D37B7FB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BB0-A324-3D93F24842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1B0-BD37-13809BDE50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171450</xdr:rowOff>
    </xdr:from>
    <xdr:to>
      <xdr:col>12</xdr:col>
      <xdr:colOff>914401</xdr:colOff>
      <xdr:row>18</xdr:row>
      <xdr:rowOff>156881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221690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68831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19</xdr:row>
      <xdr:rowOff>38100</xdr:rowOff>
    </xdr:from>
    <xdr:to>
      <xdr:col>6</xdr:col>
      <xdr:colOff>769619</xdr:colOff>
      <xdr:row>40</xdr:row>
      <xdr:rowOff>163285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34066</xdr:rowOff>
    </xdr:from>
    <xdr:to>
      <xdr:col>6</xdr:col>
      <xdr:colOff>896023</xdr:colOff>
      <xdr:row>84</xdr:row>
      <xdr:rowOff>190135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46</xdr:row>
      <xdr:rowOff>175260</xdr:rowOff>
    </xdr:from>
    <xdr:to>
      <xdr:col>12</xdr:col>
      <xdr:colOff>929640</xdr:colOff>
      <xdr:row>62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7"/>
  <sheetViews>
    <sheetView topLeftCell="AE1" zoomScaleNormal="100" zoomScaleSheetLayoutView="70" workbookViewId="0">
      <selection activeCell="AV16" sqref="AV16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56" ht="26.25" x14ac:dyDescent="0.4">
      <c r="A1" s="108"/>
      <c r="B1" s="109"/>
      <c r="C1" s="109"/>
      <c r="D1" s="660" t="s">
        <v>9</v>
      </c>
      <c r="E1" s="660"/>
      <c r="F1" s="109"/>
      <c r="G1" s="109"/>
      <c r="H1" s="108"/>
      <c r="I1" s="109"/>
      <c r="J1" s="109"/>
      <c r="K1" s="660" t="s">
        <v>18</v>
      </c>
      <c r="L1" s="660"/>
      <c r="M1" s="109"/>
      <c r="N1" s="109"/>
      <c r="O1" s="110"/>
      <c r="P1" s="108"/>
      <c r="Q1" s="109"/>
      <c r="R1" s="109"/>
      <c r="S1" s="109"/>
      <c r="T1" s="660" t="s">
        <v>19</v>
      </c>
      <c r="U1" s="660"/>
      <c r="V1" s="6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60" t="s">
        <v>20</v>
      </c>
      <c r="AH1" s="660"/>
      <c r="AI1" s="661"/>
      <c r="AJ1" s="108"/>
      <c r="AK1" s="109"/>
      <c r="AL1" s="660" t="s">
        <v>194</v>
      </c>
      <c r="AM1" s="660"/>
      <c r="AN1" s="661"/>
      <c r="AO1" s="109" t="s">
        <v>21</v>
      </c>
      <c r="AP1" s="110"/>
      <c r="AQ1" s="108"/>
      <c r="AR1" s="660" t="s">
        <v>162</v>
      </c>
      <c r="AS1" s="660"/>
      <c r="AT1" s="661"/>
      <c r="AU1" s="109"/>
      <c r="AV1" s="109"/>
      <c r="AW1" s="108"/>
      <c r="AX1" s="109"/>
      <c r="AY1" s="660" t="s">
        <v>283</v>
      </c>
      <c r="AZ1" s="660"/>
      <c r="BA1" s="661"/>
      <c r="BB1" s="109"/>
      <c r="BC1" s="109"/>
      <c r="BD1" s="110"/>
    </row>
    <row r="2" spans="1:56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404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1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404"/>
    </row>
    <row r="3" spans="1:56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6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6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32"/>
      <c r="AO3" s="114"/>
      <c r="AP3" s="404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32"/>
      <c r="AV3" s="11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32"/>
      <c r="BB3" s="232"/>
      <c r="BC3" s="86"/>
      <c r="BD3" s="404"/>
    </row>
    <row r="4" spans="1:56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6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6">
        <v>5.5</v>
      </c>
      <c r="AJ4" s="115">
        <f t="shared" si="0"/>
        <v>1</v>
      </c>
      <c r="AK4" s="17">
        <v>43710</v>
      </c>
      <c r="AL4" s="22"/>
      <c r="AM4" s="22">
        <v>704.9</v>
      </c>
      <c r="AN4" s="232"/>
      <c r="AO4" s="114"/>
      <c r="AP4" s="404"/>
      <c r="AQ4" s="115">
        <f t="shared" si="1"/>
        <v>3</v>
      </c>
      <c r="AR4" s="17">
        <v>43740</v>
      </c>
      <c r="AS4" s="22">
        <v>1072.46</v>
      </c>
      <c r="AT4" s="22"/>
      <c r="AU4" s="232"/>
      <c r="AV4" s="311"/>
      <c r="AW4" s="115">
        <f t="shared" si="2"/>
        <v>6</v>
      </c>
      <c r="AX4" s="17">
        <v>43771</v>
      </c>
      <c r="AY4" s="22">
        <v>1356.15</v>
      </c>
      <c r="AZ4" s="22"/>
      <c r="BA4" s="232"/>
      <c r="BB4" s="232"/>
      <c r="BC4" s="232"/>
      <c r="BD4" s="629"/>
    </row>
    <row r="5" spans="1:56" ht="12.6" customHeight="1" x14ac:dyDescent="0.25">
      <c r="A5" s="111"/>
      <c r="B5" s="4">
        <f t="shared" ref="B5:B34" si="4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5">IF(J5="","",WEEKDAY(J5,2))</f>
        <v>7</v>
      </c>
      <c r="J5" s="17">
        <v>43618</v>
      </c>
      <c r="K5" s="18"/>
      <c r="L5" s="18">
        <v>895.4</v>
      </c>
      <c r="M5" s="14"/>
      <c r="N5" s="14"/>
      <c r="O5" s="136"/>
      <c r="P5" s="115">
        <f t="shared" ref="P5:P33" si="6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6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32"/>
      <c r="AO5" s="114"/>
      <c r="AP5" s="404"/>
      <c r="AQ5" s="115">
        <f t="shared" si="1"/>
        <v>4</v>
      </c>
      <c r="AR5" s="17">
        <v>43741</v>
      </c>
      <c r="AS5" s="22"/>
      <c r="AT5" s="22">
        <v>644</v>
      </c>
      <c r="AU5" s="232" t="s">
        <v>152</v>
      </c>
      <c r="AV5" s="409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32"/>
      <c r="BB5" s="232"/>
      <c r="BC5" s="232"/>
      <c r="BD5" s="404"/>
    </row>
    <row r="6" spans="1:56" ht="12.6" customHeight="1" x14ac:dyDescent="0.25">
      <c r="A6" s="111"/>
      <c r="B6" s="4">
        <f t="shared" si="4"/>
        <v>5</v>
      </c>
      <c r="C6" s="3">
        <f t="shared" ref="C6:C34" si="7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5"/>
        <v>1</v>
      </c>
      <c r="J6" s="17">
        <v>43619</v>
      </c>
      <c r="K6" s="18"/>
      <c r="L6" s="18"/>
      <c r="M6" s="14">
        <v>1103.43</v>
      </c>
      <c r="N6" s="14"/>
      <c r="O6" s="136"/>
      <c r="P6" s="115">
        <f t="shared" si="6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6">
        <v>0</v>
      </c>
      <c r="AJ6" s="115">
        <f t="shared" si="0"/>
        <v>3</v>
      </c>
      <c r="AK6" s="17">
        <v>43712</v>
      </c>
      <c r="AL6" s="22">
        <v>704.2</v>
      </c>
      <c r="AM6" s="22"/>
      <c r="AN6" s="232"/>
      <c r="AO6" s="114"/>
      <c r="AP6" s="404"/>
      <c r="AQ6" s="115">
        <f t="shared" si="1"/>
        <v>5</v>
      </c>
      <c r="AR6" s="17">
        <v>43742</v>
      </c>
      <c r="AS6" s="22"/>
      <c r="AT6" s="22"/>
      <c r="AU6" s="232">
        <v>1081.8</v>
      </c>
      <c r="AV6" s="114"/>
      <c r="AW6" s="115">
        <f t="shared" si="2"/>
        <v>1</v>
      </c>
      <c r="AX6" s="17">
        <v>43773</v>
      </c>
      <c r="AY6" s="22"/>
      <c r="AZ6" s="22">
        <v>500.3</v>
      </c>
      <c r="BA6" s="232"/>
      <c r="BB6" s="232"/>
      <c r="BC6" s="86"/>
      <c r="BD6" s="404"/>
    </row>
    <row r="7" spans="1:56" ht="12.6" customHeight="1" x14ac:dyDescent="0.25">
      <c r="A7" s="111"/>
      <c r="B7" s="4">
        <f t="shared" si="4"/>
        <v>6</v>
      </c>
      <c r="C7" s="3">
        <f t="shared" si="7"/>
        <v>43589</v>
      </c>
      <c r="D7" s="5"/>
      <c r="E7" s="5">
        <v>806.9</v>
      </c>
      <c r="F7" s="91"/>
      <c r="G7" s="92"/>
      <c r="H7" s="111"/>
      <c r="I7" s="16">
        <f t="shared" si="5"/>
        <v>2</v>
      </c>
      <c r="J7" s="17">
        <v>43620</v>
      </c>
      <c r="K7" s="18"/>
      <c r="L7" s="18"/>
      <c r="M7" s="14">
        <v>836.05</v>
      </c>
      <c r="N7" s="14"/>
      <c r="O7" s="136"/>
      <c r="P7" s="115">
        <f t="shared" si="6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6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32"/>
      <c r="AO7" s="114"/>
      <c r="AP7" s="404"/>
      <c r="AQ7" s="115">
        <f t="shared" si="1"/>
        <v>6</v>
      </c>
      <c r="AR7" s="17">
        <v>43743</v>
      </c>
      <c r="AS7" s="22">
        <v>508.37</v>
      </c>
      <c r="AT7" s="22"/>
      <c r="AU7" s="232"/>
      <c r="AV7" s="114"/>
      <c r="AW7" s="115">
        <f t="shared" si="2"/>
        <v>2</v>
      </c>
      <c r="AX7" s="17">
        <v>43774</v>
      </c>
      <c r="AY7" s="22"/>
      <c r="AZ7" s="22">
        <v>718.6</v>
      </c>
      <c r="BA7" s="232"/>
      <c r="BB7" s="232"/>
      <c r="BC7" s="86"/>
      <c r="BD7" s="404"/>
    </row>
    <row r="8" spans="1:56" ht="12.6" customHeight="1" x14ac:dyDescent="0.25">
      <c r="A8" s="111"/>
      <c r="B8" s="4">
        <f t="shared" si="4"/>
        <v>7</v>
      </c>
      <c r="C8" s="3">
        <f t="shared" si="7"/>
        <v>43590</v>
      </c>
      <c r="D8" s="5">
        <v>1118.1500000000001</v>
      </c>
      <c r="E8" s="5"/>
      <c r="F8" s="91"/>
      <c r="G8" s="92"/>
      <c r="H8" s="111"/>
      <c r="I8" s="16">
        <f t="shared" si="5"/>
        <v>3</v>
      </c>
      <c r="J8" s="17">
        <v>43621</v>
      </c>
      <c r="K8" s="18"/>
      <c r="L8" s="18">
        <v>885.4</v>
      </c>
      <c r="M8" s="14"/>
      <c r="N8" s="14"/>
      <c r="O8" s="136"/>
      <c r="P8" s="115">
        <f t="shared" si="6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6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32"/>
      <c r="AO8" s="114"/>
      <c r="AP8" s="404"/>
      <c r="AQ8" s="115">
        <f t="shared" si="1"/>
        <v>7</v>
      </c>
      <c r="AR8" s="17">
        <v>43744</v>
      </c>
      <c r="AS8" s="22"/>
      <c r="AT8" s="22">
        <v>755.5</v>
      </c>
      <c r="AU8" s="232"/>
      <c r="AV8" s="114"/>
      <c r="AW8" s="115">
        <f t="shared" si="2"/>
        <v>3</v>
      </c>
      <c r="AX8" s="17">
        <v>43775</v>
      </c>
      <c r="AY8" s="22">
        <v>641.70000000000005</v>
      </c>
      <c r="AZ8" s="22"/>
      <c r="BA8" s="232"/>
      <c r="BB8" s="232"/>
      <c r="BC8" s="86"/>
      <c r="BD8" s="404"/>
    </row>
    <row r="9" spans="1:56" ht="12.6" customHeight="1" x14ac:dyDescent="0.25">
      <c r="A9" s="111"/>
      <c r="B9" s="4">
        <f t="shared" si="4"/>
        <v>1</v>
      </c>
      <c r="C9" s="3">
        <f t="shared" si="7"/>
        <v>43591</v>
      </c>
      <c r="D9" s="5">
        <v>595.54999999999995</v>
      </c>
      <c r="E9" s="5"/>
      <c r="F9" s="91"/>
      <c r="G9" s="92"/>
      <c r="H9" s="111"/>
      <c r="I9" s="16">
        <f t="shared" si="5"/>
        <v>4</v>
      </c>
      <c r="J9" s="17">
        <v>43622</v>
      </c>
      <c r="K9" s="18"/>
      <c r="L9" s="18">
        <v>877.7</v>
      </c>
      <c r="M9" s="14"/>
      <c r="N9" s="14"/>
      <c r="O9" s="136"/>
      <c r="P9" s="115">
        <f t="shared" si="6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6">
        <v>0</v>
      </c>
      <c r="AJ9" s="115">
        <f t="shared" si="0"/>
        <v>6</v>
      </c>
      <c r="AK9" s="17">
        <v>43715</v>
      </c>
      <c r="AL9" s="22">
        <v>513.85</v>
      </c>
      <c r="AM9" s="22"/>
      <c r="AN9" s="232"/>
      <c r="AO9" s="114"/>
      <c r="AP9" s="404"/>
      <c r="AQ9" s="115">
        <f t="shared" si="1"/>
        <v>1</v>
      </c>
      <c r="AR9" s="17">
        <v>43745</v>
      </c>
      <c r="AS9" s="22">
        <v>706.15</v>
      </c>
      <c r="AT9" s="22"/>
      <c r="AU9" s="232"/>
      <c r="AV9" s="627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32"/>
      <c r="BB9" s="232"/>
      <c r="BC9" s="86"/>
      <c r="BD9" s="630"/>
    </row>
    <row r="10" spans="1:56" ht="12.6" customHeight="1" x14ac:dyDescent="0.25">
      <c r="A10" s="111"/>
      <c r="B10" s="4">
        <f t="shared" si="4"/>
        <v>2</v>
      </c>
      <c r="C10" s="3">
        <f t="shared" si="7"/>
        <v>43592</v>
      </c>
      <c r="D10" s="5"/>
      <c r="E10" s="5">
        <v>705.4</v>
      </c>
      <c r="F10" s="91"/>
      <c r="G10" s="92"/>
      <c r="H10" s="111"/>
      <c r="I10" s="16">
        <f t="shared" si="5"/>
        <v>5</v>
      </c>
      <c r="J10" s="17">
        <v>43623</v>
      </c>
      <c r="K10" s="18"/>
      <c r="L10" s="18"/>
      <c r="M10" s="14">
        <v>982</v>
      </c>
      <c r="N10" s="14"/>
      <c r="O10" s="136"/>
      <c r="P10" s="115">
        <f t="shared" si="6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6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32"/>
      <c r="AO10" s="76"/>
      <c r="AP10" s="407"/>
      <c r="AQ10" s="115">
        <f t="shared" si="1"/>
        <v>2</v>
      </c>
      <c r="AR10" s="17">
        <v>43746</v>
      </c>
      <c r="AS10" s="22"/>
      <c r="AT10" s="22">
        <v>598.9</v>
      </c>
      <c r="AU10" s="232"/>
      <c r="AV10" s="669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32"/>
      <c r="BB10" s="232"/>
      <c r="BC10" s="18"/>
      <c r="BD10" s="407"/>
    </row>
    <row r="11" spans="1:56" ht="12.6" customHeight="1" x14ac:dyDescent="0.25">
      <c r="A11" s="111"/>
      <c r="B11" s="4">
        <f t="shared" si="4"/>
        <v>3</v>
      </c>
      <c r="C11" s="3">
        <f t="shared" si="7"/>
        <v>43593</v>
      </c>
      <c r="D11" s="5"/>
      <c r="E11" s="5">
        <v>1107</v>
      </c>
      <c r="F11" s="91"/>
      <c r="G11" s="92"/>
      <c r="H11" s="111"/>
      <c r="I11" s="16">
        <f t="shared" si="5"/>
        <v>6</v>
      </c>
      <c r="J11" s="17">
        <v>43624</v>
      </c>
      <c r="K11" s="18"/>
      <c r="L11" s="18">
        <v>598.65</v>
      </c>
      <c r="M11" s="14"/>
      <c r="N11" s="14"/>
      <c r="O11" s="137"/>
      <c r="P11" s="115">
        <f t="shared" si="6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671" t="s">
        <v>135</v>
      </c>
      <c r="AM11" s="22">
        <v>688.5</v>
      </c>
      <c r="AN11" s="233"/>
      <c r="AO11" s="20"/>
      <c r="AP11" s="405"/>
      <c r="AQ11" s="115">
        <f t="shared" si="1"/>
        <v>3</v>
      </c>
      <c r="AR11" s="17">
        <v>43747</v>
      </c>
      <c r="AS11" s="243"/>
      <c r="AT11" s="22">
        <v>468.8</v>
      </c>
      <c r="AU11" s="233"/>
      <c r="AV11" s="669"/>
      <c r="AW11" s="115">
        <f t="shared" si="2"/>
        <v>6</v>
      </c>
      <c r="AX11" s="17">
        <v>43778</v>
      </c>
      <c r="AY11" s="22">
        <v>1019.6</v>
      </c>
      <c r="AZ11" s="22"/>
      <c r="BA11" s="232"/>
      <c r="BB11" s="232"/>
      <c r="BC11" s="448"/>
      <c r="BD11" s="631"/>
    </row>
    <row r="12" spans="1:56" ht="12.6" customHeight="1" x14ac:dyDescent="0.25">
      <c r="A12" s="111"/>
      <c r="B12" s="4">
        <f t="shared" si="4"/>
        <v>4</v>
      </c>
      <c r="C12" s="3">
        <f t="shared" si="7"/>
        <v>43594</v>
      </c>
      <c r="D12" s="5">
        <v>565.23</v>
      </c>
      <c r="E12" s="5"/>
      <c r="F12" s="91"/>
      <c r="G12" s="92"/>
      <c r="H12" s="111"/>
      <c r="I12" s="16">
        <f t="shared" si="5"/>
        <v>7</v>
      </c>
      <c r="J12" s="17">
        <v>43625</v>
      </c>
      <c r="K12" s="18"/>
      <c r="L12" s="18">
        <v>625.45000000000005</v>
      </c>
      <c r="M12" s="14"/>
      <c r="N12" s="19"/>
      <c r="O12" s="138"/>
      <c r="P12" s="115">
        <f t="shared" si="6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8">
        <v>0.5</v>
      </c>
      <c r="AJ12" s="115">
        <f t="shared" si="0"/>
        <v>2</v>
      </c>
      <c r="AK12" s="17">
        <v>43718</v>
      </c>
      <c r="AL12" s="672"/>
      <c r="AM12" s="23">
        <v>487.05</v>
      </c>
      <c r="AN12" s="239">
        <v>631.9</v>
      </c>
      <c r="AO12" s="406" t="s">
        <v>147</v>
      </c>
      <c r="AP12" s="668" t="s">
        <v>140</v>
      </c>
      <c r="AQ12" s="115">
        <f t="shared" si="1"/>
        <v>4</v>
      </c>
      <c r="AR12" s="17">
        <v>43748</v>
      </c>
      <c r="AS12" s="243">
        <v>905</v>
      </c>
      <c r="AT12" s="22"/>
      <c r="AU12" s="232"/>
      <c r="AV12" s="669"/>
      <c r="AW12" s="115">
        <f t="shared" si="2"/>
        <v>7</v>
      </c>
      <c r="AX12" s="17">
        <v>43779</v>
      </c>
      <c r="AY12" s="22"/>
      <c r="AZ12" s="22">
        <v>1157.6500000000001</v>
      </c>
      <c r="BA12" s="232"/>
      <c r="BB12" s="232"/>
      <c r="BC12" s="232"/>
      <c r="BD12" s="410"/>
    </row>
    <row r="13" spans="1:56" ht="12.6" customHeight="1" x14ac:dyDescent="0.25">
      <c r="A13" s="111"/>
      <c r="B13" s="4">
        <f t="shared" si="4"/>
        <v>5</v>
      </c>
      <c r="C13" s="3">
        <f t="shared" si="7"/>
        <v>43595</v>
      </c>
      <c r="D13" s="5">
        <v>1299.7</v>
      </c>
      <c r="E13" s="5"/>
      <c r="F13" s="91"/>
      <c r="G13" s="92"/>
      <c r="H13" s="111"/>
      <c r="I13" s="16">
        <f t="shared" si="5"/>
        <v>1</v>
      </c>
      <c r="J13" s="17">
        <v>43626</v>
      </c>
      <c r="K13" s="18"/>
      <c r="L13" s="18"/>
      <c r="M13" s="14">
        <f>779.1+180</f>
        <v>959.1</v>
      </c>
      <c r="N13" s="14"/>
      <c r="O13" s="139"/>
      <c r="P13" s="115">
        <f t="shared" si="6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9">
        <v>0</v>
      </c>
      <c r="AJ13" s="115">
        <f t="shared" si="0"/>
        <v>3</v>
      </c>
      <c r="AK13" s="17">
        <v>43719</v>
      </c>
      <c r="AL13" s="672"/>
      <c r="AM13" s="22"/>
      <c r="AN13" s="232">
        <v>659.8</v>
      </c>
      <c r="AO13" s="117"/>
      <c r="AP13" s="668"/>
      <c r="AQ13" s="115">
        <f t="shared" si="1"/>
        <v>5</v>
      </c>
      <c r="AR13" s="17">
        <v>43749</v>
      </c>
      <c r="AS13" s="243"/>
      <c r="AT13" s="22">
        <v>737.6</v>
      </c>
      <c r="AU13" s="232" t="s">
        <v>153</v>
      </c>
      <c r="AV13" s="408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32"/>
      <c r="BB13" s="232"/>
      <c r="BC13" s="232"/>
      <c r="BD13" s="632"/>
    </row>
    <row r="14" spans="1:56" ht="12.6" customHeight="1" x14ac:dyDescent="0.25">
      <c r="A14" s="111"/>
      <c r="B14" s="4">
        <f t="shared" si="4"/>
        <v>6</v>
      </c>
      <c r="C14" s="3">
        <f t="shared" si="7"/>
        <v>43596</v>
      </c>
      <c r="D14" s="5">
        <v>1128.3599999999999</v>
      </c>
      <c r="E14" s="5"/>
      <c r="F14" s="91"/>
      <c r="G14" s="92"/>
      <c r="H14" s="111"/>
      <c r="I14" s="16">
        <f t="shared" si="5"/>
        <v>2</v>
      </c>
      <c r="J14" s="17">
        <v>43627</v>
      </c>
      <c r="K14" s="18">
        <v>994.7</v>
      </c>
      <c r="L14" s="18"/>
      <c r="M14" s="14"/>
      <c r="N14" s="14"/>
      <c r="O14" s="139"/>
      <c r="P14" s="115">
        <f t="shared" si="6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9">
        <v>56</v>
      </c>
      <c r="AJ14" s="115">
        <f t="shared" si="0"/>
        <v>4</v>
      </c>
      <c r="AK14" s="17">
        <v>43720</v>
      </c>
      <c r="AL14" s="672"/>
      <c r="AM14" s="22">
        <v>1118.5999999999999</v>
      </c>
      <c r="AN14" s="232"/>
      <c r="AO14" s="117"/>
      <c r="AP14" s="141"/>
      <c r="AQ14" s="115">
        <f t="shared" si="1"/>
        <v>6</v>
      </c>
      <c r="AR14" s="17">
        <v>43750</v>
      </c>
      <c r="AS14" s="22"/>
      <c r="AT14" s="22"/>
      <c r="AU14" s="232">
        <v>879.06</v>
      </c>
      <c r="AV14" s="117"/>
      <c r="AW14" s="115">
        <f t="shared" si="2"/>
        <v>2</v>
      </c>
      <c r="AX14" s="17">
        <v>43781</v>
      </c>
      <c r="AY14" s="22">
        <v>544</v>
      </c>
      <c r="AZ14" s="22"/>
      <c r="BA14" s="232"/>
      <c r="BB14" s="232"/>
      <c r="BC14" s="232"/>
      <c r="BD14" s="632"/>
    </row>
    <row r="15" spans="1:56" ht="12.6" customHeight="1" x14ac:dyDescent="0.25">
      <c r="A15" s="111"/>
      <c r="B15" s="4">
        <f t="shared" si="4"/>
        <v>7</v>
      </c>
      <c r="C15" s="3">
        <f t="shared" si="7"/>
        <v>43597</v>
      </c>
      <c r="D15" s="5"/>
      <c r="E15" s="5">
        <v>969.9</v>
      </c>
      <c r="F15" s="91"/>
      <c r="G15" s="92"/>
      <c r="H15" s="111"/>
      <c r="I15" s="16">
        <f t="shared" si="5"/>
        <v>3</v>
      </c>
      <c r="J15" s="17">
        <v>43628</v>
      </c>
      <c r="K15" s="18"/>
      <c r="L15" s="18">
        <v>1063.4000000000001</v>
      </c>
      <c r="M15" s="14"/>
      <c r="N15" s="14"/>
      <c r="O15" s="139"/>
      <c r="P15" s="115">
        <f t="shared" si="6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9">
        <v>0</v>
      </c>
      <c r="AJ15" s="115">
        <f t="shared" si="0"/>
        <v>5</v>
      </c>
      <c r="AK15" s="17">
        <v>43721</v>
      </c>
      <c r="AL15" s="672"/>
      <c r="AM15" s="22">
        <v>1249.4000000000001</v>
      </c>
      <c r="AN15" s="232"/>
      <c r="AO15" s="117"/>
      <c r="AP15" s="141"/>
      <c r="AQ15" s="115">
        <f t="shared" si="1"/>
        <v>7</v>
      </c>
      <c r="AR15" s="17">
        <v>43751</v>
      </c>
      <c r="AS15" s="22">
        <v>836.4</v>
      </c>
      <c r="AT15" s="22"/>
      <c r="AU15" s="232"/>
      <c r="AV15" s="76"/>
      <c r="AW15" s="115">
        <f t="shared" si="2"/>
        <v>3</v>
      </c>
      <c r="AX15" s="17">
        <v>43782</v>
      </c>
      <c r="AY15" s="22"/>
      <c r="AZ15" s="22"/>
      <c r="BA15" s="239">
        <v>979.4</v>
      </c>
      <c r="BB15" s="232"/>
      <c r="BC15" s="232"/>
      <c r="BD15" s="632"/>
    </row>
    <row r="16" spans="1:56" ht="12.6" customHeight="1" x14ac:dyDescent="0.25">
      <c r="A16" s="111"/>
      <c r="B16" s="4">
        <f t="shared" si="4"/>
        <v>1</v>
      </c>
      <c r="C16" s="3">
        <f t="shared" si="7"/>
        <v>43598</v>
      </c>
      <c r="D16" s="5"/>
      <c r="E16" s="5">
        <v>565.20000000000005</v>
      </c>
      <c r="F16" s="91"/>
      <c r="G16" s="92"/>
      <c r="H16" s="111"/>
      <c r="I16" s="16">
        <f t="shared" si="5"/>
        <v>4</v>
      </c>
      <c r="J16" s="17">
        <v>43629</v>
      </c>
      <c r="K16" s="18"/>
      <c r="L16" s="18">
        <v>699.7</v>
      </c>
      <c r="M16" s="14"/>
      <c r="N16" s="14"/>
      <c r="O16" s="237"/>
      <c r="P16" s="115">
        <f t="shared" si="6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9">
        <v>0</v>
      </c>
      <c r="AJ16" s="115">
        <f t="shared" si="0"/>
        <v>6</v>
      </c>
      <c r="AK16" s="17">
        <v>43722</v>
      </c>
      <c r="AL16" s="672"/>
      <c r="AM16" s="22"/>
      <c r="AN16" s="232">
        <v>1926.62</v>
      </c>
      <c r="AO16" s="117"/>
      <c r="AP16" s="141"/>
      <c r="AQ16" s="115">
        <f t="shared" si="1"/>
        <v>1</v>
      </c>
      <c r="AR16" s="17">
        <v>43752</v>
      </c>
      <c r="AS16" s="243">
        <v>928.7</v>
      </c>
      <c r="AT16" s="22"/>
      <c r="AU16" s="232"/>
      <c r="AV16" s="117"/>
      <c r="AW16" s="115">
        <f t="shared" si="2"/>
        <v>4</v>
      </c>
      <c r="AX16" s="17">
        <v>43783</v>
      </c>
      <c r="AY16" s="22"/>
      <c r="AZ16" s="22">
        <v>154.69999999999999</v>
      </c>
      <c r="BA16" s="239">
        <v>209</v>
      </c>
      <c r="BB16" s="232"/>
      <c r="BC16" s="14"/>
      <c r="BD16" s="141"/>
    </row>
    <row r="17" spans="1:56" ht="12.6" customHeight="1" x14ac:dyDescent="0.25">
      <c r="A17" s="111"/>
      <c r="B17" s="4">
        <f t="shared" si="4"/>
        <v>2</v>
      </c>
      <c r="C17" s="3">
        <f t="shared" si="7"/>
        <v>43599</v>
      </c>
      <c r="D17" s="5">
        <v>875.95</v>
      </c>
      <c r="E17" s="5"/>
      <c r="F17" s="91"/>
      <c r="G17" s="92"/>
      <c r="H17" s="111"/>
      <c r="I17" s="16">
        <f t="shared" si="5"/>
        <v>5</v>
      </c>
      <c r="J17" s="17">
        <v>43630</v>
      </c>
      <c r="K17" s="22">
        <v>1139.6400000000001</v>
      </c>
      <c r="L17" s="18"/>
      <c r="M17" s="14"/>
      <c r="N17" s="14"/>
      <c r="O17" s="237"/>
      <c r="P17" s="115">
        <f t="shared" si="6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9">
        <v>56.6</v>
      </c>
      <c r="AJ17" s="115">
        <f t="shared" si="0"/>
        <v>7</v>
      </c>
      <c r="AK17" s="17">
        <v>43723</v>
      </c>
      <c r="AL17" s="672"/>
      <c r="AM17" s="22">
        <v>1746.15</v>
      </c>
      <c r="AN17" s="232"/>
      <c r="AO17" s="117"/>
      <c r="AP17" s="141">
        <f>SUM(AL3:AM10)</f>
        <v>6371.05</v>
      </c>
      <c r="AQ17" s="115">
        <f t="shared" si="1"/>
        <v>2</v>
      </c>
      <c r="AR17" s="17">
        <v>43753</v>
      </c>
      <c r="AS17" s="285">
        <v>1671.24</v>
      </c>
      <c r="AT17" s="22"/>
      <c r="AU17" s="232"/>
      <c r="AV17" s="117"/>
      <c r="AW17" s="115">
        <f t="shared" si="2"/>
        <v>5</v>
      </c>
      <c r="AX17" s="17">
        <v>43784</v>
      </c>
      <c r="AY17" s="22"/>
      <c r="AZ17" s="22">
        <v>1332.44</v>
      </c>
      <c r="BA17" s="232"/>
      <c r="BB17" s="232"/>
      <c r="BC17" s="14"/>
      <c r="BD17" s="141"/>
    </row>
    <row r="18" spans="1:56" ht="12.6" customHeight="1" x14ac:dyDescent="0.25">
      <c r="A18" s="111"/>
      <c r="B18" s="4">
        <f t="shared" si="4"/>
        <v>3</v>
      </c>
      <c r="C18" s="3">
        <f t="shared" si="7"/>
        <v>43600</v>
      </c>
      <c r="D18" s="5"/>
      <c r="E18" s="5">
        <v>1876</v>
      </c>
      <c r="F18" s="91"/>
      <c r="G18" s="92"/>
      <c r="H18" s="111"/>
      <c r="I18" s="16">
        <f t="shared" si="5"/>
        <v>6</v>
      </c>
      <c r="J18" s="17">
        <v>43631</v>
      </c>
      <c r="K18" s="18">
        <v>1711.7</v>
      </c>
      <c r="L18" s="18"/>
      <c r="M18" s="14"/>
      <c r="N18" s="14"/>
      <c r="O18" s="139"/>
      <c r="P18" s="115">
        <f t="shared" si="6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9">
        <v>0</v>
      </c>
      <c r="AJ18" s="115">
        <f t="shared" si="0"/>
        <v>1</v>
      </c>
      <c r="AK18" s="17">
        <v>43724</v>
      </c>
      <c r="AL18" s="672"/>
      <c r="AM18" s="22">
        <v>1271.2</v>
      </c>
      <c r="AN18" s="232"/>
      <c r="AO18" s="117"/>
      <c r="AP18" s="141">
        <f>SUM(AM11:AN18)</f>
        <v>9779.2200000000012</v>
      </c>
      <c r="AQ18" s="115">
        <f t="shared" si="1"/>
        <v>3</v>
      </c>
      <c r="AR18" s="17">
        <v>43754</v>
      </c>
      <c r="AS18" s="243"/>
      <c r="AT18" s="22">
        <v>776.7</v>
      </c>
      <c r="AU18" s="232"/>
      <c r="AV18" s="117"/>
      <c r="AW18" s="115">
        <f t="shared" si="2"/>
        <v>6</v>
      </c>
      <c r="AX18" s="17">
        <v>43785</v>
      </c>
      <c r="AY18" s="22">
        <v>1101.3499999999999</v>
      </c>
      <c r="AZ18" s="22"/>
      <c r="BA18" s="232"/>
      <c r="BB18" s="232"/>
      <c r="BC18" s="14"/>
      <c r="BD18" s="141"/>
    </row>
    <row r="19" spans="1:56" ht="12.6" customHeight="1" x14ac:dyDescent="0.25">
      <c r="A19" s="111"/>
      <c r="B19" s="4">
        <f t="shared" si="4"/>
        <v>4</v>
      </c>
      <c r="C19" s="3">
        <f t="shared" si="7"/>
        <v>43601</v>
      </c>
      <c r="D19" s="5"/>
      <c r="E19" s="5">
        <v>1387.6</v>
      </c>
      <c r="F19" s="91"/>
      <c r="G19" s="92"/>
      <c r="H19" s="111"/>
      <c r="I19" s="16">
        <f t="shared" si="5"/>
        <v>7</v>
      </c>
      <c r="J19" s="17">
        <v>43632</v>
      </c>
      <c r="K19" s="18">
        <v>994.29</v>
      </c>
      <c r="L19" s="18"/>
      <c r="M19" s="14"/>
      <c r="N19" s="14"/>
      <c r="O19" s="139"/>
      <c r="P19" s="115">
        <f t="shared" si="6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9">
        <v>75.900000000000006</v>
      </c>
      <c r="AJ19" s="115">
        <f t="shared" si="0"/>
        <v>2</v>
      </c>
      <c r="AK19" s="17">
        <v>43725</v>
      </c>
      <c r="AL19" s="672"/>
      <c r="AM19" s="22">
        <v>1298.31</v>
      </c>
      <c r="AN19" s="232"/>
      <c r="AO19" s="117"/>
      <c r="AP19" s="141">
        <f>AP18+AP17</f>
        <v>16150.27</v>
      </c>
      <c r="AQ19" s="115">
        <f t="shared" si="1"/>
        <v>4</v>
      </c>
      <c r="AR19" s="17">
        <v>43755</v>
      </c>
      <c r="AS19" s="243"/>
      <c r="AT19" s="22">
        <v>1366.5</v>
      </c>
      <c r="AU19" s="232"/>
      <c r="AV19" s="670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32"/>
      <c r="BB19" s="232"/>
      <c r="BC19" s="14"/>
      <c r="BD19" s="141"/>
    </row>
    <row r="20" spans="1:56" ht="12.6" customHeight="1" x14ac:dyDescent="0.25">
      <c r="A20" s="111"/>
      <c r="B20" s="4">
        <f t="shared" si="4"/>
        <v>5</v>
      </c>
      <c r="C20" s="3">
        <f t="shared" si="7"/>
        <v>43602</v>
      </c>
      <c r="D20" s="5">
        <v>1419.21</v>
      </c>
      <c r="E20" s="5"/>
      <c r="F20" s="91"/>
      <c r="G20" s="92"/>
      <c r="H20" s="111"/>
      <c r="I20" s="16">
        <f t="shared" si="5"/>
        <v>1</v>
      </c>
      <c r="J20" s="17">
        <v>43633</v>
      </c>
      <c r="K20" s="18"/>
      <c r="L20" s="18">
        <v>1970.3</v>
      </c>
      <c r="M20" s="14"/>
      <c r="N20" s="14"/>
      <c r="O20" s="139"/>
      <c r="P20" s="115">
        <f t="shared" si="6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9">
        <v>8</v>
      </c>
      <c r="AJ20" s="115">
        <f t="shared" si="0"/>
        <v>3</v>
      </c>
      <c r="AK20" s="17">
        <v>43726</v>
      </c>
      <c r="AL20" s="672"/>
      <c r="AM20" s="22"/>
      <c r="AN20" s="22">
        <v>1026.1400000000001</v>
      </c>
      <c r="AO20" s="117"/>
      <c r="AP20" s="141"/>
      <c r="AQ20" s="115">
        <f t="shared" si="1"/>
        <v>5</v>
      </c>
      <c r="AR20" s="17">
        <v>43756</v>
      </c>
      <c r="AS20" s="243"/>
      <c r="AT20" s="22"/>
      <c r="AU20" s="22">
        <v>1412.13</v>
      </c>
      <c r="AV20" s="670"/>
      <c r="AW20" s="115">
        <f t="shared" si="2"/>
        <v>1</v>
      </c>
      <c r="AX20" s="17">
        <v>43787</v>
      </c>
      <c r="AY20" s="22"/>
      <c r="AZ20" s="22">
        <v>1409.25</v>
      </c>
      <c r="BA20" s="232"/>
      <c r="BB20" s="232"/>
      <c r="BC20" s="14"/>
      <c r="BD20" s="141"/>
    </row>
    <row r="21" spans="1:56" ht="12.6" customHeight="1" x14ac:dyDescent="0.25">
      <c r="A21" s="111"/>
      <c r="B21" s="4">
        <f t="shared" si="4"/>
        <v>6</v>
      </c>
      <c r="C21" s="3">
        <f t="shared" si="7"/>
        <v>43603</v>
      </c>
      <c r="D21" s="5">
        <v>1242.0899999999999</v>
      </c>
      <c r="E21" s="5"/>
      <c r="F21" s="91"/>
      <c r="G21" s="92"/>
      <c r="H21" s="111"/>
      <c r="I21" s="16">
        <f t="shared" si="5"/>
        <v>2</v>
      </c>
      <c r="J21" s="17">
        <v>43634</v>
      </c>
      <c r="K21" s="18"/>
      <c r="L21" s="18">
        <v>1280</v>
      </c>
      <c r="M21" s="14"/>
      <c r="N21" s="14"/>
      <c r="O21" s="139"/>
      <c r="P21" s="115">
        <f t="shared" si="6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9">
        <v>135</v>
      </c>
      <c r="AJ21" s="115">
        <f t="shared" si="0"/>
        <v>4</v>
      </c>
      <c r="AK21" s="17">
        <v>43727</v>
      </c>
      <c r="AL21" s="672"/>
      <c r="AM21" s="22"/>
      <c r="AN21" s="232">
        <v>543.4</v>
      </c>
      <c r="AO21" s="76"/>
      <c r="AP21" s="141"/>
      <c r="AQ21" s="115">
        <f t="shared" si="1"/>
        <v>6</v>
      </c>
      <c r="AR21" s="17">
        <v>43757</v>
      </c>
      <c r="AS21" s="22"/>
      <c r="AT21" s="22">
        <v>983.85</v>
      </c>
      <c r="AU21" s="232"/>
      <c r="AV21" s="670"/>
      <c r="AW21" s="115">
        <f t="shared" si="2"/>
        <v>2</v>
      </c>
      <c r="AX21" s="17">
        <v>43788</v>
      </c>
      <c r="AY21" s="22"/>
      <c r="AZ21" s="22">
        <v>838.9</v>
      </c>
      <c r="BA21" s="232"/>
      <c r="BB21" s="232"/>
      <c r="BC21" s="18"/>
      <c r="BD21" s="141"/>
    </row>
    <row r="22" spans="1:56" ht="12.6" customHeight="1" x14ac:dyDescent="0.25">
      <c r="A22" s="111"/>
      <c r="B22" s="4">
        <f t="shared" si="4"/>
        <v>7</v>
      </c>
      <c r="C22" s="3">
        <f t="shared" si="7"/>
        <v>43604</v>
      </c>
      <c r="D22" s="5"/>
      <c r="E22" s="5">
        <v>1440.1</v>
      </c>
      <c r="F22" s="91"/>
      <c r="G22" s="92"/>
      <c r="H22" s="150"/>
      <c r="I22" s="16">
        <f t="shared" si="5"/>
        <v>3</v>
      </c>
      <c r="J22" s="17">
        <v>43635</v>
      </c>
      <c r="K22" s="22">
        <v>1357.53</v>
      </c>
      <c r="L22" s="22"/>
      <c r="M22" s="14"/>
      <c r="N22" s="14"/>
      <c r="O22" s="458"/>
      <c r="P22" s="115">
        <f t="shared" si="6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7">
        <v>0</v>
      </c>
      <c r="AJ22" s="115">
        <f t="shared" si="0"/>
        <v>5</v>
      </c>
      <c r="AK22" s="17">
        <v>43728</v>
      </c>
      <c r="AL22" s="672"/>
      <c r="AM22" s="22">
        <v>1251.95</v>
      </c>
      <c r="AN22" s="232"/>
      <c r="AO22" s="117"/>
      <c r="AP22" s="141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32"/>
      <c r="AV22" s="670"/>
      <c r="AW22" s="115">
        <f t="shared" si="2"/>
        <v>3</v>
      </c>
      <c r="AX22" s="17">
        <v>43789</v>
      </c>
      <c r="AY22" s="22">
        <v>788</v>
      </c>
      <c r="AZ22" s="22"/>
      <c r="BA22" s="232"/>
      <c r="BB22" s="232"/>
      <c r="BC22" s="14"/>
      <c r="BD22" s="141"/>
    </row>
    <row r="23" spans="1:56" ht="12.6" customHeight="1" x14ac:dyDescent="0.25">
      <c r="A23" s="111"/>
      <c r="B23" s="4">
        <f t="shared" si="4"/>
        <v>1</v>
      </c>
      <c r="C23" s="3">
        <f t="shared" si="7"/>
        <v>43605</v>
      </c>
      <c r="D23" s="5"/>
      <c r="E23" s="5">
        <v>1466.2</v>
      </c>
      <c r="F23" s="91"/>
      <c r="G23" s="92"/>
      <c r="H23" s="111"/>
      <c r="I23" s="16">
        <f t="shared" si="5"/>
        <v>4</v>
      </c>
      <c r="J23" s="17">
        <v>43636</v>
      </c>
      <c r="K23" s="22">
        <v>1199.25</v>
      </c>
      <c r="L23" s="22"/>
      <c r="M23" s="14"/>
      <c r="N23" s="14"/>
      <c r="O23" s="139"/>
      <c r="P23" s="115">
        <f t="shared" si="6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9">
        <v>31</v>
      </c>
      <c r="AJ23" s="115">
        <f t="shared" si="0"/>
        <v>6</v>
      </c>
      <c r="AK23" s="17">
        <v>43729</v>
      </c>
      <c r="AL23" s="672"/>
      <c r="AM23" s="22">
        <v>1206.8</v>
      </c>
      <c r="AN23" s="232"/>
      <c r="AO23" s="117"/>
      <c r="AP23" s="141"/>
      <c r="AQ23" s="115">
        <f t="shared" si="1"/>
        <v>1</v>
      </c>
      <c r="AR23" s="17">
        <v>43759</v>
      </c>
      <c r="AS23" s="243">
        <v>1023.1</v>
      </c>
      <c r="AT23" s="22"/>
      <c r="AU23" s="232"/>
      <c r="AV23" s="670"/>
      <c r="AW23" s="115">
        <f t="shared" si="2"/>
        <v>4</v>
      </c>
      <c r="AX23" s="17">
        <v>43790</v>
      </c>
      <c r="AY23" s="22">
        <f>1000+432</f>
        <v>1432</v>
      </c>
      <c r="AZ23" s="22"/>
      <c r="BA23" s="232">
        <v>597.5</v>
      </c>
      <c r="BB23" s="606"/>
      <c r="BC23" s="14"/>
      <c r="BD23" s="141"/>
    </row>
    <row r="24" spans="1:56" ht="12.6" customHeight="1" x14ac:dyDescent="0.25">
      <c r="A24" s="111"/>
      <c r="B24" s="4">
        <f t="shared" si="4"/>
        <v>2</v>
      </c>
      <c r="C24" s="3">
        <f t="shared" si="7"/>
        <v>43606</v>
      </c>
      <c r="D24" s="5">
        <v>1133.2</v>
      </c>
      <c r="E24" s="5"/>
      <c r="F24" s="91"/>
      <c r="G24" s="92"/>
      <c r="H24" s="111"/>
      <c r="I24" s="16">
        <f t="shared" si="5"/>
        <v>5</v>
      </c>
      <c r="J24" s="17">
        <v>43637</v>
      </c>
      <c r="K24" s="22"/>
      <c r="L24" s="22">
        <v>1427</v>
      </c>
      <c r="M24" s="14"/>
      <c r="N24" s="14"/>
      <c r="O24" s="139"/>
      <c r="P24" s="115">
        <f t="shared" si="6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9">
        <v>198.6</v>
      </c>
      <c r="AJ24" s="118">
        <f t="shared" si="0"/>
        <v>7</v>
      </c>
      <c r="AK24" s="17">
        <v>43730</v>
      </c>
      <c r="AL24" s="672"/>
      <c r="AM24" s="234">
        <v>1555.3</v>
      </c>
      <c r="AN24" s="235"/>
      <c r="AO24" s="117"/>
      <c r="AP24" s="141"/>
      <c r="AQ24" s="118">
        <f t="shared" si="1"/>
        <v>2</v>
      </c>
      <c r="AR24" s="17">
        <v>43760</v>
      </c>
      <c r="AS24" s="243"/>
      <c r="AT24" s="234">
        <v>1620.9</v>
      </c>
      <c r="AU24" s="235"/>
      <c r="AV24" s="670"/>
      <c r="AW24" s="118">
        <f t="shared" si="2"/>
        <v>5</v>
      </c>
      <c r="AX24" s="17">
        <v>43791</v>
      </c>
      <c r="AY24" s="22"/>
      <c r="AZ24" s="22">
        <v>1130.45</v>
      </c>
      <c r="BA24" s="232"/>
      <c r="BB24" s="232">
        <v>137.49</v>
      </c>
      <c r="BC24" s="14"/>
      <c r="BD24" s="141"/>
    </row>
    <row r="25" spans="1:56" ht="12.6" customHeight="1" x14ac:dyDescent="0.25">
      <c r="A25" s="111"/>
      <c r="B25" s="4">
        <f t="shared" si="4"/>
        <v>3</v>
      </c>
      <c r="C25" s="3">
        <f t="shared" si="7"/>
        <v>43607</v>
      </c>
      <c r="D25" s="5">
        <v>1025.9000000000001</v>
      </c>
      <c r="E25" s="5"/>
      <c r="F25" s="91"/>
      <c r="G25" s="92"/>
      <c r="H25" s="111"/>
      <c r="I25" s="16">
        <f t="shared" si="5"/>
        <v>6</v>
      </c>
      <c r="J25" s="17">
        <v>43638</v>
      </c>
      <c r="K25" s="18"/>
      <c r="L25" s="23">
        <v>1282.7</v>
      </c>
      <c r="M25" s="14"/>
      <c r="N25" s="14"/>
      <c r="O25" s="139"/>
      <c r="P25" s="115">
        <f t="shared" si="6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9">
        <v>34.200000000000003</v>
      </c>
      <c r="AJ25" s="115">
        <f t="shared" si="0"/>
        <v>1</v>
      </c>
      <c r="AK25" s="17">
        <v>43731</v>
      </c>
      <c r="AL25" s="275">
        <v>579.22</v>
      </c>
      <c r="AM25" s="276"/>
      <c r="AN25" s="232"/>
      <c r="AO25" s="117"/>
      <c r="AP25" s="407"/>
      <c r="AQ25" s="115">
        <f t="shared" si="1"/>
        <v>3</v>
      </c>
      <c r="AR25" s="17">
        <v>43761</v>
      </c>
      <c r="AS25" s="275"/>
      <c r="AT25" s="276">
        <v>1090</v>
      </c>
      <c r="AU25" s="232"/>
      <c r="AV25" s="670"/>
      <c r="AW25" s="115">
        <f t="shared" si="2"/>
        <v>6</v>
      </c>
      <c r="AX25" s="17">
        <v>43792</v>
      </c>
      <c r="AY25" s="22"/>
      <c r="AZ25" s="22">
        <v>1145.2</v>
      </c>
      <c r="BA25" s="232"/>
      <c r="BB25" s="232">
        <v>202.15</v>
      </c>
      <c r="BC25" s="14"/>
      <c r="BD25" s="141"/>
    </row>
    <row r="26" spans="1:56" ht="12.6" customHeight="1" x14ac:dyDescent="0.25">
      <c r="A26" s="111"/>
      <c r="B26" s="4">
        <f t="shared" si="4"/>
        <v>4</v>
      </c>
      <c r="C26" s="3">
        <f t="shared" si="7"/>
        <v>43608</v>
      </c>
      <c r="D26" s="5"/>
      <c r="E26" s="5">
        <v>925.3</v>
      </c>
      <c r="F26" s="91"/>
      <c r="G26" s="92"/>
      <c r="H26" s="111"/>
      <c r="I26" s="16">
        <f t="shared" si="5"/>
        <v>7</v>
      </c>
      <c r="J26" s="17">
        <v>43639</v>
      </c>
      <c r="K26" s="18">
        <v>956.65</v>
      </c>
      <c r="L26" s="18"/>
      <c r="M26" s="14"/>
      <c r="N26" s="14"/>
      <c r="O26" s="139"/>
      <c r="P26" s="115">
        <f t="shared" si="6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9">
        <v>16.399999999999999</v>
      </c>
      <c r="AJ26" s="115">
        <f t="shared" si="0"/>
        <v>2</v>
      </c>
      <c r="AK26" s="17">
        <v>43732</v>
      </c>
      <c r="AL26" s="275">
        <f>1090.05+5</f>
        <v>1095.05</v>
      </c>
      <c r="AM26" s="276"/>
      <c r="AN26" s="232"/>
      <c r="AO26" s="117"/>
      <c r="AP26" s="141"/>
      <c r="AQ26" s="115">
        <f t="shared" si="1"/>
        <v>4</v>
      </c>
      <c r="AR26" s="17">
        <v>43762</v>
      </c>
      <c r="AS26" s="275"/>
      <c r="AT26" s="276">
        <v>1059.0999999999999</v>
      </c>
      <c r="AU26" s="232"/>
      <c r="AV26" s="117"/>
      <c r="AW26" s="115">
        <f t="shared" si="2"/>
        <v>7</v>
      </c>
      <c r="AX26" s="17">
        <v>43793</v>
      </c>
      <c r="AY26" s="22"/>
      <c r="AZ26" s="22">
        <v>1087</v>
      </c>
      <c r="BA26" s="232"/>
      <c r="BB26" s="232">
        <v>192</v>
      </c>
      <c r="BC26" s="14"/>
      <c r="BD26" s="141"/>
    </row>
    <row r="27" spans="1:56" ht="12.6" customHeight="1" x14ac:dyDescent="0.25">
      <c r="A27" s="111"/>
      <c r="B27" s="4">
        <f t="shared" si="4"/>
        <v>5</v>
      </c>
      <c r="C27" s="3">
        <f t="shared" si="7"/>
        <v>43609</v>
      </c>
      <c r="D27" s="5"/>
      <c r="E27" s="5">
        <v>1083.1500000000001</v>
      </c>
      <c r="F27" s="91"/>
      <c r="G27" s="92"/>
      <c r="H27" s="111"/>
      <c r="I27" s="16">
        <f t="shared" si="5"/>
        <v>1</v>
      </c>
      <c r="J27" s="17">
        <v>43640</v>
      </c>
      <c r="K27" s="18">
        <v>1342.6</v>
      </c>
      <c r="L27" s="18"/>
      <c r="M27" s="14"/>
      <c r="N27" s="14"/>
      <c r="O27" s="139"/>
      <c r="P27" s="115">
        <f t="shared" si="6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9">
        <v>40</v>
      </c>
      <c r="AJ27" s="115">
        <f t="shared" si="0"/>
        <v>3</v>
      </c>
      <c r="AK27" s="17">
        <v>43733</v>
      </c>
      <c r="AL27" s="275"/>
      <c r="AM27" s="276">
        <v>861.9</v>
      </c>
      <c r="AN27" s="232"/>
      <c r="AO27" s="117"/>
      <c r="AP27" s="141"/>
      <c r="AQ27" s="115">
        <f t="shared" si="1"/>
        <v>5</v>
      </c>
      <c r="AR27" s="17">
        <v>43763</v>
      </c>
      <c r="AS27" s="275">
        <v>874.8</v>
      </c>
      <c r="AT27" s="276"/>
      <c r="AU27" s="232"/>
      <c r="AV27" s="117"/>
      <c r="AW27" s="115">
        <f t="shared" si="2"/>
        <v>1</v>
      </c>
      <c r="AX27" s="17">
        <v>43794</v>
      </c>
      <c r="AY27" s="22">
        <v>825.87</v>
      </c>
      <c r="AZ27" s="22"/>
      <c r="BA27" s="232">
        <v>164.6</v>
      </c>
      <c r="BB27" s="606"/>
      <c r="BC27" s="14"/>
      <c r="BD27" s="141"/>
    </row>
    <row r="28" spans="1:56" ht="12.6" customHeight="1" x14ac:dyDescent="0.25">
      <c r="A28" s="111"/>
      <c r="B28" s="4">
        <f t="shared" si="4"/>
        <v>6</v>
      </c>
      <c r="C28" s="3">
        <f t="shared" si="7"/>
        <v>43610</v>
      </c>
      <c r="D28" s="5">
        <v>1197.3499999999999</v>
      </c>
      <c r="E28" s="5"/>
      <c r="F28" s="91"/>
      <c r="G28" s="92"/>
      <c r="H28" s="111"/>
      <c r="I28" s="16">
        <f t="shared" si="5"/>
        <v>2</v>
      </c>
      <c r="J28" s="17">
        <v>43641</v>
      </c>
      <c r="K28" s="18"/>
      <c r="L28" s="18">
        <v>1412.95</v>
      </c>
      <c r="M28" s="14"/>
      <c r="N28" s="14"/>
      <c r="O28" s="139"/>
      <c r="P28" s="115">
        <f t="shared" si="6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9">
        <v>36</v>
      </c>
      <c r="AJ28" s="115">
        <f t="shared" si="0"/>
        <v>4</v>
      </c>
      <c r="AK28" s="17">
        <v>43734</v>
      </c>
      <c r="AL28" s="275"/>
      <c r="AM28" s="276">
        <v>761.1</v>
      </c>
      <c r="AN28" s="22"/>
      <c r="AO28" s="408" t="s">
        <v>144</v>
      </c>
      <c r="AP28" s="141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408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32">
        <v>148.30000000000001</v>
      </c>
      <c r="BB28" s="606"/>
      <c r="BC28" s="232"/>
      <c r="BD28" s="141"/>
    </row>
    <row r="29" spans="1:56" ht="12.6" customHeight="1" x14ac:dyDescent="0.25">
      <c r="A29" s="111"/>
      <c r="B29" s="4">
        <f t="shared" si="4"/>
        <v>7</v>
      </c>
      <c r="C29" s="3">
        <f t="shared" si="7"/>
        <v>43611</v>
      </c>
      <c r="D29" s="5">
        <v>995.48</v>
      </c>
      <c r="E29" s="5"/>
      <c r="F29" s="91"/>
      <c r="G29" s="92"/>
      <c r="H29" s="111"/>
      <c r="I29" s="16">
        <f t="shared" si="5"/>
        <v>3</v>
      </c>
      <c r="J29" s="17">
        <v>43642</v>
      </c>
      <c r="K29" s="18"/>
      <c r="L29" s="18">
        <v>1331.7</v>
      </c>
      <c r="M29" s="14"/>
      <c r="N29" s="14"/>
      <c r="O29" s="139"/>
      <c r="P29" s="115">
        <f t="shared" si="6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9">
        <v>69.5</v>
      </c>
      <c r="AJ29" s="115">
        <f t="shared" si="0"/>
        <v>5</v>
      </c>
      <c r="AK29" s="17">
        <v>43735</v>
      </c>
      <c r="AL29" s="275">
        <v>657.65</v>
      </c>
      <c r="AM29" s="275"/>
      <c r="AN29" s="243"/>
      <c r="AO29" s="409" t="s">
        <v>142</v>
      </c>
      <c r="AP29" s="66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409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32">
        <v>171</v>
      </c>
      <c r="BB29" s="606"/>
      <c r="BC29" s="232"/>
      <c r="BD29" s="141"/>
    </row>
    <row r="30" spans="1:56" ht="12.6" customHeight="1" x14ac:dyDescent="0.25">
      <c r="A30" s="111"/>
      <c r="B30" s="4">
        <f t="shared" si="4"/>
        <v>1</v>
      </c>
      <c r="C30" s="3">
        <f t="shared" si="7"/>
        <v>43612</v>
      </c>
      <c r="D30" s="5"/>
      <c r="E30" s="5">
        <v>1224.3</v>
      </c>
      <c r="F30" s="91"/>
      <c r="G30" s="92"/>
      <c r="H30" s="111"/>
      <c r="I30" s="16">
        <f t="shared" si="5"/>
        <v>4</v>
      </c>
      <c r="J30" s="17">
        <v>43643</v>
      </c>
      <c r="K30" s="18">
        <v>1078.4100000000001</v>
      </c>
      <c r="L30" s="18"/>
      <c r="M30" s="14"/>
      <c r="N30" s="14"/>
      <c r="O30" s="139"/>
      <c r="P30" s="115">
        <f t="shared" si="6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9">
        <v>18</v>
      </c>
      <c r="AJ30" s="115">
        <f t="shared" si="0"/>
        <v>6</v>
      </c>
      <c r="AK30" s="17">
        <v>43736</v>
      </c>
      <c r="AL30" s="276">
        <f>720.9+762.84</f>
        <v>1483.74</v>
      </c>
      <c r="AM30" s="276"/>
      <c r="AN30" s="232"/>
      <c r="AO30" s="117"/>
      <c r="AP30" s="667"/>
      <c r="AQ30" s="115">
        <f t="shared" si="1"/>
        <v>1</v>
      </c>
      <c r="AR30" s="17">
        <v>43766</v>
      </c>
      <c r="AS30" s="276"/>
      <c r="AT30" s="276">
        <v>1136.3</v>
      </c>
      <c r="AU30" s="232"/>
      <c r="AV30" s="117"/>
      <c r="AW30" s="115">
        <f t="shared" si="2"/>
        <v>4</v>
      </c>
      <c r="AX30" s="17">
        <v>43797</v>
      </c>
      <c r="AY30" s="22"/>
      <c r="AZ30" s="22">
        <v>487.5</v>
      </c>
      <c r="BA30" s="232"/>
      <c r="BB30" s="232">
        <v>95</v>
      </c>
      <c r="BC30" s="14"/>
      <c r="BD30" s="141"/>
    </row>
    <row r="31" spans="1:56" ht="12.6" customHeight="1" x14ac:dyDescent="0.25">
      <c r="A31" s="111"/>
      <c r="B31" s="4">
        <f t="shared" si="4"/>
        <v>2</v>
      </c>
      <c r="C31" s="3">
        <f t="shared" si="7"/>
        <v>43613</v>
      </c>
      <c r="D31" s="5"/>
      <c r="E31" s="5">
        <v>1124.4000000000001</v>
      </c>
      <c r="F31" s="91"/>
      <c r="G31" s="92"/>
      <c r="H31" s="111"/>
      <c r="I31" s="16">
        <f t="shared" si="5"/>
        <v>5</v>
      </c>
      <c r="J31" s="17">
        <v>43644</v>
      </c>
      <c r="K31" s="18">
        <v>1478.3</v>
      </c>
      <c r="L31" s="18"/>
      <c r="M31" s="14"/>
      <c r="N31" s="14"/>
      <c r="O31" s="139"/>
      <c r="P31" s="115">
        <f t="shared" si="6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9">
        <v>55.9</v>
      </c>
      <c r="AJ31" s="115">
        <f t="shared" si="0"/>
        <v>7</v>
      </c>
      <c r="AK31" s="17">
        <v>43737</v>
      </c>
      <c r="AL31" s="276"/>
      <c r="AM31" s="276">
        <v>1596.55</v>
      </c>
      <c r="AN31" s="232"/>
      <c r="AO31" s="117"/>
      <c r="AP31" s="667"/>
      <c r="AQ31" s="115">
        <f t="shared" si="1"/>
        <v>2</v>
      </c>
      <c r="AR31" s="17">
        <v>43767</v>
      </c>
      <c r="AS31" s="276">
        <v>830.8</v>
      </c>
      <c r="AT31" s="276"/>
      <c r="AU31" s="232"/>
      <c r="AV31" s="117"/>
      <c r="AW31" s="115">
        <f t="shared" si="2"/>
        <v>5</v>
      </c>
      <c r="AX31" s="17">
        <v>43798</v>
      </c>
      <c r="AY31" s="22">
        <v>1186.0999999999999</v>
      </c>
      <c r="AZ31" s="22"/>
      <c r="BA31" s="232"/>
      <c r="BB31" s="232">
        <v>613.26</v>
      </c>
      <c r="BC31" s="14"/>
      <c r="BD31" s="141"/>
    </row>
    <row r="32" spans="1:56" ht="12.6" customHeight="1" x14ac:dyDescent="0.25">
      <c r="A32" s="111"/>
      <c r="B32" s="4">
        <f t="shared" si="4"/>
        <v>3</v>
      </c>
      <c r="C32" s="3">
        <f t="shared" si="7"/>
        <v>43614</v>
      </c>
      <c r="D32" s="5">
        <v>927</v>
      </c>
      <c r="E32" s="5"/>
      <c r="F32" s="91"/>
      <c r="G32" s="92"/>
      <c r="H32" s="111"/>
      <c r="I32" s="16">
        <f t="shared" si="5"/>
        <v>6</v>
      </c>
      <c r="J32" s="17">
        <v>43645</v>
      </c>
      <c r="K32" s="18"/>
      <c r="L32" s="18">
        <v>947.4</v>
      </c>
      <c r="M32" s="14"/>
      <c r="N32" s="14"/>
      <c r="O32" s="237"/>
      <c r="P32" s="115">
        <f t="shared" si="6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9"/>
      <c r="AJ32" s="118">
        <f t="shared" si="0"/>
        <v>1</v>
      </c>
      <c r="AK32" s="17">
        <v>43738</v>
      </c>
      <c r="AL32" s="277"/>
      <c r="AM32" s="278">
        <f>619.7+268.4</f>
        <v>888.1</v>
      </c>
      <c r="AN32" s="235"/>
      <c r="AO32" s="117"/>
      <c r="AP32" s="667"/>
      <c r="AQ32" s="115">
        <f t="shared" si="1"/>
        <v>3</v>
      </c>
      <c r="AR32" s="17">
        <v>43768</v>
      </c>
      <c r="AS32" s="275">
        <v>754.4</v>
      </c>
      <c r="AT32" s="276"/>
      <c r="AU32" s="232"/>
      <c r="AV32" s="117"/>
      <c r="AW32" s="115">
        <f t="shared" si="2"/>
        <v>6</v>
      </c>
      <c r="AX32" s="17">
        <v>43799</v>
      </c>
      <c r="AY32" s="22">
        <v>338.85</v>
      </c>
      <c r="AZ32" s="22"/>
      <c r="BA32" s="232"/>
      <c r="BB32" s="232">
        <v>99.1</v>
      </c>
      <c r="BC32" s="18">
        <f>(501.38+458.5)-AY32</f>
        <v>621.03</v>
      </c>
      <c r="BD32" s="141"/>
    </row>
    <row r="33" spans="1:56" ht="12.6" customHeight="1" x14ac:dyDescent="0.25">
      <c r="A33" s="111"/>
      <c r="B33" s="4">
        <f t="shared" si="4"/>
        <v>4</v>
      </c>
      <c r="C33" s="3">
        <f t="shared" si="7"/>
        <v>43615</v>
      </c>
      <c r="D33" s="5">
        <v>885.9</v>
      </c>
      <c r="E33" s="5"/>
      <c r="F33" s="91"/>
      <c r="G33" s="92"/>
      <c r="H33" s="150"/>
      <c r="I33" s="24">
        <f t="shared" si="5"/>
        <v>7</v>
      </c>
      <c r="J33" s="17">
        <v>43646</v>
      </c>
      <c r="K33" s="25"/>
      <c r="L33" s="25">
        <v>626.1</v>
      </c>
      <c r="M33" s="26"/>
      <c r="N33" s="26"/>
      <c r="O33" s="139"/>
      <c r="P33" s="118">
        <f t="shared" si="6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9"/>
      <c r="AJ33" s="403">
        <f t="shared" si="0"/>
        <v>2</v>
      </c>
      <c r="AK33" s="17">
        <v>43739</v>
      </c>
      <c r="AL33" s="253"/>
      <c r="AM33" s="255"/>
      <c r="AN33" s="256"/>
      <c r="AO33" s="1"/>
      <c r="AP33" s="667"/>
      <c r="AQ33" s="115">
        <f t="shared" si="1"/>
        <v>4</v>
      </c>
      <c r="AR33" s="17">
        <v>43769</v>
      </c>
      <c r="AS33" s="243"/>
      <c r="AT33" s="243">
        <v>1299.51</v>
      </c>
      <c r="AU33" s="232"/>
      <c r="AV33" s="1"/>
      <c r="AW33" s="633"/>
      <c r="AX33" s="310"/>
      <c r="AY33" s="242"/>
      <c r="AZ33" s="242"/>
      <c r="BA33" s="311"/>
      <c r="BB33" s="311"/>
      <c r="BC33" s="1"/>
      <c r="BD33" s="141"/>
    </row>
    <row r="34" spans="1:56" ht="12.6" customHeight="1" thickBot="1" x14ac:dyDescent="0.3">
      <c r="A34" s="111"/>
      <c r="B34" s="4">
        <f t="shared" si="4"/>
        <v>5</v>
      </c>
      <c r="C34" s="3">
        <f t="shared" si="7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54" t="s">
        <v>3</v>
      </c>
      <c r="AL34" s="254">
        <v>4</v>
      </c>
      <c r="AM34" s="254">
        <f>COUNT(AM3:AM33)</f>
        <v>17</v>
      </c>
      <c r="AN34" s="254">
        <f>COUNT(AN3:AN33)</f>
        <v>5</v>
      </c>
      <c r="AO34" s="1"/>
      <c r="AP34" s="667"/>
      <c r="AQ34" s="119"/>
      <c r="AR34" s="254" t="s">
        <v>3</v>
      </c>
      <c r="AS34" s="254">
        <f>COUNT(AS3:AS33)</f>
        <v>14</v>
      </c>
      <c r="AT34" s="254">
        <f>COUNT(AT3:AT33)</f>
        <v>14</v>
      </c>
      <c r="AU34" s="254">
        <v>5</v>
      </c>
      <c r="AV34" s="1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41"/>
    </row>
    <row r="35" spans="1:56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91" t="s">
        <v>96</v>
      </c>
      <c r="Z35" s="91" t="s">
        <v>73</v>
      </c>
      <c r="AA35" s="120" t="s">
        <v>22</v>
      </c>
      <c r="AB35" s="111"/>
      <c r="AC35" s="117"/>
      <c r="AD35" s="176" t="s">
        <v>3</v>
      </c>
      <c r="AE35" s="177">
        <f>COUNT(AE4:AE34)</f>
        <v>18</v>
      </c>
      <c r="AF35" s="178">
        <f>COUNT(AF4:AF34)</f>
        <v>4</v>
      </c>
      <c r="AG35" s="177">
        <f>COUNT(AG4:AG34)</f>
        <v>0</v>
      </c>
      <c r="AH35" s="179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7">
        <v>1</v>
      </c>
      <c r="AO35" s="259" t="s">
        <v>146</v>
      </c>
      <c r="AP35" s="141"/>
      <c r="AQ35" s="119"/>
      <c r="AR35" s="86" t="s">
        <v>143</v>
      </c>
      <c r="AS35" s="86"/>
      <c r="AT35" s="86"/>
      <c r="AU35" s="257">
        <v>1</v>
      </c>
      <c r="AV35" s="108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7"/>
      <c r="BC35" s="259" t="s">
        <v>189</v>
      </c>
      <c r="BD35" s="298" t="s">
        <v>190</v>
      </c>
    </row>
    <row r="36" spans="1:56" ht="15.75" thickBot="1" x14ac:dyDescent="0.3">
      <c r="A36" s="111"/>
      <c r="B36" s="1"/>
      <c r="C36" s="10" t="s">
        <v>13</v>
      </c>
      <c r="D36" s="140">
        <f>SUM(D4:D34)</f>
        <v>16255.77</v>
      </c>
      <c r="E36" s="140">
        <f>SUM(E4:E34)</f>
        <v>17136.399999999998</v>
      </c>
      <c r="F36" s="140">
        <f>SUM(F4:F34)</f>
        <v>0</v>
      </c>
      <c r="G36" s="140">
        <f>SUM(G4:G34)</f>
        <v>0</v>
      </c>
      <c r="H36" s="150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40">
        <f>SUM(M4:M34)</f>
        <v>3880.58</v>
      </c>
      <c r="N36" s="140">
        <f>SUM(N4:N34)</f>
        <v>0</v>
      </c>
      <c r="O36" s="458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50">
        <f>SUM(R4:U34)</f>
        <v>35259.58</v>
      </c>
      <c r="W36" s="12"/>
      <c r="X36" s="3">
        <v>43648</v>
      </c>
      <c r="Y36" s="91">
        <v>3</v>
      </c>
      <c r="Z36" s="91"/>
      <c r="AA36" s="121"/>
      <c r="AB36" s="111"/>
      <c r="AC36" s="117"/>
      <c r="AD36" s="180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81">
        <f>SUM(AH4:AH34)</f>
        <v>11779.88</v>
      </c>
      <c r="AI36" s="141">
        <f>SUM(AE4:AH34)</f>
        <v>34690.219999999994</v>
      </c>
      <c r="AJ36" s="119"/>
      <c r="AK36" s="86" t="s">
        <v>13</v>
      </c>
      <c r="AL36" s="244">
        <f>SUM(AL25:AL33)</f>
        <v>3815.66</v>
      </c>
      <c r="AM36" s="244">
        <f>SUM(AM3:AM33)</f>
        <v>18148.759999999998</v>
      </c>
      <c r="AN36" s="258">
        <f>SUM(AN3:AN33)</f>
        <v>4787.8599999999997</v>
      </c>
      <c r="AO36" s="260">
        <f>SUM(AL3:AN32)</f>
        <v>30955.48</v>
      </c>
      <c r="AP36" s="141"/>
      <c r="AQ36" s="119"/>
      <c r="AR36" s="86" t="s">
        <v>13</v>
      </c>
      <c r="AS36" s="244">
        <f>SUM(AS3:AS33)</f>
        <v>14125.789999999997</v>
      </c>
      <c r="AT36" s="244">
        <f>SUM(AT3:AT33)</f>
        <v>13740.66</v>
      </c>
      <c r="AU36" s="244">
        <f>SUM(AU3:AU33)</f>
        <v>3372.99</v>
      </c>
      <c r="AV36" s="628">
        <f>SUM(AS3:AU33)</f>
        <v>31239.439999999995</v>
      </c>
      <c r="AW36" s="119"/>
      <c r="AX36" s="86" t="s">
        <v>13</v>
      </c>
      <c r="AY36" s="244">
        <f>SUM(AY3:AY33)</f>
        <v>13429.570000000002</v>
      </c>
      <c r="AZ36" s="244">
        <f>SUM(AZ3:AZ33)</f>
        <v>13747.990000000002</v>
      </c>
      <c r="BA36" s="244">
        <f>SUM(BA3:BA33)</f>
        <v>2269.8000000000002</v>
      </c>
      <c r="BB36" s="258">
        <f>SUM(BB3:BB33)</f>
        <v>1339</v>
      </c>
      <c r="BC36" s="298">
        <f>SUM(AY3:AZ32)+BA15+BA16+BC32</f>
        <v>28986.99</v>
      </c>
      <c r="BD36" s="298">
        <f>SUM(BA23:BB32)</f>
        <v>2420.3999999999996</v>
      </c>
    </row>
    <row r="37" spans="1:56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91">
        <v>3</v>
      </c>
      <c r="Z37" s="91"/>
      <c r="AA37" s="121"/>
      <c r="AB37" s="111"/>
      <c r="AC37" s="117"/>
      <c r="AD37" s="180" t="s">
        <v>22</v>
      </c>
      <c r="AE37" s="67">
        <v>19184.04</v>
      </c>
      <c r="AF37" s="68">
        <v>3422.9</v>
      </c>
      <c r="AG37" s="114"/>
      <c r="AH37" s="181">
        <v>10358.68</v>
      </c>
      <c r="AI37" s="141"/>
      <c r="AJ37" s="119"/>
      <c r="AK37" s="86" t="s">
        <v>22</v>
      </c>
      <c r="AL37" s="244">
        <f>3315.16+16</f>
        <v>3331.16</v>
      </c>
      <c r="AM37" s="244">
        <v>15758.81</v>
      </c>
      <c r="AN37" s="244">
        <v>4370.82</v>
      </c>
      <c r="AO37" s="12"/>
      <c r="AP37" s="141"/>
      <c r="AQ37" s="119"/>
      <c r="AR37" s="86" t="s">
        <v>22</v>
      </c>
      <c r="AS37" s="244">
        <v>11831.39</v>
      </c>
      <c r="AT37" s="244">
        <v>12143.31</v>
      </c>
      <c r="AU37" s="244">
        <v>2674.84</v>
      </c>
      <c r="AV37" s="12"/>
      <c r="AW37" s="119"/>
      <c r="AX37" s="86" t="s">
        <v>22</v>
      </c>
      <c r="AY37" s="244">
        <v>10499.12</v>
      </c>
      <c r="AZ37" s="244">
        <v>10580.94</v>
      </c>
      <c r="BA37" s="244">
        <v>1901.5</v>
      </c>
      <c r="BB37" s="244">
        <v>681.74</v>
      </c>
      <c r="BC37" s="12"/>
      <c r="BD37" s="141"/>
    </row>
    <row r="38" spans="1:56" outlineLevel="1" x14ac:dyDescent="0.25">
      <c r="A38" s="111"/>
      <c r="B38" s="1"/>
      <c r="C38" s="10" t="s">
        <v>5</v>
      </c>
      <c r="D38" s="142">
        <f>D36-D37</f>
        <v>440.89999999999964</v>
      </c>
      <c r="E38" s="142">
        <f>E36-E37</f>
        <v>1457.1499999999978</v>
      </c>
      <c r="F38" s="144">
        <f>F36-F37</f>
        <v>0</v>
      </c>
      <c r="G38" s="144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2">
        <f>ABS(M36-M37)</f>
        <v>3880.58</v>
      </c>
      <c r="N38" s="142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91">
        <v>2.5</v>
      </c>
      <c r="Z38" s="91"/>
      <c r="AA38" s="121"/>
      <c r="AB38" s="111"/>
      <c r="AC38" s="117"/>
      <c r="AD38" s="180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82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</row>
    <row r="39" spans="1:56" outlineLevel="1" x14ac:dyDescent="0.25">
      <c r="A39" s="111"/>
      <c r="B39" s="1"/>
      <c r="C39" s="10" t="s">
        <v>8</v>
      </c>
      <c r="D39" s="143">
        <f>D38*1%</f>
        <v>4.4089999999999963</v>
      </c>
      <c r="E39" s="143">
        <f>E38*1%</f>
        <v>14.571499999999979</v>
      </c>
      <c r="F39" s="143">
        <f>F38*1%</f>
        <v>0</v>
      </c>
      <c r="G39" s="143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3">
        <f>M38*1%</f>
        <v>38.805799999999998</v>
      </c>
      <c r="N39" s="143">
        <f>N38*1%</f>
        <v>0</v>
      </c>
      <c r="O39" s="141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91">
        <v>8.5</v>
      </c>
      <c r="Z39" s="91"/>
      <c r="AA39" s="121"/>
      <c r="AB39" s="111"/>
      <c r="AC39" s="117"/>
      <c r="AD39" s="180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93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41"/>
    </row>
    <row r="40" spans="1:56" outlineLevel="1" x14ac:dyDescent="0.25">
      <c r="A40" s="111"/>
      <c r="B40" s="1"/>
      <c r="C40" s="10" t="s">
        <v>6</v>
      </c>
      <c r="D40" s="143">
        <f>3%*D37</f>
        <v>474.4461</v>
      </c>
      <c r="E40" s="143">
        <f>3%*E37</f>
        <v>470.3775</v>
      </c>
      <c r="F40" s="143">
        <f>3%*F37</f>
        <v>0</v>
      </c>
      <c r="G40" s="143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3">
        <f>3%*M37</f>
        <v>0</v>
      </c>
      <c r="N40" s="143">
        <f>3%*N37</f>
        <v>0</v>
      </c>
      <c r="O40" s="141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91">
        <v>4.5</v>
      </c>
      <c r="Z40" s="91"/>
      <c r="AA40" s="121"/>
      <c r="AB40" s="111"/>
      <c r="AC40" s="117"/>
      <c r="AD40" s="180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83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</row>
    <row r="41" spans="1:56" outlineLevel="1" x14ac:dyDescent="0.25">
      <c r="A41" s="111"/>
      <c r="B41" s="1"/>
      <c r="C41" s="10" t="s">
        <v>7</v>
      </c>
      <c r="D41" s="144">
        <v>50</v>
      </c>
      <c r="E41" s="144">
        <v>50</v>
      </c>
      <c r="F41" s="144">
        <v>50</v>
      </c>
      <c r="G41" s="144">
        <v>50</v>
      </c>
      <c r="H41" s="111"/>
      <c r="I41" s="117"/>
      <c r="J41" s="114" t="s">
        <v>7</v>
      </c>
      <c r="K41" s="73">
        <v>50</v>
      </c>
      <c r="L41" s="73">
        <v>50</v>
      </c>
      <c r="M41" s="144">
        <v>50</v>
      </c>
      <c r="N41" s="144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80" t="s">
        <v>7</v>
      </c>
      <c r="AE41" s="73">
        <v>50</v>
      </c>
      <c r="AF41" s="74">
        <v>50</v>
      </c>
      <c r="AG41" s="73">
        <v>50</v>
      </c>
      <c r="AH41" s="184"/>
      <c r="AI41" s="112"/>
      <c r="AJ41" s="119"/>
      <c r="AK41" s="86" t="s">
        <v>7</v>
      </c>
      <c r="AL41" s="88"/>
      <c r="AM41" s="88">
        <v>50</v>
      </c>
      <c r="AN41" s="88"/>
      <c r="AO41" s="1"/>
      <c r="AP41" s="141"/>
      <c r="AQ41" s="119"/>
      <c r="AR41" s="86" t="s">
        <v>7</v>
      </c>
      <c r="AS41" s="88">
        <v>180</v>
      </c>
      <c r="AT41" s="88">
        <v>50</v>
      </c>
      <c r="AU41" s="88"/>
      <c r="AV41" s="1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41"/>
    </row>
    <row r="42" spans="1:56" ht="15.75" outlineLevel="1" thickBot="1" x14ac:dyDescent="0.3">
      <c r="A42" s="111"/>
      <c r="B42" s="1"/>
      <c r="C42" s="10" t="s">
        <v>14</v>
      </c>
      <c r="D42" s="144">
        <f>20*D35</f>
        <v>320</v>
      </c>
      <c r="E42" s="144">
        <f>20*E35</f>
        <v>300</v>
      </c>
      <c r="F42" s="144">
        <f>20*F35</f>
        <v>0</v>
      </c>
      <c r="G42" s="144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4">
        <f>20*M35</f>
        <v>80</v>
      </c>
      <c r="N42" s="144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91">
        <v>2</v>
      </c>
      <c r="Z42" s="91"/>
      <c r="AA42" s="121"/>
      <c r="AB42" s="111"/>
      <c r="AC42" s="117"/>
      <c r="AD42" s="180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84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</row>
    <row r="43" spans="1:56" ht="15.75" thickBot="1" x14ac:dyDescent="0.3">
      <c r="A43" s="111"/>
      <c r="B43" s="663" t="s">
        <v>15</v>
      </c>
      <c r="C43" s="66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5">
        <f>160.36+130</f>
        <v>290.36</v>
      </c>
      <c r="M43" s="144"/>
      <c r="N43" s="144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91">
        <v>506.5</v>
      </c>
      <c r="AA43" s="121">
        <v>420.3</v>
      </c>
      <c r="AB43" s="150"/>
      <c r="AC43" s="76"/>
      <c r="AD43" s="198" t="s">
        <v>94</v>
      </c>
      <c r="AE43" s="196">
        <v>300</v>
      </c>
      <c r="AF43" s="77">
        <f>160.36</f>
        <v>160.36000000000001</v>
      </c>
      <c r="AG43" s="73"/>
      <c r="AH43" s="184"/>
      <c r="AI43" s="141"/>
      <c r="AJ43" s="124"/>
      <c r="AK43" s="245" t="s">
        <v>94</v>
      </c>
      <c r="AL43" s="246"/>
      <c r="AM43" s="247"/>
      <c r="AN43" s="88"/>
      <c r="AO43" s="12"/>
      <c r="AP43" s="112"/>
      <c r="AQ43" s="124"/>
      <c r="AR43" s="245" t="s">
        <v>94</v>
      </c>
      <c r="AS43" s="246">
        <v>298.10000000000002</v>
      </c>
      <c r="AT43" s="247">
        <v>160.36000000000001</v>
      </c>
      <c r="AU43" s="88"/>
      <c r="AV43" s="12"/>
      <c r="AW43" s="124"/>
      <c r="AX43" s="245" t="s">
        <v>94</v>
      </c>
      <c r="AY43" s="246">
        <v>298.10000000000002</v>
      </c>
      <c r="AZ43" s="247">
        <v>160.36000000000001</v>
      </c>
      <c r="BA43" s="88"/>
      <c r="BB43" s="88"/>
      <c r="BC43" s="12"/>
      <c r="BD43" s="112"/>
    </row>
    <row r="44" spans="1:56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41"/>
      <c r="P44" s="124"/>
      <c r="Q44" s="665" t="s">
        <v>79</v>
      </c>
      <c r="R44" s="66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91">
        <v>8.5</v>
      </c>
      <c r="Z44" s="91"/>
      <c r="AA44" s="121"/>
      <c r="AB44" s="150"/>
      <c r="AC44" s="76"/>
      <c r="AD44" s="185" t="s">
        <v>111</v>
      </c>
      <c r="AE44" s="197">
        <v>298.10000000000002</v>
      </c>
      <c r="AF44" s="78"/>
      <c r="AG44" s="69">
        <f>AF39+AF40+AF41+AF42</f>
        <v>236.428</v>
      </c>
      <c r="AH44" s="184"/>
      <c r="AI44" s="141"/>
      <c r="AJ44" s="124"/>
      <c r="AK44" s="248" t="s">
        <v>26</v>
      </c>
      <c r="AL44" s="249"/>
      <c r="AM44" s="250">
        <f>160+140</f>
        <v>300</v>
      </c>
      <c r="AN44" s="88"/>
      <c r="AO44" s="12"/>
      <c r="AP44" s="112"/>
      <c r="AQ44" s="124"/>
      <c r="AR44" s="248" t="s">
        <v>26</v>
      </c>
      <c r="AS44" s="249"/>
      <c r="AT44" s="18">
        <v>139.65</v>
      </c>
      <c r="AU44" s="88"/>
      <c r="AV44" s="12"/>
      <c r="AW44" s="124"/>
      <c r="AX44" s="248" t="s">
        <v>26</v>
      </c>
      <c r="AY44" s="249"/>
      <c r="AZ44" s="246">
        <v>150</v>
      </c>
      <c r="BA44" s="88"/>
      <c r="BB44" s="88"/>
      <c r="BC44" s="12"/>
      <c r="BD44" s="112"/>
    </row>
    <row r="45" spans="1:56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41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91">
        <v>3</v>
      </c>
      <c r="Z45" s="91"/>
      <c r="AA45" s="121"/>
      <c r="AB45" s="111"/>
      <c r="AC45" s="32"/>
      <c r="AD45" s="186" t="s">
        <v>77</v>
      </c>
      <c r="AE45" s="61">
        <f>AE39+AE40+AE41+AE42-AE43-AE44</f>
        <v>386.71420000000001</v>
      </c>
      <c r="AF45" s="212">
        <f>ROUND(AF39+AF40+AF41+AF42-AF43,0)</f>
        <v>76</v>
      </c>
      <c r="AG45" s="45">
        <f>AG41+AG40+AG39+AG42-AG43</f>
        <v>50</v>
      </c>
      <c r="AH45" s="192">
        <f>AH39+AH40+AH41+AH42</f>
        <v>544.97239999999999</v>
      </c>
      <c r="AI45" s="141"/>
      <c r="AJ45" s="125"/>
      <c r="AK45" s="251" t="s">
        <v>77</v>
      </c>
      <c r="AL45" s="252">
        <f>AL39+AL40+AL41+AL42-AL44-AL43</f>
        <v>184.77979999999999</v>
      </c>
      <c r="AM45" s="252">
        <f>AM39+AM40+AM41+AM42-AM44</f>
        <v>576.66380000000004</v>
      </c>
      <c r="AN45" s="252">
        <f>AN39+AN40+AN41+AN42</f>
        <v>265.29499999999996</v>
      </c>
      <c r="AO45" s="173"/>
      <c r="AP45" s="401"/>
      <c r="AQ45" s="125"/>
      <c r="AR45" s="251" t="s">
        <v>77</v>
      </c>
      <c r="AS45" s="252">
        <f>AS39+AS40+AS41+AS42-AS44-AS43</f>
        <v>539.78569999999991</v>
      </c>
      <c r="AT45" s="252">
        <f>AT39+AT40+AT41+AT42-AT44-AT43</f>
        <v>410.26279999999997</v>
      </c>
      <c r="AU45" s="291">
        <f>AU39+AU40+AU41+AU42</f>
        <v>177.22669999999999</v>
      </c>
      <c r="AV45" s="173"/>
      <c r="AW45" s="125"/>
      <c r="AX45" s="251" t="s">
        <v>77</v>
      </c>
      <c r="AY45" s="252">
        <f>AY46-AY43</f>
        <v>476.17809999999997</v>
      </c>
      <c r="AZ45" s="252">
        <f>AZ39+AZ40+AZ41+AZ42-AZ43-AZ44</f>
        <v>378.73869999999999</v>
      </c>
      <c r="BA45" s="252">
        <f>BA39+BA40+BA41+BA42</f>
        <v>170.72800000000001</v>
      </c>
      <c r="BB45" s="252">
        <f>BB39+BB40+BB41+BB42</f>
        <v>147.0248</v>
      </c>
      <c r="BC45" s="173"/>
      <c r="BD45" s="401"/>
    </row>
    <row r="46" spans="1:56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91">
        <v>8.5</v>
      </c>
      <c r="Z46" s="91"/>
      <c r="AA46" s="121"/>
      <c r="AB46" s="111"/>
      <c r="AC46" s="1"/>
      <c r="AD46" s="187" t="s">
        <v>45</v>
      </c>
      <c r="AE46" s="188">
        <f>AE45+AE43+AE44</f>
        <v>984.81420000000003</v>
      </c>
      <c r="AF46" s="189">
        <f>AF43+AF45</f>
        <v>236.36</v>
      </c>
      <c r="AG46" s="190"/>
      <c r="AH46" s="191"/>
      <c r="AI46" s="141"/>
      <c r="AJ46" s="150"/>
      <c r="AK46" s="147"/>
      <c r="AL46" s="373"/>
      <c r="AM46" s="1"/>
      <c r="AN46" s="1"/>
      <c r="AO46" s="1"/>
      <c r="AP46" s="112"/>
      <c r="AQ46" s="126"/>
      <c r="AR46" s="292" t="s">
        <v>45</v>
      </c>
      <c r="AS46" s="22">
        <f>540+AS43</f>
        <v>838.1</v>
      </c>
      <c r="AT46" s="293">
        <f>410+AT44+AT43</f>
        <v>710.01</v>
      </c>
      <c r="AU46" s="1"/>
      <c r="AV46" s="173"/>
      <c r="AW46" s="126"/>
      <c r="AX46" s="292" t="s">
        <v>45</v>
      </c>
      <c r="AY46" s="293">
        <f>AY41+AY42+AY40+AY39</f>
        <v>774.27809999999999</v>
      </c>
      <c r="AZ46" s="293">
        <f>AZ41+AZ42+AZ40+AZ39</f>
        <v>689.09870000000012</v>
      </c>
      <c r="BA46" s="293">
        <f>BA41+BA42+BA40+BA39</f>
        <v>170.72799999999998</v>
      </c>
      <c r="BB46" s="293">
        <f>BB41+BB42+BB40+BB39</f>
        <v>147.0248</v>
      </c>
      <c r="BC46" s="173"/>
      <c r="BD46" s="141"/>
    </row>
    <row r="47" spans="1:56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51"/>
      <c r="Y47" s="129"/>
      <c r="Z47" s="51"/>
      <c r="AA47" s="112"/>
      <c r="AB47" s="111"/>
      <c r="AC47" s="399"/>
      <c r="AD47" s="400"/>
      <c r="AE47" s="148"/>
      <c r="AF47" s="148"/>
      <c r="AG47" s="1"/>
      <c r="AH47" s="1"/>
      <c r="AI47" s="401"/>
      <c r="AJ47" s="150"/>
      <c r="AK47" s="373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"/>
      <c r="AW47" s="111"/>
      <c r="AX47" s="204"/>
      <c r="AY47" s="634"/>
      <c r="AZ47" s="238"/>
      <c r="BA47" s="1"/>
      <c r="BB47" s="1"/>
      <c r="BC47" s="12"/>
      <c r="BD47" s="141"/>
    </row>
    <row r="48" spans="1:56" ht="15.75" thickBot="1" x14ac:dyDescent="0.3">
      <c r="A48" s="132"/>
      <c r="B48" s="133"/>
      <c r="C48" s="134"/>
      <c r="D48" s="133"/>
      <c r="E48" s="134"/>
      <c r="F48" s="1"/>
      <c r="G48" s="1"/>
      <c r="H48" s="111"/>
      <c r="I48" s="1"/>
      <c r="J48" s="1"/>
      <c r="K48" s="133"/>
      <c r="L48" s="133"/>
      <c r="M48" s="133"/>
      <c r="N48" s="133"/>
      <c r="O48" s="135"/>
      <c r="P48" s="111"/>
      <c r="Q48" s="130" t="s">
        <v>77</v>
      </c>
      <c r="R48" s="131">
        <v>196</v>
      </c>
      <c r="S48" s="131"/>
      <c r="T48" s="12"/>
      <c r="U48" s="173"/>
      <c r="V48" s="12"/>
      <c r="W48" s="1"/>
      <c r="X48" s="73"/>
      <c r="Y48" s="73"/>
      <c r="Z48" s="51"/>
      <c r="AA48" s="112"/>
      <c r="AB48" s="111"/>
      <c r="AC48" s="1"/>
      <c r="AD48" s="204"/>
      <c r="AE48" s="402"/>
      <c r="AF48" s="402"/>
      <c r="AG48" s="12"/>
      <c r="AH48" s="1"/>
      <c r="AI48" s="141"/>
      <c r="AJ48" s="150"/>
      <c r="AK48" s="73"/>
      <c r="AL48" s="73"/>
      <c r="AM48" s="1"/>
      <c r="AN48" s="1"/>
      <c r="AO48" s="1"/>
      <c r="AP48" s="112"/>
      <c r="AQ48" s="111"/>
      <c r="AR48" s="1"/>
      <c r="AS48" s="1"/>
      <c r="AT48" s="1"/>
      <c r="AU48" s="1"/>
      <c r="AV48" s="1"/>
      <c r="AW48" s="111"/>
      <c r="AX48" s="1"/>
      <c r="AY48" s="1"/>
      <c r="AZ48" s="11"/>
      <c r="BA48" s="12"/>
      <c r="BB48" s="12"/>
      <c r="BC48" s="173"/>
      <c r="BD48" s="112"/>
    </row>
    <row r="49" spans="3:56" x14ac:dyDescent="0.25">
      <c r="C49" s="662" t="s">
        <v>166</v>
      </c>
      <c r="D49" s="662"/>
      <c r="E49" s="2" t="s">
        <v>189</v>
      </c>
      <c r="F49" s="464" t="s">
        <v>167</v>
      </c>
      <c r="G49" s="638"/>
      <c r="H49" s="638"/>
      <c r="I49" s="638"/>
      <c r="J49" s="639"/>
      <c r="K49" s="373" t="s">
        <v>198</v>
      </c>
      <c r="L49" s="457"/>
      <c r="N49" s="579" t="s">
        <v>258</v>
      </c>
      <c r="O49" s="579"/>
      <c r="P49" s="1"/>
      <c r="Q49" s="1"/>
      <c r="R49" s="11"/>
      <c r="S49" s="1"/>
      <c r="T49" s="12"/>
      <c r="U49" s="1"/>
      <c r="V49" s="1"/>
      <c r="W49" s="73"/>
      <c r="X49" s="73"/>
      <c r="Y49" s="93">
        <v>102.35</v>
      </c>
      <c r="Z49" s="112"/>
      <c r="AA49" s="111"/>
      <c r="AB49" s="1"/>
      <c r="AC49" s="1"/>
      <c r="AD49" s="1"/>
      <c r="AE49" s="1"/>
      <c r="AF49" s="1"/>
      <c r="AG49" s="1"/>
      <c r="AH49" s="112"/>
      <c r="AI49" s="111"/>
      <c r="AJ49" s="1"/>
      <c r="AK49" s="1"/>
      <c r="AL49" s="1"/>
      <c r="AM49" s="1"/>
      <c r="AN49" s="1"/>
      <c r="AO49" s="112"/>
      <c r="AP49" s="111"/>
      <c r="AQ49" s="1"/>
      <c r="AR49" s="1"/>
      <c r="AS49" s="1"/>
      <c r="AT49" s="1"/>
      <c r="AU49" s="112"/>
      <c r="AW49" s="111"/>
      <c r="AX49" s="1"/>
      <c r="AY49" s="1"/>
      <c r="AZ49" s="1"/>
      <c r="BA49" s="1"/>
      <c r="BB49" s="1"/>
      <c r="BC49" s="1"/>
      <c r="BD49" s="112"/>
    </row>
    <row r="50" spans="3:56" x14ac:dyDescent="0.25">
      <c r="C50" s="2" t="s">
        <v>164</v>
      </c>
      <c r="E50" s="2"/>
      <c r="F50" s="216"/>
      <c r="G50" s="93" t="s">
        <v>168</v>
      </c>
      <c r="H50" s="93" t="s">
        <v>169</v>
      </c>
      <c r="I50" s="93" t="s">
        <v>204</v>
      </c>
      <c r="J50" s="570" t="s">
        <v>203</v>
      </c>
      <c r="K50" s="373" t="s">
        <v>166</v>
      </c>
      <c r="L50" s="457"/>
      <c r="N50" s="580" t="s">
        <v>192</v>
      </c>
      <c r="O50" s="582">
        <v>3501.9999999999995</v>
      </c>
      <c r="P50" s="1"/>
      <c r="Q50" s="240"/>
      <c r="R50" s="240"/>
      <c r="S50" s="463"/>
      <c r="T50" s="1"/>
      <c r="U50" s="1"/>
      <c r="V50" s="1"/>
      <c r="W50" s="373"/>
      <c r="X50" s="69"/>
      <c r="Y50" s="1"/>
      <c r="Z50" s="112"/>
      <c r="AA50" s="111"/>
      <c r="AB50" s="1"/>
      <c r="AC50" s="1"/>
      <c r="AD50" s="1"/>
      <c r="AE50" s="1"/>
      <c r="AF50" s="1"/>
      <c r="AG50" s="1"/>
      <c r="AH50" s="112"/>
      <c r="AI50" s="111"/>
      <c r="AJ50" s="1"/>
      <c r="AK50" s="1"/>
      <c r="AL50" s="1"/>
      <c r="AM50" s="1"/>
      <c r="AN50" s="1"/>
      <c r="AO50" s="112"/>
      <c r="AP50" s="111"/>
      <c r="AQ50" s="1"/>
      <c r="AR50" s="1"/>
      <c r="AS50" s="1"/>
      <c r="AT50" s="1"/>
      <c r="AU50" s="112"/>
      <c r="AW50" s="111"/>
      <c r="AX50" s="1"/>
      <c r="AY50" s="1"/>
      <c r="AZ50" s="1"/>
      <c r="BA50" s="1"/>
      <c r="BB50" s="1"/>
      <c r="BC50" s="1"/>
      <c r="BD50" s="112"/>
    </row>
    <row r="51" spans="3:56" x14ac:dyDescent="0.25">
      <c r="C51" s="2" t="s">
        <v>9</v>
      </c>
      <c r="D51" s="8">
        <f>H36</f>
        <v>33392.170000000006</v>
      </c>
      <c r="E51" s="195"/>
      <c r="F51" s="576" t="s">
        <v>18</v>
      </c>
      <c r="G51" s="572">
        <v>2502.15</v>
      </c>
      <c r="H51" s="572">
        <v>660.88</v>
      </c>
      <c r="I51" s="572">
        <v>1841.27</v>
      </c>
      <c r="J51" s="573"/>
      <c r="K51" s="147" t="s">
        <v>164</v>
      </c>
      <c r="L51" s="454"/>
      <c r="N51" s="580" t="s">
        <v>199</v>
      </c>
      <c r="O51" s="581">
        <v>3192.5899999999997</v>
      </c>
      <c r="P51" s="1"/>
      <c r="Q51" s="240"/>
      <c r="R51" s="240"/>
      <c r="S51" s="307"/>
      <c r="T51" s="1"/>
      <c r="U51" s="1"/>
      <c r="V51" s="1"/>
      <c r="W51" s="73"/>
      <c r="X51" s="69"/>
      <c r="Y51" s="1"/>
      <c r="Z51" s="112"/>
      <c r="AA51" s="111"/>
      <c r="AB51" s="1"/>
      <c r="AC51" s="1"/>
      <c r="AD51" s="1"/>
      <c r="AE51" s="1"/>
      <c r="AF51" s="1"/>
      <c r="AG51" s="1"/>
      <c r="AH51" s="112"/>
      <c r="AI51" s="111"/>
      <c r="AJ51" s="1"/>
      <c r="AK51" s="1"/>
      <c r="AL51" s="1"/>
      <c r="AM51" s="1"/>
      <c r="AN51" s="1"/>
      <c r="AO51" s="112"/>
      <c r="AP51" s="111"/>
      <c r="AQ51" s="1"/>
      <c r="AR51" s="1"/>
      <c r="AS51" s="1"/>
      <c r="AT51" s="1"/>
      <c r="AU51" s="112"/>
      <c r="AW51" s="111"/>
      <c r="AX51" s="1"/>
      <c r="AY51" s="1"/>
      <c r="AZ51" s="1"/>
      <c r="BA51" s="1"/>
      <c r="BB51" s="1"/>
      <c r="BC51" s="1"/>
      <c r="BD51" s="112"/>
    </row>
    <row r="52" spans="3:56" x14ac:dyDescent="0.25">
      <c r="C52" s="2" t="s">
        <v>18</v>
      </c>
      <c r="D52" s="8">
        <f>O36</f>
        <v>32809.9</v>
      </c>
      <c r="E52" s="195"/>
      <c r="F52" s="576" t="s">
        <v>19</v>
      </c>
      <c r="G52" s="572">
        <v>3130.41</v>
      </c>
      <c r="H52" s="572">
        <v>965.66</v>
      </c>
      <c r="I52" s="572">
        <v>2164.75</v>
      </c>
      <c r="J52" s="573"/>
      <c r="K52" s="568" t="s">
        <v>163</v>
      </c>
      <c r="L52" s="97">
        <v>2420.3999999999996</v>
      </c>
      <c r="N52" s="580" t="s">
        <v>209</v>
      </c>
      <c r="O52" s="64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12"/>
      <c r="AA52" s="111"/>
      <c r="AB52" s="1"/>
      <c r="AC52" s="1"/>
      <c r="AD52" s="1"/>
      <c r="AE52" s="1"/>
      <c r="AF52" s="1"/>
      <c r="AG52" s="1"/>
      <c r="AH52" s="112"/>
      <c r="AI52" s="111"/>
      <c r="AJ52" s="1"/>
      <c r="AK52" s="1"/>
      <c r="AL52" s="1"/>
      <c r="AM52" s="1"/>
      <c r="AN52" s="1"/>
      <c r="AO52" s="112"/>
      <c r="AP52" s="111"/>
      <c r="AQ52" s="1"/>
      <c r="AR52" s="1"/>
      <c r="AS52" s="1"/>
      <c r="AT52" s="1"/>
      <c r="AU52" s="112"/>
      <c r="AW52" s="111"/>
      <c r="AX52" s="1"/>
      <c r="AY52" s="1"/>
      <c r="AZ52" s="1"/>
      <c r="BA52" s="1"/>
      <c r="BB52" s="1"/>
      <c r="BC52" s="1"/>
      <c r="BD52" s="112"/>
    </row>
    <row r="53" spans="3:56" x14ac:dyDescent="0.25">
      <c r="C53" s="2" t="s">
        <v>19</v>
      </c>
      <c r="D53" s="8">
        <f>V36</f>
        <v>35259.58</v>
      </c>
      <c r="E53" s="195"/>
      <c r="F53" s="576" t="s">
        <v>20</v>
      </c>
      <c r="G53" s="572">
        <v>1180.2600000000002</v>
      </c>
      <c r="H53" s="572">
        <v>632.44000000000005</v>
      </c>
      <c r="I53" s="572">
        <v>547.82000000000005</v>
      </c>
      <c r="J53" s="573"/>
      <c r="K53" s="568" t="s">
        <v>192</v>
      </c>
      <c r="L53" s="456">
        <v>7629.6900000000023</v>
      </c>
      <c r="N53" s="580" t="s">
        <v>210</v>
      </c>
      <c r="O53" s="583">
        <f>'ЗП МАРТ'!K35</f>
        <v>1625.2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12"/>
      <c r="AA53" s="111"/>
      <c r="AB53" s="1"/>
      <c r="AC53" s="1"/>
      <c r="AD53" s="1"/>
      <c r="AE53" s="1"/>
      <c r="AF53" s="1"/>
      <c r="AG53" s="1"/>
      <c r="AH53" s="112"/>
      <c r="AI53" s="111"/>
      <c r="AJ53" s="1"/>
      <c r="AK53" s="1"/>
      <c r="AL53" s="1"/>
      <c r="AM53" s="1"/>
      <c r="AN53" s="1"/>
      <c r="AO53" s="112"/>
      <c r="AP53" s="111"/>
      <c r="AQ53" s="1"/>
      <c r="AR53" s="1"/>
      <c r="AS53" s="1"/>
      <c r="AT53" s="1"/>
      <c r="AU53" s="112"/>
      <c r="AW53" s="111"/>
      <c r="AX53" s="1"/>
      <c r="AY53" s="1"/>
      <c r="AZ53" s="1"/>
      <c r="BA53" s="1"/>
      <c r="BB53" s="1"/>
      <c r="BC53" s="1"/>
      <c r="BD53" s="112"/>
    </row>
    <row r="54" spans="3:56" x14ac:dyDescent="0.25">
      <c r="C54" s="2" t="s">
        <v>20</v>
      </c>
      <c r="D54">
        <v>34690.219999999994</v>
      </c>
      <c r="E54" s="195"/>
      <c r="F54" s="576" t="s">
        <v>257</v>
      </c>
      <c r="G54" s="572">
        <v>2026.4</v>
      </c>
      <c r="H54" s="572">
        <v>868.92</v>
      </c>
      <c r="I54" s="572">
        <v>1157.48</v>
      </c>
      <c r="J54" s="573"/>
      <c r="K54" s="568" t="s">
        <v>199</v>
      </c>
      <c r="L54" s="456">
        <v>8423.6400000000012</v>
      </c>
      <c r="N54" s="147"/>
      <c r="O54" s="373"/>
      <c r="P54" s="1"/>
      <c r="Q54" s="1"/>
      <c r="R54" s="11"/>
      <c r="S54" s="1"/>
      <c r="T54" s="1"/>
      <c r="U54" s="1"/>
      <c r="V54" s="1"/>
      <c r="W54" s="73"/>
      <c r="X54" s="69"/>
      <c r="Y54" s="373"/>
      <c r="Z54" s="422"/>
      <c r="AA54" s="111"/>
      <c r="AB54" s="1"/>
      <c r="AC54" s="1"/>
      <c r="AD54" s="1"/>
      <c r="AE54" s="1"/>
      <c r="AF54" s="1"/>
      <c r="AG54" s="1"/>
      <c r="AH54" s="112"/>
      <c r="AI54" s="111"/>
      <c r="AJ54" s="1"/>
      <c r="AK54" s="1"/>
      <c r="AL54" s="1"/>
      <c r="AM54" s="1"/>
      <c r="AN54" s="1"/>
      <c r="AO54" s="112"/>
      <c r="AP54" s="111"/>
      <c r="AQ54" s="1"/>
      <c r="AR54" s="1"/>
      <c r="AS54" s="1"/>
      <c r="AT54" s="1"/>
      <c r="AU54" s="112"/>
      <c r="AW54" s="111"/>
      <c r="AX54" s="1"/>
      <c r="AY54" s="1"/>
      <c r="AZ54" s="1"/>
      <c r="BA54" s="1"/>
      <c r="BB54" s="1"/>
      <c r="BC54" s="1"/>
      <c r="BD54" s="112"/>
    </row>
    <row r="55" spans="3:56" ht="15.75" thickBot="1" x14ac:dyDescent="0.3">
      <c r="C55" s="2" t="s">
        <v>148</v>
      </c>
      <c r="D55">
        <v>30955.48</v>
      </c>
      <c r="E55" s="195"/>
      <c r="F55" s="576" t="s">
        <v>162</v>
      </c>
      <c r="G55" s="574">
        <v>2927.79</v>
      </c>
      <c r="H55" s="575">
        <v>1147.08</v>
      </c>
      <c r="I55" s="572">
        <v>1780.71</v>
      </c>
      <c r="J55" s="573"/>
      <c r="K55" s="569" t="s">
        <v>209</v>
      </c>
      <c r="L55" s="456">
        <v>8639.7199999999993</v>
      </c>
      <c r="N55" s="2"/>
      <c r="O55" s="205"/>
      <c r="P55" s="1"/>
      <c r="Q55" s="1"/>
      <c r="R55" s="11"/>
      <c r="S55" s="1"/>
      <c r="T55" s="1"/>
      <c r="U55" s="1"/>
      <c r="V55" s="1"/>
      <c r="W55" s="73"/>
      <c r="X55" s="146"/>
      <c r="Y55" s="452"/>
      <c r="Z55" s="453"/>
      <c r="AA55" s="132"/>
      <c r="AB55" s="133"/>
      <c r="AC55" s="133"/>
      <c r="AD55" s="133"/>
      <c r="AE55" s="133"/>
      <c r="AF55" s="133"/>
      <c r="AG55" s="133"/>
      <c r="AH55" s="135"/>
      <c r="AI55" s="132"/>
      <c r="AJ55" s="133"/>
      <c r="AK55" s="133"/>
      <c r="AL55" s="133"/>
      <c r="AM55" s="133"/>
      <c r="AN55" s="133"/>
      <c r="AO55" s="135"/>
      <c r="AP55" s="132"/>
      <c r="AQ55" s="133"/>
      <c r="AR55" s="133"/>
      <c r="AS55" s="133"/>
      <c r="AT55" s="133"/>
      <c r="AU55" s="135"/>
      <c r="AW55" s="132"/>
      <c r="AX55" s="133"/>
      <c r="AY55" s="133"/>
      <c r="AZ55" s="133"/>
      <c r="BA55" s="133"/>
      <c r="BB55" s="133"/>
      <c r="BC55" s="133"/>
      <c r="BD55" s="135"/>
    </row>
    <row r="56" spans="3:56" x14ac:dyDescent="0.25">
      <c r="C56" s="2" t="s">
        <v>162</v>
      </c>
      <c r="D56">
        <v>31239.439999999995</v>
      </c>
      <c r="E56" s="195"/>
      <c r="F56" s="576" t="s">
        <v>163</v>
      </c>
      <c r="G56" s="572">
        <f>H56+I56</f>
        <v>2494.3200000000002</v>
      </c>
      <c r="H56" s="572">
        <v>1035.6500000000001</v>
      </c>
      <c r="I56" s="572">
        <v>1458.67</v>
      </c>
      <c r="J56" s="637">
        <v>199.36</v>
      </c>
      <c r="K56" s="645" t="s">
        <v>210</v>
      </c>
      <c r="L56" s="466">
        <f>'ЗП МАРТ'!J35</f>
        <v>9915.6</v>
      </c>
      <c r="N56" s="2"/>
      <c r="O56" s="35"/>
      <c r="P56" s="1"/>
      <c r="Q56" s="1"/>
      <c r="R56" s="1"/>
      <c r="S56" s="1"/>
      <c r="T56" s="1"/>
      <c r="U56" s="1"/>
      <c r="V56" s="1"/>
      <c r="Y56" s="87"/>
      <c r="Z56" s="87"/>
    </row>
    <row r="57" spans="3:56" x14ac:dyDescent="0.25">
      <c r="C57" s="2" t="s">
        <v>163</v>
      </c>
      <c r="D57" s="8">
        <v>28986.99</v>
      </c>
      <c r="E57" s="195"/>
      <c r="F57" s="576" t="s">
        <v>192</v>
      </c>
      <c r="G57" s="572">
        <f>H57+I57</f>
        <v>2957.59</v>
      </c>
      <c r="H57" s="572">
        <v>918.57</v>
      </c>
      <c r="I57" s="572">
        <v>2039.02</v>
      </c>
      <c r="J57" s="571">
        <v>703.01</v>
      </c>
      <c r="N57" s="1"/>
      <c r="O57" s="1"/>
      <c r="P57" s="1"/>
      <c r="Q57" s="1"/>
      <c r="R57" s="1"/>
      <c r="S57" s="1"/>
      <c r="T57" s="1"/>
      <c r="U57" s="1"/>
      <c r="V57" s="1"/>
      <c r="Y57" s="87"/>
      <c r="Z57" s="87"/>
    </row>
    <row r="58" spans="3:56" x14ac:dyDescent="0.25">
      <c r="C58" s="2" t="s">
        <v>192</v>
      </c>
      <c r="D58" s="87">
        <v>31654.69</v>
      </c>
      <c r="E58" s="2"/>
      <c r="F58" s="576" t="s">
        <v>199</v>
      </c>
      <c r="G58" s="572">
        <f>H58+I58</f>
        <v>2533.39</v>
      </c>
      <c r="H58" s="572">
        <v>899.78</v>
      </c>
      <c r="I58" s="572">
        <v>1633.61</v>
      </c>
      <c r="J58" s="573">
        <v>529.24</v>
      </c>
      <c r="N58" s="128"/>
      <c r="O58" s="647"/>
      <c r="P58" s="1"/>
      <c r="Q58" s="1"/>
      <c r="R58" s="1"/>
      <c r="S58" s="1"/>
      <c r="T58" s="1"/>
      <c r="U58" s="1"/>
      <c r="V58" s="1"/>
    </row>
    <row r="59" spans="3:56" x14ac:dyDescent="0.25">
      <c r="C59" s="2" t="s">
        <v>199</v>
      </c>
      <c r="D59" s="171">
        <v>28891.4</v>
      </c>
      <c r="E59" s="2"/>
      <c r="F59" s="576" t="s">
        <v>209</v>
      </c>
      <c r="G59" s="572">
        <f>H59+I59</f>
        <v>2379.6400000000003</v>
      </c>
      <c r="H59" s="572">
        <v>815.26</v>
      </c>
      <c r="I59" s="572">
        <v>1564.38</v>
      </c>
      <c r="J59" s="573">
        <v>500.24</v>
      </c>
      <c r="N59" s="1"/>
      <c r="O59" s="1"/>
      <c r="P59" s="1"/>
      <c r="Q59" s="1"/>
      <c r="R59" s="1"/>
      <c r="S59" s="1"/>
      <c r="T59" s="1"/>
      <c r="U59" s="1"/>
      <c r="V59" s="1"/>
    </row>
    <row r="60" spans="3:56" ht="15.75" thickBot="1" x14ac:dyDescent="0.3">
      <c r="C60" s="11" t="s">
        <v>209</v>
      </c>
      <c r="D60" s="644">
        <v>28339.37</v>
      </c>
      <c r="E60" s="2"/>
      <c r="F60" s="640" t="s">
        <v>210</v>
      </c>
      <c r="G60" s="641"/>
      <c r="H60" s="642"/>
      <c r="I60" s="641"/>
      <c r="J60" s="643"/>
      <c r="N60" s="1"/>
      <c r="O60" s="1"/>
      <c r="P60" s="1"/>
      <c r="Q60" s="1"/>
      <c r="R60" s="1"/>
      <c r="S60" s="1"/>
      <c r="T60" s="1"/>
      <c r="U60" s="1"/>
      <c r="V60" s="1"/>
    </row>
    <row r="61" spans="3:56" x14ac:dyDescent="0.25">
      <c r="C61" s="2" t="s">
        <v>210</v>
      </c>
      <c r="D61" s="567">
        <f>'ЗП МАРТ'!I35</f>
        <v>22742.850000000002</v>
      </c>
      <c r="E61" s="2"/>
      <c r="N61" s="1"/>
      <c r="O61" s="1"/>
      <c r="P61" s="1"/>
      <c r="Q61" s="1"/>
      <c r="R61" s="1"/>
      <c r="S61" s="1"/>
      <c r="T61" s="1"/>
      <c r="U61" s="1"/>
      <c r="V61" s="1"/>
    </row>
    <row r="62" spans="3:56" x14ac:dyDescent="0.25">
      <c r="C62" s="2"/>
      <c r="E62" s="2"/>
    </row>
    <row r="63" spans="3:56" x14ac:dyDescent="0.25">
      <c r="C63" s="2"/>
      <c r="E63" s="2"/>
    </row>
    <row r="64" spans="3:5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5"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3" priority="35">
      <formula>$B4=7</formula>
    </cfRule>
    <cfRule type="expression" dxfId="42" priority="36">
      <formula>$B4=6</formula>
    </cfRule>
  </conditionalFormatting>
  <conditionalFormatting sqref="P4:U34">
    <cfRule type="expression" dxfId="41" priority="31">
      <formula>$B4=7</formula>
    </cfRule>
    <cfRule type="expression" dxfId="40" priority="32">
      <formula>$B4=6</formula>
    </cfRule>
  </conditionalFormatting>
  <conditionalFormatting sqref="I4:N34">
    <cfRule type="expression" dxfId="39" priority="33">
      <formula>$B4=7</formula>
    </cfRule>
    <cfRule type="expression" dxfId="38" priority="34">
      <formula>$B4=6</formula>
    </cfRule>
  </conditionalFormatting>
  <conditionalFormatting sqref="AC4:AH34">
    <cfRule type="expression" dxfId="37" priority="29">
      <formula>$B4=7</formula>
    </cfRule>
    <cfRule type="expression" dxfId="36" priority="30">
      <formula>$B4=6</formula>
    </cfRule>
  </conditionalFormatting>
  <conditionalFormatting sqref="AJ3:AN3 AM12:AN27 AM30:AN33 AM28 AL4:AN11 AJ4:AK33">
    <cfRule type="expression" dxfId="35" priority="27">
      <formula>$B3=7</formula>
    </cfRule>
    <cfRule type="expression" dxfId="34" priority="28">
      <formula>$B3=6</formula>
    </cfRule>
  </conditionalFormatting>
  <conditionalFormatting sqref="AL31">
    <cfRule type="expression" dxfId="33" priority="25">
      <formula>$B31=7</formula>
    </cfRule>
    <cfRule type="expression" dxfId="32" priority="26">
      <formula>$B31=6</formula>
    </cfRule>
  </conditionalFormatting>
  <conditionalFormatting sqref="AN28">
    <cfRule type="expression" dxfId="31" priority="23">
      <formula>$B28=7</formula>
    </cfRule>
    <cfRule type="expression" dxfId="30" priority="24">
      <formula>$B28=6</formula>
    </cfRule>
  </conditionalFormatting>
  <conditionalFormatting sqref="AL30">
    <cfRule type="expression" dxfId="29" priority="21">
      <formula>$B30=7</formula>
    </cfRule>
    <cfRule type="expression" dxfId="28" priority="22">
      <formula>$B30=6</formula>
    </cfRule>
  </conditionalFormatting>
  <conditionalFormatting sqref="AQ3:AU3 AT31:AU32 AT12:AU27 AU30 AU33 AS4:AU11 AQ4:AR33">
    <cfRule type="expression" dxfId="27" priority="19">
      <formula>$B3=7</formula>
    </cfRule>
    <cfRule type="expression" dxfId="26" priority="20">
      <formula>$B3=6</formula>
    </cfRule>
  </conditionalFormatting>
  <conditionalFormatting sqref="AS31">
    <cfRule type="expression" dxfId="25" priority="17">
      <formula>$B31=7</formula>
    </cfRule>
    <cfRule type="expression" dxfId="24" priority="18">
      <formula>$B31=6</formula>
    </cfRule>
  </conditionalFormatting>
  <conditionalFormatting sqref="AS30">
    <cfRule type="expression" dxfId="23" priority="15">
      <formula>$B30=7</formula>
    </cfRule>
    <cfRule type="expression" dxfId="22" priority="16">
      <formula>$B30=6</formula>
    </cfRule>
  </conditionalFormatting>
  <conditionalFormatting sqref="AS14:AS15">
    <cfRule type="expression" dxfId="21" priority="13">
      <formula>$B14=7</formula>
    </cfRule>
    <cfRule type="expression" dxfId="20" priority="14">
      <formula>$B14=6</formula>
    </cfRule>
  </conditionalFormatting>
  <conditionalFormatting sqref="AS21:AS22">
    <cfRule type="expression" dxfId="19" priority="11">
      <formula>$B21=7</formula>
    </cfRule>
    <cfRule type="expression" dxfId="18" priority="12">
      <formula>$B21=6</formula>
    </cfRule>
  </conditionalFormatting>
  <conditionalFormatting sqref="AS28:AS29">
    <cfRule type="expression" dxfId="17" priority="9">
      <formula>$B28=7</formula>
    </cfRule>
    <cfRule type="expression" dxfId="16" priority="10">
      <formula>$B28=6</formula>
    </cfRule>
  </conditionalFormatting>
  <conditionalFormatting sqref="AT28:AT29">
    <cfRule type="expression" dxfId="15" priority="7">
      <formula>$B28=7</formula>
    </cfRule>
    <cfRule type="expression" dxfId="14" priority="8">
      <formula>$B28=6</formula>
    </cfRule>
  </conditionalFormatting>
  <conditionalFormatting sqref="AU28:AU29">
    <cfRule type="expression" dxfId="13" priority="5">
      <formula>$B28=7</formula>
    </cfRule>
    <cfRule type="expression" dxfId="12" priority="6">
      <formula>$B28=6</formula>
    </cfRule>
  </conditionalFormatting>
  <conditionalFormatting sqref="AT30">
    <cfRule type="expression" dxfId="11" priority="3">
      <formula>$B30=7</formula>
    </cfRule>
    <cfRule type="expression" dxfId="10" priority="4">
      <formula>$B30=6</formula>
    </cfRule>
  </conditionalFormatting>
  <conditionalFormatting sqref="BA33:BB33 AW33:AX33 AW30:BB32 AW27:BA29 AW3:BB22 AW24:BB26 AW23:BA23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0"/>
  <sheetViews>
    <sheetView tabSelected="1" zoomScale="85" zoomScaleNormal="85" zoomScaleSheetLayoutView="70" zoomScalePageLayoutView="70" workbookViewId="0">
      <selection activeCell="G10" sqref="G10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33" t="s">
        <v>284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33" ht="15.75" thickBo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33" ht="15.75" thickTop="1" x14ac:dyDescent="0.25">
      <c r="A3" s="732" t="s">
        <v>28</v>
      </c>
      <c r="B3" s="695"/>
      <c r="C3" s="695"/>
      <c r="D3" s="695"/>
      <c r="E3" s="695"/>
      <c r="F3" s="695"/>
      <c r="G3" s="696"/>
      <c r="H3" s="741" t="s">
        <v>286</v>
      </c>
      <c r="I3" s="742"/>
      <c r="J3" s="742"/>
      <c r="K3" s="742"/>
      <c r="L3" s="742"/>
      <c r="M3" s="743"/>
      <c r="N3" s="612"/>
      <c r="O3" s="722" t="s">
        <v>60</v>
      </c>
      <c r="P3" s="722"/>
      <c r="U3" s="768" t="s">
        <v>168</v>
      </c>
      <c r="V3" s="768"/>
      <c r="Y3" s="240" t="s">
        <v>303</v>
      </c>
      <c r="Z3" s="655" t="s">
        <v>307</v>
      </c>
      <c r="AD3" s="240" t="s">
        <v>303</v>
      </c>
      <c r="AE3" s="655" t="s">
        <v>308</v>
      </c>
    </row>
    <row r="4" spans="1:33" ht="21.75" customHeight="1" x14ac:dyDescent="0.25">
      <c r="A4" s="330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39"/>
      <c r="I4" s="740"/>
      <c r="J4" s="606" t="s">
        <v>35</v>
      </c>
      <c r="K4" s="606" t="s">
        <v>38</v>
      </c>
      <c r="L4" s="606" t="s">
        <v>42</v>
      </c>
      <c r="M4" s="101" t="s">
        <v>44</v>
      </c>
      <c r="N4" s="373"/>
      <c r="O4" s="619" t="s">
        <v>2</v>
      </c>
      <c r="P4" s="619" t="s">
        <v>34</v>
      </c>
      <c r="Q4" s="154" t="s">
        <v>38</v>
      </c>
      <c r="R4" s="154" t="s">
        <v>42</v>
      </c>
      <c r="S4" s="619" t="s">
        <v>100</v>
      </c>
      <c r="T4" s="373"/>
      <c r="U4" s="653" t="s">
        <v>2</v>
      </c>
      <c r="V4" s="653" t="s">
        <v>34</v>
      </c>
      <c r="W4" s="653" t="s">
        <v>302</v>
      </c>
      <c r="X4" s="373"/>
      <c r="Y4" s="653" t="s">
        <v>2</v>
      </c>
      <c r="Z4" s="653" t="s">
        <v>34</v>
      </c>
      <c r="AA4" s="653" t="s">
        <v>302</v>
      </c>
      <c r="AB4" s="653" t="s">
        <v>301</v>
      </c>
      <c r="AD4" s="653" t="s">
        <v>2</v>
      </c>
      <c r="AE4" s="653" t="s">
        <v>34</v>
      </c>
      <c r="AF4" s="653" t="s">
        <v>302</v>
      </c>
      <c r="AG4" s="653" t="s">
        <v>301</v>
      </c>
    </row>
    <row r="5" spans="1:33" x14ac:dyDescent="0.25">
      <c r="A5" s="331">
        <v>43906</v>
      </c>
      <c r="B5" s="164" t="s">
        <v>223</v>
      </c>
      <c r="C5" s="281">
        <v>249.16</v>
      </c>
      <c r="D5" s="281">
        <v>249.16</v>
      </c>
      <c r="E5" s="163" t="str">
        <f t="shared" ref="E5" si="0">IF(C5-D5=0,"",C5-D5)</f>
        <v/>
      </c>
      <c r="F5" s="165" t="str">
        <f t="shared" ref="F5" si="1">IF(C5=0,"",IF(C5-D5=0,"оплачено","ОЖИДАЕТСЯ оплата"))</f>
        <v>оплачено</v>
      </c>
      <c r="G5" s="165"/>
      <c r="H5" s="744" t="s">
        <v>39</v>
      </c>
      <c r="I5" s="713"/>
      <c r="J5" s="601">
        <v>1564.38</v>
      </c>
      <c r="K5" s="657">
        <v>1564.38</v>
      </c>
      <c r="L5" s="163">
        <f t="shared" ref="L5" si="2">J5-K5</f>
        <v>0</v>
      </c>
      <c r="M5" s="102">
        <v>43910</v>
      </c>
      <c r="N5" s="147"/>
      <c r="O5" s="274"/>
      <c r="P5" s="619" t="s">
        <v>133</v>
      </c>
      <c r="Q5" s="619">
        <v>1400</v>
      </c>
      <c r="R5" s="619"/>
      <c r="S5" s="164" t="s">
        <v>313</v>
      </c>
      <c r="T5" s="373"/>
      <c r="U5" s="154">
        <v>43895</v>
      </c>
      <c r="V5" s="653" t="s">
        <v>294</v>
      </c>
      <c r="W5" s="164">
        <f>225.7+250</f>
        <v>475.7</v>
      </c>
      <c r="X5" s="373"/>
      <c r="Y5" s="154">
        <v>43895</v>
      </c>
      <c r="Z5" s="653" t="s">
        <v>294</v>
      </c>
      <c r="AA5" s="164">
        <v>60</v>
      </c>
      <c r="AB5" s="652">
        <v>116</v>
      </c>
      <c r="AD5" s="154">
        <v>43895</v>
      </c>
      <c r="AE5" s="653" t="s">
        <v>295</v>
      </c>
      <c r="AF5" s="164">
        <f>AG5/2</f>
        <v>160</v>
      </c>
      <c r="AG5" s="652">
        <v>320</v>
      </c>
    </row>
    <row r="6" spans="1:33" s="87" customFormat="1" ht="16.5" customHeight="1" x14ac:dyDescent="0.25">
      <c r="A6" s="331">
        <v>43908</v>
      </c>
      <c r="B6" s="164" t="s">
        <v>316</v>
      </c>
      <c r="C6" s="281">
        <v>603.29999999999995</v>
      </c>
      <c r="D6" s="281">
        <v>603.29999999999995</v>
      </c>
      <c r="E6" s="163" t="str">
        <f t="shared" ref="E6:E20" si="3">IF(C6-D6=0,"",C6-D6)</f>
        <v/>
      </c>
      <c r="F6" s="165" t="str">
        <f t="shared" ref="F6:F20" si="4">IF(C6=0,"",IF(C6-D6=0,"оплачено","ОЖИДАЕТСЯ оплата"))</f>
        <v>оплачено</v>
      </c>
      <c r="G6" s="165" t="s">
        <v>131</v>
      </c>
      <c r="H6" s="761" t="s">
        <v>40</v>
      </c>
      <c r="I6" s="762"/>
      <c r="J6" s="531">
        <v>815.26</v>
      </c>
      <c r="K6" s="619">
        <f>295+130+390.26</f>
        <v>815.26</v>
      </c>
      <c r="L6" s="530">
        <f>J6-K6</f>
        <v>0</v>
      </c>
      <c r="M6" s="532">
        <v>43914</v>
      </c>
      <c r="N6" s="468"/>
      <c r="O6" s="274"/>
      <c r="P6" s="619" t="s">
        <v>123</v>
      </c>
      <c r="Q6" s="619">
        <v>3000</v>
      </c>
      <c r="R6" s="619"/>
      <c r="S6" s="619" t="s">
        <v>312</v>
      </c>
      <c r="U6" s="154">
        <v>43895</v>
      </c>
      <c r="V6" s="653" t="s">
        <v>295</v>
      </c>
      <c r="W6" s="653">
        <v>850</v>
      </c>
      <c r="Y6" s="154">
        <v>43895</v>
      </c>
      <c r="Z6" s="653" t="s">
        <v>295</v>
      </c>
      <c r="AA6" s="653">
        <v>850</v>
      </c>
      <c r="AB6" s="653">
        <v>1576</v>
      </c>
      <c r="AD6" s="154">
        <v>43898</v>
      </c>
      <c r="AE6" s="653" t="s">
        <v>304</v>
      </c>
      <c r="AF6" s="653">
        <v>692</v>
      </c>
      <c r="AG6" s="653">
        <v>1998</v>
      </c>
    </row>
    <row r="7" spans="1:33" s="87" customFormat="1" x14ac:dyDescent="0.25">
      <c r="A7" s="331"/>
      <c r="B7" s="164" t="s">
        <v>316</v>
      </c>
      <c r="C7" s="281">
        <v>803.3</v>
      </c>
      <c r="D7" s="281">
        <v>803.3</v>
      </c>
      <c r="E7" s="163" t="str">
        <f t="shared" si="3"/>
        <v/>
      </c>
      <c r="F7" s="165" t="str">
        <f t="shared" si="4"/>
        <v>оплачено</v>
      </c>
      <c r="G7" s="165" t="s">
        <v>131</v>
      </c>
      <c r="H7" s="347"/>
      <c r="I7" s="373"/>
      <c r="J7" s="577">
        <f>SUM(J5:J6)</f>
        <v>2379.6400000000003</v>
      </c>
      <c r="K7" s="373"/>
      <c r="L7" s="85"/>
      <c r="M7" s="320"/>
      <c r="N7" s="373"/>
      <c r="O7" s="274"/>
      <c r="P7" s="619" t="s">
        <v>27</v>
      </c>
      <c r="Q7" s="619">
        <v>677</v>
      </c>
      <c r="R7" s="619"/>
      <c r="S7" s="619"/>
      <c r="U7" s="154">
        <v>43898</v>
      </c>
      <c r="V7" s="653" t="s">
        <v>296</v>
      </c>
      <c r="W7" s="653">
        <v>1200</v>
      </c>
      <c r="Y7" s="154">
        <v>43898</v>
      </c>
      <c r="Z7" s="653" t="s">
        <v>296</v>
      </c>
      <c r="AA7" s="653">
        <v>325</v>
      </c>
      <c r="AB7" s="653">
        <v>580.5</v>
      </c>
      <c r="AD7" s="154"/>
      <c r="AE7" s="653" t="s">
        <v>298</v>
      </c>
      <c r="AF7" s="769">
        <f>AG7/2</f>
        <v>289.5</v>
      </c>
      <c r="AG7" s="769">
        <v>579</v>
      </c>
    </row>
    <row r="8" spans="1:33" s="87" customFormat="1" x14ac:dyDescent="0.25">
      <c r="A8" s="331">
        <v>43913</v>
      </c>
      <c r="B8" s="164" t="s">
        <v>265</v>
      </c>
      <c r="C8" s="281">
        <v>258.97000000000003</v>
      </c>
      <c r="D8" s="281">
        <v>258.97000000000003</v>
      </c>
      <c r="E8" s="163" t="str">
        <f t="shared" si="3"/>
        <v/>
      </c>
      <c r="F8" s="165" t="str">
        <f t="shared" si="4"/>
        <v>оплачено</v>
      </c>
      <c r="G8" s="165"/>
      <c r="H8" s="347"/>
      <c r="I8" s="373"/>
      <c r="J8" s="373"/>
      <c r="K8" s="373"/>
      <c r="L8" s="373"/>
      <c r="M8" s="320"/>
      <c r="N8" s="373"/>
      <c r="O8" s="274"/>
      <c r="P8" s="619" t="s">
        <v>311</v>
      </c>
      <c r="Q8" s="619">
        <v>870</v>
      </c>
      <c r="R8" s="619"/>
      <c r="S8" s="619"/>
      <c r="U8" s="154">
        <v>43898</v>
      </c>
      <c r="V8" s="653" t="s">
        <v>298</v>
      </c>
      <c r="W8" s="653">
        <v>1200</v>
      </c>
      <c r="Y8" s="154">
        <v>43898</v>
      </c>
      <c r="Z8" s="653" t="s">
        <v>297</v>
      </c>
      <c r="AA8" s="653">
        <f>AB8/2</f>
        <v>48.5</v>
      </c>
      <c r="AB8" s="653">
        <v>97</v>
      </c>
      <c r="AD8" s="154"/>
      <c r="AE8" s="653" t="s">
        <v>305</v>
      </c>
      <c r="AF8" s="770"/>
      <c r="AG8" s="770"/>
    </row>
    <row r="9" spans="1:33" s="87" customFormat="1" x14ac:dyDescent="0.25">
      <c r="A9" s="331">
        <v>43914</v>
      </c>
      <c r="B9" s="164" t="s">
        <v>263</v>
      </c>
      <c r="C9" s="281">
        <v>132.30000000000001</v>
      </c>
      <c r="D9" s="281">
        <v>132.30000000000001</v>
      </c>
      <c r="E9" s="163" t="str">
        <f t="shared" si="3"/>
        <v/>
      </c>
      <c r="F9" s="165" t="str">
        <f t="shared" si="4"/>
        <v>оплачено</v>
      </c>
      <c r="G9" s="165" t="s">
        <v>317</v>
      </c>
      <c r="H9" s="347"/>
      <c r="I9" s="373"/>
      <c r="J9" s="373"/>
      <c r="K9" s="373"/>
      <c r="L9" s="373"/>
      <c r="M9" s="320"/>
      <c r="N9" s="373"/>
      <c r="O9" s="274"/>
      <c r="P9" s="619" t="s">
        <v>314</v>
      </c>
      <c r="Q9" s="619">
        <v>435</v>
      </c>
      <c r="R9" s="619"/>
      <c r="S9" s="619"/>
      <c r="U9" s="154">
        <v>43901</v>
      </c>
      <c r="V9" s="653" t="s">
        <v>299</v>
      </c>
      <c r="W9" s="59">
        <v>956.8</v>
      </c>
      <c r="Y9" s="154">
        <v>43898</v>
      </c>
      <c r="Z9" s="653" t="s">
        <v>298</v>
      </c>
      <c r="AA9" s="653">
        <f>AB9/2</f>
        <v>102</v>
      </c>
      <c r="AB9" s="653">
        <v>204</v>
      </c>
      <c r="AD9" s="154"/>
      <c r="AE9" s="653" t="s">
        <v>306</v>
      </c>
      <c r="AF9" s="653">
        <f>AG9/2</f>
        <v>59</v>
      </c>
      <c r="AG9" s="653">
        <v>118</v>
      </c>
    </row>
    <row r="10" spans="1:33" s="87" customFormat="1" ht="15" customHeight="1" x14ac:dyDescent="0.25">
      <c r="A10" s="331"/>
      <c r="B10" s="164"/>
      <c r="C10" s="281"/>
      <c r="D10" s="281"/>
      <c r="E10" s="163" t="str">
        <f t="shared" si="3"/>
        <v/>
      </c>
      <c r="F10" s="165" t="str">
        <f t="shared" si="4"/>
        <v/>
      </c>
      <c r="G10" s="165" t="str">
        <f t="shared" ref="G10:G20" si="5">IF(C10=0,"",IF(C10-D10=0,"","нет накладной"))</f>
        <v/>
      </c>
      <c r="H10" s="347"/>
      <c r="I10" s="373"/>
      <c r="J10" s="373"/>
      <c r="K10" s="373"/>
      <c r="L10" s="373"/>
      <c r="M10" s="320"/>
      <c r="N10" s="617"/>
      <c r="O10" s="274"/>
      <c r="P10" s="659" t="s">
        <v>133</v>
      </c>
      <c r="Q10" s="659">
        <f>810+561</f>
        <v>1371</v>
      </c>
      <c r="R10" s="659"/>
      <c r="S10" s="659"/>
      <c r="U10" s="154">
        <v>43901</v>
      </c>
      <c r="V10" s="653" t="s">
        <v>300</v>
      </c>
      <c r="W10" s="59">
        <v>1100</v>
      </c>
      <c r="Y10" s="154">
        <v>43901</v>
      </c>
      <c r="Z10" s="653" t="s">
        <v>299</v>
      </c>
      <c r="AA10" s="653">
        <v>956.8</v>
      </c>
      <c r="AB10" s="653">
        <v>1475</v>
      </c>
      <c r="AD10" s="154"/>
      <c r="AE10" s="653" t="s">
        <v>315</v>
      </c>
      <c r="AF10" s="653">
        <v>718</v>
      </c>
      <c r="AG10" s="653"/>
    </row>
    <row r="11" spans="1:33" ht="18.75" customHeight="1" x14ac:dyDescent="0.25">
      <c r="A11" s="331"/>
      <c r="B11" s="164"/>
      <c r="C11" s="281"/>
      <c r="D11" s="281"/>
      <c r="E11" s="163" t="str">
        <f t="shared" si="3"/>
        <v/>
      </c>
      <c r="F11" s="165" t="str">
        <f t="shared" si="4"/>
        <v/>
      </c>
      <c r="G11" s="165" t="str">
        <f t="shared" si="5"/>
        <v/>
      </c>
      <c r="H11" s="43"/>
      <c r="I11" s="1"/>
      <c r="J11" s="373"/>
      <c r="K11" s="1"/>
      <c r="L11" s="1"/>
      <c r="M11" s="44"/>
      <c r="N11" s="617"/>
      <c r="O11" s="274"/>
      <c r="P11" s="659" t="s">
        <v>123</v>
      </c>
      <c r="Q11" s="659">
        <v>750</v>
      </c>
      <c r="R11" s="659"/>
      <c r="S11" s="659"/>
      <c r="T11" s="373"/>
      <c r="U11" s="373"/>
      <c r="V11" s="654" t="s">
        <v>315</v>
      </c>
      <c r="W11" s="93">
        <v>3000</v>
      </c>
      <c r="X11" s="373"/>
      <c r="Y11" s="154">
        <v>43901</v>
      </c>
      <c r="Z11" s="653" t="s">
        <v>300</v>
      </c>
      <c r="AA11" s="652">
        <f>AB11/2</f>
        <v>769</v>
      </c>
      <c r="AB11" s="653">
        <v>1538</v>
      </c>
      <c r="AD11" s="154"/>
      <c r="AE11" s="653"/>
      <c r="AF11" s="652"/>
      <c r="AG11" s="653"/>
    </row>
    <row r="12" spans="1:33" ht="15.75" customHeight="1" x14ac:dyDescent="0.25">
      <c r="A12" s="331"/>
      <c r="B12" s="164"/>
      <c r="C12" s="281"/>
      <c r="D12" s="281"/>
      <c r="E12" s="163" t="str">
        <f t="shared" si="3"/>
        <v/>
      </c>
      <c r="F12" s="165" t="str">
        <f t="shared" si="4"/>
        <v/>
      </c>
      <c r="G12" s="165" t="str">
        <f t="shared" si="5"/>
        <v/>
      </c>
      <c r="H12" s="43"/>
      <c r="I12" s="1"/>
      <c r="J12" s="373"/>
      <c r="K12" s="1"/>
      <c r="L12" s="1"/>
      <c r="M12" s="44"/>
      <c r="N12" s="617"/>
      <c r="O12" s="467"/>
      <c r="P12" s="468"/>
      <c r="Q12" s="373"/>
      <c r="R12" s="373"/>
      <c r="S12" s="373"/>
      <c r="T12" s="373"/>
      <c r="U12" s="373"/>
      <c r="V12" s="654" t="s">
        <v>132</v>
      </c>
      <c r="W12" s="93">
        <v>1219</v>
      </c>
      <c r="X12" s="373"/>
      <c r="Y12" s="154">
        <v>43902</v>
      </c>
      <c r="Z12" s="653" t="s">
        <v>297</v>
      </c>
      <c r="AA12" s="652">
        <v>250</v>
      </c>
      <c r="AB12" s="653">
        <v>505.5</v>
      </c>
      <c r="AD12" s="154"/>
      <c r="AE12" s="653"/>
      <c r="AF12" s="652"/>
      <c r="AG12" s="653"/>
    </row>
    <row r="13" spans="1:33" ht="14.25" customHeight="1" x14ac:dyDescent="0.25">
      <c r="A13" s="331"/>
      <c r="B13" s="164"/>
      <c r="C13" s="281"/>
      <c r="D13" s="281"/>
      <c r="E13" s="163" t="str">
        <f t="shared" si="3"/>
        <v/>
      </c>
      <c r="F13" s="165" t="str">
        <f t="shared" si="4"/>
        <v/>
      </c>
      <c r="G13" s="165" t="str">
        <f t="shared" si="5"/>
        <v/>
      </c>
      <c r="H13" s="43"/>
      <c r="I13" s="1"/>
      <c r="J13" s="373"/>
      <c r="K13" s="1"/>
      <c r="L13" s="1"/>
      <c r="M13" s="44"/>
      <c r="N13" s="617"/>
      <c r="O13" s="128"/>
      <c r="P13" s="468"/>
      <c r="Q13" s="373"/>
      <c r="R13" s="373"/>
      <c r="S13" s="373"/>
      <c r="T13" s="373"/>
      <c r="U13" s="373"/>
      <c r="V13" s="373"/>
      <c r="W13" s="373">
        <f>SUM(W5:W12)</f>
        <v>10001.5</v>
      </c>
      <c r="X13" s="373"/>
      <c r="Z13" s="654" t="s">
        <v>314</v>
      </c>
      <c r="AA13" s="1">
        <v>435</v>
      </c>
      <c r="AE13" s="654" t="s">
        <v>309</v>
      </c>
      <c r="AF13" s="35">
        <f>SUM(AF5:AF12)</f>
        <v>1918.5</v>
      </c>
    </row>
    <row r="14" spans="1:33" ht="17.25" customHeight="1" x14ac:dyDescent="0.25">
      <c r="A14" s="331"/>
      <c r="B14" s="164"/>
      <c r="C14" s="281"/>
      <c r="D14" s="281"/>
      <c r="E14" s="163" t="str">
        <f t="shared" si="3"/>
        <v/>
      </c>
      <c r="F14" s="165" t="str">
        <f t="shared" si="4"/>
        <v/>
      </c>
      <c r="G14" s="165" t="str">
        <f t="shared" si="5"/>
        <v/>
      </c>
      <c r="H14" s="43"/>
      <c r="I14" s="1"/>
      <c r="J14" s="373"/>
      <c r="K14" s="1"/>
      <c r="L14" s="1"/>
      <c r="M14" s="44"/>
      <c r="N14" s="617"/>
      <c r="O14" s="373"/>
      <c r="P14" s="373"/>
      <c r="Q14" s="373"/>
      <c r="R14" s="373"/>
      <c r="S14" s="373"/>
      <c r="T14" s="373"/>
      <c r="U14" s="87"/>
      <c r="V14" s="87"/>
      <c r="W14" s="373"/>
      <c r="X14" s="373"/>
      <c r="Z14" s="654" t="s">
        <v>132</v>
      </c>
      <c r="AA14" s="373">
        <v>1219</v>
      </c>
    </row>
    <row r="15" spans="1:33" ht="14.25" customHeight="1" x14ac:dyDescent="0.25">
      <c r="A15" s="331"/>
      <c r="B15" s="164"/>
      <c r="C15" s="281"/>
      <c r="D15" s="281"/>
      <c r="E15" s="163" t="str">
        <f t="shared" si="3"/>
        <v/>
      </c>
      <c r="F15" s="165" t="str">
        <f t="shared" si="4"/>
        <v/>
      </c>
      <c r="G15" s="165" t="str">
        <f t="shared" si="5"/>
        <v/>
      </c>
      <c r="H15" s="43"/>
      <c r="I15" s="1"/>
      <c r="J15" s="373"/>
      <c r="K15" s="1"/>
      <c r="L15" s="1"/>
      <c r="M15" s="44"/>
      <c r="N15" s="617"/>
      <c r="O15" s="373"/>
      <c r="P15" s="468"/>
      <c r="Q15" s="373"/>
      <c r="R15" s="373"/>
      <c r="S15" s="373"/>
      <c r="T15" s="373"/>
      <c r="U15" s="87"/>
      <c r="V15" s="87"/>
      <c r="W15" s="373"/>
      <c r="X15" s="373"/>
      <c r="Z15" s="654" t="s">
        <v>315</v>
      </c>
      <c r="AA15" s="373">
        <v>1700</v>
      </c>
      <c r="AF15" s="35">
        <f>AF13+AA16</f>
        <v>8633.7999999999993</v>
      </c>
    </row>
    <row r="16" spans="1:33" x14ac:dyDescent="0.25">
      <c r="A16" s="331"/>
      <c r="B16" s="164"/>
      <c r="C16" s="281"/>
      <c r="D16" s="281"/>
      <c r="E16" s="163" t="str">
        <f t="shared" si="3"/>
        <v/>
      </c>
      <c r="F16" s="165" t="str">
        <f t="shared" si="4"/>
        <v/>
      </c>
      <c r="G16" s="165" t="str">
        <f t="shared" si="5"/>
        <v/>
      </c>
      <c r="H16" s="43"/>
      <c r="I16" s="1"/>
      <c r="J16" s="373"/>
      <c r="K16" s="1"/>
      <c r="L16" s="1"/>
      <c r="M16" s="44"/>
      <c r="N16" s="301"/>
      <c r="O16" s="373"/>
      <c r="P16" s="647"/>
      <c r="Q16" s="647"/>
      <c r="R16" s="373"/>
      <c r="S16" s="87"/>
      <c r="T16" s="87"/>
      <c r="U16" s="87"/>
      <c r="V16" s="87"/>
      <c r="W16" s="87"/>
      <c r="X16" s="87"/>
      <c r="Z16" s="654" t="s">
        <v>309</v>
      </c>
      <c r="AA16" s="35">
        <f>SUM(AA5:AA15)</f>
        <v>6715.3</v>
      </c>
    </row>
    <row r="17" spans="1:26" x14ac:dyDescent="0.25">
      <c r="A17" s="331"/>
      <c r="B17" s="164"/>
      <c r="C17" s="281"/>
      <c r="D17" s="281"/>
      <c r="E17" s="163" t="str">
        <f t="shared" si="3"/>
        <v/>
      </c>
      <c r="F17" s="165" t="str">
        <f t="shared" si="4"/>
        <v/>
      </c>
      <c r="G17" s="165" t="str">
        <f t="shared" si="5"/>
        <v/>
      </c>
      <c r="H17" s="43"/>
      <c r="I17" s="1"/>
      <c r="J17" s="373"/>
      <c r="K17" s="1"/>
      <c r="L17" s="1"/>
      <c r="M17" s="44"/>
      <c r="N17" s="301"/>
      <c r="O17" s="373"/>
      <c r="P17" s="468"/>
      <c r="Q17" s="373"/>
      <c r="R17" s="373"/>
      <c r="S17" s="87"/>
      <c r="T17" s="87"/>
      <c r="U17" s="87"/>
      <c r="V17" s="87"/>
      <c r="W17" s="87"/>
      <c r="X17" s="87"/>
    </row>
    <row r="18" spans="1:26" ht="15.75" customHeight="1" x14ac:dyDescent="0.25">
      <c r="A18" s="331"/>
      <c r="B18" s="164"/>
      <c r="C18" s="281"/>
      <c r="D18" s="281"/>
      <c r="E18" s="163" t="str">
        <f t="shared" si="3"/>
        <v/>
      </c>
      <c r="F18" s="165" t="str">
        <f t="shared" si="4"/>
        <v/>
      </c>
      <c r="G18" s="165" t="str">
        <f t="shared" si="5"/>
        <v/>
      </c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  <c r="U18" s="87"/>
      <c r="V18" s="87"/>
      <c r="W18" s="87"/>
      <c r="X18" s="87"/>
    </row>
    <row r="19" spans="1:26" x14ac:dyDescent="0.25">
      <c r="A19" s="331"/>
      <c r="B19" s="164"/>
      <c r="C19" s="281"/>
      <c r="D19" s="281"/>
      <c r="E19" s="163" t="str">
        <f t="shared" si="3"/>
        <v/>
      </c>
      <c r="F19" s="165" t="str">
        <f t="shared" si="4"/>
        <v/>
      </c>
      <c r="G19" s="165" t="str">
        <f t="shared" si="5"/>
        <v/>
      </c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  <c r="U19" s="87"/>
      <c r="V19" s="87"/>
      <c r="W19" s="87"/>
      <c r="X19" s="87"/>
    </row>
    <row r="20" spans="1:26" x14ac:dyDescent="0.25">
      <c r="A20" s="331"/>
      <c r="B20" s="164"/>
      <c r="C20" s="281"/>
      <c r="D20" s="281"/>
      <c r="E20" s="163" t="str">
        <f t="shared" si="3"/>
        <v/>
      </c>
      <c r="F20" s="165" t="str">
        <f t="shared" si="4"/>
        <v/>
      </c>
      <c r="G20" s="165" t="str">
        <f t="shared" si="5"/>
        <v/>
      </c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  <c r="U20" s="87"/>
      <c r="V20" s="87"/>
      <c r="W20" s="87"/>
      <c r="X20" s="87"/>
    </row>
    <row r="21" spans="1:26" ht="15.75" thickBot="1" x14ac:dyDescent="0.3">
      <c r="A21" s="765" t="s">
        <v>278</v>
      </c>
      <c r="B21" s="766"/>
      <c r="C21" s="365">
        <f>SUM(C5:C20)</f>
        <v>2047.0299999999997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  <c r="U21" s="87"/>
      <c r="V21" s="87"/>
      <c r="W21" s="87"/>
      <c r="X21" s="87"/>
    </row>
    <row r="22" spans="1:26" ht="15.75" thickTop="1" x14ac:dyDescent="0.25">
      <c r="A22" s="358"/>
      <c r="B22" s="359"/>
      <c r="C22" s="360"/>
      <c r="D22" s="360"/>
      <c r="E22" s="361"/>
      <c r="F22" s="359"/>
      <c r="G22" s="392"/>
      <c r="H22" s="697" t="s">
        <v>16</v>
      </c>
      <c r="I22" s="699" t="s">
        <v>17</v>
      </c>
      <c r="J22" s="699" t="s">
        <v>21</v>
      </c>
      <c r="K22" s="699"/>
      <c r="L22" s="701" t="s">
        <v>93</v>
      </c>
      <c r="M22" s="703" t="s">
        <v>95</v>
      </c>
      <c r="N22" s="1"/>
      <c r="O22" s="128"/>
      <c r="P22" s="468"/>
      <c r="Q22" s="373"/>
      <c r="R22" s="373"/>
      <c r="S22" s="87"/>
      <c r="T22" s="87"/>
      <c r="U22" s="87"/>
      <c r="V22" s="87"/>
      <c r="W22" s="87"/>
      <c r="X22" s="87"/>
    </row>
    <row r="23" spans="1:26" ht="24" x14ac:dyDescent="0.25">
      <c r="A23" s="362"/>
      <c r="B23" s="207"/>
      <c r="C23" s="207"/>
      <c r="D23" s="207"/>
      <c r="E23" s="222"/>
      <c r="F23" s="207"/>
      <c r="G23" s="207"/>
      <c r="H23" s="698"/>
      <c r="I23" s="700"/>
      <c r="J23" s="607" t="s">
        <v>21</v>
      </c>
      <c r="K23" s="607" t="s">
        <v>25</v>
      </c>
      <c r="L23" s="702"/>
      <c r="M23" s="704"/>
      <c r="N23" s="1"/>
      <c r="O23" s="1" t="s">
        <v>73</v>
      </c>
      <c r="P23" s="650" t="s">
        <v>290</v>
      </c>
      <c r="Q23" s="373" t="s">
        <v>291</v>
      </c>
      <c r="R23" s="373" t="s">
        <v>292</v>
      </c>
      <c r="S23" s="373" t="s">
        <v>293</v>
      </c>
      <c r="T23" s="87"/>
      <c r="U23" s="87"/>
      <c r="V23" s="87"/>
      <c r="W23" s="87"/>
      <c r="X23" s="87"/>
    </row>
    <row r="24" spans="1:26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>L24/1.8</f>
        <v>28973.333333333332</v>
      </c>
      <c r="Q24" s="148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73">
        <v>35259.58</v>
      </c>
      <c r="P25" s="85">
        <f t="shared" ref="P25:P32" si="6">L25/1.8</f>
        <v>22481.083333333336</v>
      </c>
      <c r="Q25" s="148">
        <f>ОБЩЕЕ!R46+ОБЩЕЕ!S46+ОБЩЕЕ!T46</f>
        <v>1724.7972</v>
      </c>
      <c r="R25" s="85">
        <f>3748.79+2500</f>
        <v>6248.79</v>
      </c>
      <c r="S25" s="651">
        <f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7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8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651">
        <f t="shared" ref="S26:S32" si="8">O26-P26-Q26-R26</f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7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8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651">
        <f t="shared" si="8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7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8">
        <f>ОБЩЕЕ!AS46+ОБЩЕЕ!AU45+ОБЩЕЕ!AU45</f>
        <v>1192.5534</v>
      </c>
      <c r="R28" s="85">
        <f>'ОБЩАЯ СВЕРКА'!K138+1900</f>
        <v>5448.89</v>
      </c>
      <c r="S28" s="651">
        <f t="shared" si="8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8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651">
        <f t="shared" si="8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8">
        <f>'ЗП ДЕКАБРЬ'!D49+'ЗП ДЕКАБРЬ'!E49</f>
        <v>1764.87</v>
      </c>
      <c r="R30" s="85">
        <f>'сверка ДЕКАБРЬ'!J41-'сверка ДЕКАБРЬ'!K36</f>
        <v>5836.0700000000006</v>
      </c>
      <c r="S30" s="651">
        <f t="shared" si="8"/>
        <v>5782.6388888888896</v>
      </c>
      <c r="T30" s="87"/>
      <c r="U30" s="87"/>
      <c r="V30" s="87"/>
      <c r="W30" s="87"/>
      <c r="X30" s="87"/>
      <c r="Z30" s="373"/>
    </row>
    <row r="31" spans="1:26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8">
        <f>'ЗП ЯНВАРЬ'!D45+'ЗП ЯНВАРЬ'!E45</f>
        <v>1618.68</v>
      </c>
      <c r="R31" s="85">
        <f>'сверка ЯНВАРЬ'!J43-'сверка ЯНВАРЬ'!K38</f>
        <v>6989.58</v>
      </c>
      <c r="S31" s="651">
        <f t="shared" si="8"/>
        <v>50.362222222223863</v>
      </c>
      <c r="T31" s="87"/>
      <c r="U31" s="87"/>
      <c r="V31" s="87"/>
      <c r="W31" s="87"/>
      <c r="X31" s="87"/>
      <c r="Z31" s="373"/>
    </row>
    <row r="32" spans="1:26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8">
        <f>'ЗП ФЕВРАЛЬ'!D44+'ЗП ФЕВРАЛЬ'!E44</f>
        <v>1523.3</v>
      </c>
      <c r="R32" s="85">
        <f>ФЕВРАЛЬ!J46-ФЕВРАЛЬ!K41</f>
        <v>5927.73</v>
      </c>
      <c r="S32" s="651">
        <f t="shared" si="8"/>
        <v>964.72888888888974</v>
      </c>
      <c r="T32" s="87"/>
      <c r="U32" s="87"/>
      <c r="V32" s="87"/>
      <c r="W32" s="87"/>
      <c r="X32" s="87"/>
      <c r="Y32" s="373"/>
      <c r="Z32" s="373"/>
    </row>
    <row r="33" spans="1:26" ht="12.75" customHeight="1" thickTop="1" x14ac:dyDescent="0.25">
      <c r="A33" s="346"/>
      <c r="B33" s="205"/>
      <c r="C33" s="1"/>
      <c r="D33" s="279"/>
      <c r="E33" s="85"/>
      <c r="F33" s="373"/>
      <c r="G33" s="373"/>
      <c r="H33" s="681" t="s">
        <v>36</v>
      </c>
      <c r="I33" s="683" t="s">
        <v>178</v>
      </c>
      <c r="J33" s="684"/>
      <c r="K33" s="685"/>
      <c r="L33" s="689" t="s">
        <v>159</v>
      </c>
      <c r="M33" s="690"/>
      <c r="N33" s="1"/>
      <c r="P33" s="85"/>
      <c r="Q33" s="373"/>
      <c r="R33" s="373"/>
      <c r="S33" s="87"/>
      <c r="T33" s="87"/>
      <c r="U33" s="87"/>
      <c r="V33" s="87"/>
      <c r="W33" s="87"/>
      <c r="X33" s="87"/>
      <c r="Y33" s="373"/>
      <c r="Z33" s="373"/>
    </row>
    <row r="34" spans="1:26" ht="13.5" customHeight="1" x14ac:dyDescent="0.25">
      <c r="A34" s="346"/>
      <c r="B34" s="205"/>
      <c r="C34" s="290"/>
      <c r="D34" s="279"/>
      <c r="E34" s="290"/>
      <c r="F34" s="373"/>
      <c r="G34" s="394"/>
      <c r="H34" s="682"/>
      <c r="I34" s="686"/>
      <c r="J34" s="687"/>
      <c r="K34" s="688"/>
      <c r="L34" s="691"/>
      <c r="M34" s="692"/>
      <c r="N34" s="1"/>
      <c r="P34" s="85"/>
      <c r="Q34" s="373"/>
      <c r="R34" s="373"/>
      <c r="S34" s="87"/>
      <c r="T34" s="87"/>
      <c r="U34" s="300"/>
      <c r="V34" s="300"/>
      <c r="W34" s="87"/>
      <c r="X34" s="87"/>
      <c r="Y34" s="373"/>
      <c r="Z34" s="373"/>
    </row>
    <row r="35" spans="1:26" ht="15.75" customHeight="1" x14ac:dyDescent="0.25">
      <c r="A35" s="346"/>
      <c r="B35" s="205"/>
      <c r="C35" s="205"/>
      <c r="D35" s="279"/>
      <c r="E35" s="205"/>
      <c r="F35" s="373"/>
      <c r="G35" s="394"/>
      <c r="H35" s="596" t="s">
        <v>259</v>
      </c>
      <c r="I35" s="756" t="s">
        <v>47</v>
      </c>
      <c r="J35" s="756"/>
      <c r="K35" s="618">
        <v>328.13</v>
      </c>
      <c r="L35" s="288">
        <v>43905</v>
      </c>
      <c r="M35" s="44" t="s">
        <v>246</v>
      </c>
      <c r="N35" s="153"/>
      <c r="P35" s="373"/>
      <c r="Q35" s="373"/>
      <c r="R35" s="373"/>
      <c r="S35" s="87"/>
      <c r="T35" s="87"/>
      <c r="U35" s="300"/>
      <c r="V35" s="300"/>
      <c r="W35" s="87"/>
      <c r="X35" s="87"/>
      <c r="Y35" s="373"/>
      <c r="Z35" s="373"/>
    </row>
    <row r="36" spans="1:26" x14ac:dyDescent="0.25">
      <c r="A36" s="346"/>
      <c r="B36" s="373"/>
      <c r="C36" s="280"/>
      <c r="D36" s="279"/>
      <c r="E36" s="280"/>
      <c r="F36" s="373"/>
      <c r="G36" s="373"/>
      <c r="H36" s="596" t="s">
        <v>259</v>
      </c>
      <c r="I36" s="757" t="s">
        <v>51</v>
      </c>
      <c r="J36" s="757"/>
      <c r="K36" s="619">
        <v>71.83</v>
      </c>
      <c r="L36" s="288">
        <v>43905</v>
      </c>
      <c r="M36" s="44" t="s">
        <v>246</v>
      </c>
      <c r="N36" s="1"/>
      <c r="P36" s="615"/>
      <c r="Q36" s="614"/>
      <c r="R36" s="614"/>
      <c r="S36" s="373"/>
      <c r="T36" s="300"/>
      <c r="U36" s="300"/>
      <c r="V36" s="300"/>
      <c r="W36" s="300"/>
      <c r="X36" s="300"/>
      <c r="Y36" s="373"/>
    </row>
    <row r="37" spans="1:26" x14ac:dyDescent="0.25">
      <c r="A37" s="347"/>
      <c r="B37" s="373"/>
      <c r="C37" s="373"/>
      <c r="D37" s="279"/>
      <c r="E37" s="205"/>
      <c r="F37" s="373"/>
      <c r="G37" s="373"/>
      <c r="H37" s="596" t="s">
        <v>259</v>
      </c>
      <c r="I37" s="757" t="s">
        <v>52</v>
      </c>
      <c r="J37" s="757"/>
      <c r="K37" s="619">
        <v>5.63</v>
      </c>
      <c r="L37" s="288">
        <v>43905</v>
      </c>
      <c r="M37" s="44" t="s">
        <v>246</v>
      </c>
      <c r="N37" s="1"/>
      <c r="P37" s="533"/>
      <c r="Q37" s="614"/>
      <c r="R37" s="614"/>
      <c r="S37" s="373"/>
      <c r="T37" s="300"/>
      <c r="U37" s="373"/>
      <c r="V37" s="373"/>
      <c r="W37" s="300"/>
      <c r="X37" s="300"/>
      <c r="Y37" s="373"/>
    </row>
    <row r="38" spans="1:26" x14ac:dyDescent="0.25">
      <c r="A38" s="347"/>
      <c r="B38" s="373"/>
      <c r="C38" s="373"/>
      <c r="D38" s="279"/>
      <c r="E38" s="373"/>
      <c r="F38" s="373"/>
      <c r="G38" s="373"/>
      <c r="H38" s="596" t="s">
        <v>259</v>
      </c>
      <c r="I38" s="757" t="s">
        <v>49</v>
      </c>
      <c r="J38" s="757"/>
      <c r="K38" s="619">
        <v>257</v>
      </c>
      <c r="L38" s="288">
        <v>43910</v>
      </c>
      <c r="M38" s="44" t="s">
        <v>288</v>
      </c>
      <c r="N38" s="153"/>
      <c r="P38" s="454"/>
      <c r="Q38" s="614"/>
      <c r="R38" s="614"/>
      <c r="S38" s="373"/>
      <c r="T38" s="300"/>
      <c r="U38" s="300"/>
      <c r="V38" s="300"/>
      <c r="W38" s="300"/>
      <c r="X38" s="300"/>
      <c r="Y38" s="373"/>
    </row>
    <row r="39" spans="1:26" x14ac:dyDescent="0.25">
      <c r="A39" s="347"/>
      <c r="B39" s="373"/>
      <c r="C39" s="373"/>
      <c r="D39" s="279"/>
      <c r="E39" s="373"/>
      <c r="F39" s="373"/>
      <c r="G39" s="373"/>
      <c r="H39" s="596" t="s">
        <v>259</v>
      </c>
      <c r="I39" s="758" t="s">
        <v>59</v>
      </c>
      <c r="J39" s="758"/>
      <c r="K39" s="480">
        <v>654.32000000000005</v>
      </c>
      <c r="L39" s="308" t="s">
        <v>177</v>
      </c>
      <c r="M39" s="44" t="s">
        <v>246</v>
      </c>
      <c r="N39" s="1"/>
      <c r="P39" s="454"/>
      <c r="Q39" s="614"/>
      <c r="R39" s="614"/>
      <c r="S39" s="373"/>
      <c r="T39" s="373"/>
      <c r="U39" s="300"/>
      <c r="V39" s="300"/>
      <c r="W39" s="373"/>
      <c r="X39" s="373"/>
      <c r="Y39" s="373"/>
    </row>
    <row r="40" spans="1:26" x14ac:dyDescent="0.25">
      <c r="A40" s="347"/>
      <c r="B40" s="205"/>
      <c r="C40" s="205"/>
      <c r="D40" s="279"/>
      <c r="E40" s="205"/>
      <c r="F40" s="373"/>
      <c r="G40" s="373"/>
      <c r="H40" s="596" t="s">
        <v>259</v>
      </c>
      <c r="I40" s="759" t="s">
        <v>68</v>
      </c>
      <c r="J40" s="760"/>
      <c r="K40" s="619">
        <v>324.85000000000002</v>
      </c>
      <c r="L40" s="288">
        <v>43910</v>
      </c>
      <c r="M40" s="44" t="s">
        <v>246</v>
      </c>
      <c r="N40" s="1"/>
      <c r="P40" s="373"/>
      <c r="Q40" s="614"/>
      <c r="R40" s="614"/>
      <c r="S40" s="373"/>
      <c r="T40" s="300"/>
      <c r="U40" s="300"/>
      <c r="V40" s="300"/>
      <c r="W40" s="300"/>
      <c r="X40" s="300"/>
      <c r="Y40" s="373"/>
    </row>
    <row r="41" spans="1:26" x14ac:dyDescent="0.25">
      <c r="A41" s="347"/>
      <c r="B41" s="205"/>
      <c r="C41" s="373"/>
      <c r="D41" s="279"/>
      <c r="E41" s="205"/>
      <c r="F41" s="373"/>
      <c r="G41" s="373"/>
      <c r="H41" s="596" t="s">
        <v>259</v>
      </c>
      <c r="I41" s="620" t="s">
        <v>174</v>
      </c>
      <c r="J41" s="621"/>
      <c r="K41" s="5">
        <v>518.58999999999992</v>
      </c>
      <c r="L41" s="288">
        <v>43905</v>
      </c>
      <c r="M41" s="44" t="s">
        <v>246</v>
      </c>
      <c r="N41" s="12"/>
      <c r="P41" s="373"/>
      <c r="Q41" s="372"/>
      <c r="R41" s="372"/>
      <c r="S41" s="373"/>
      <c r="T41" s="300"/>
      <c r="U41" s="300"/>
      <c r="V41" s="300"/>
      <c r="W41" s="300"/>
      <c r="X41" s="300"/>
      <c r="Y41" s="373"/>
    </row>
    <row r="42" spans="1:26" x14ac:dyDescent="0.25">
      <c r="A42" s="347"/>
      <c r="B42" s="205"/>
      <c r="C42" s="373"/>
      <c r="D42" s="279"/>
      <c r="E42" s="205"/>
      <c r="F42" s="373"/>
      <c r="G42" s="373"/>
      <c r="H42" s="357" t="s">
        <v>267</v>
      </c>
      <c r="I42" s="620" t="s">
        <v>176</v>
      </c>
      <c r="J42" s="621"/>
      <c r="K42" s="619"/>
      <c r="L42" s="288">
        <v>43910</v>
      </c>
      <c r="M42" s="44" t="s">
        <v>246</v>
      </c>
      <c r="N42" s="1"/>
      <c r="O42" s="12"/>
      <c r="P42" s="85"/>
      <c r="Q42" s="372"/>
      <c r="R42" s="372"/>
      <c r="S42" s="373"/>
      <c r="T42" s="300"/>
      <c r="U42" s="300"/>
      <c r="V42" s="300"/>
      <c r="W42" s="300"/>
      <c r="X42" s="300"/>
      <c r="Y42" s="373"/>
    </row>
    <row r="43" spans="1:26" x14ac:dyDescent="0.25">
      <c r="A43" s="347"/>
      <c r="B43" s="205"/>
      <c r="C43" s="373"/>
      <c r="D43" s="279"/>
      <c r="E43" s="238"/>
      <c r="F43" s="373"/>
      <c r="G43" s="373"/>
      <c r="H43" s="596" t="s">
        <v>259</v>
      </c>
      <c r="I43" s="759" t="s">
        <v>81</v>
      </c>
      <c r="J43" s="760"/>
      <c r="K43" s="619">
        <v>1575.56</v>
      </c>
      <c r="L43" s="288">
        <v>43905</v>
      </c>
      <c r="M43" s="44" t="s">
        <v>246</v>
      </c>
      <c r="N43" s="1"/>
      <c r="P43" s="85"/>
      <c r="Q43" s="614"/>
      <c r="R43" s="614"/>
      <c r="S43" s="373"/>
      <c r="T43" s="300"/>
      <c r="U43" s="300"/>
      <c r="V43" s="300"/>
      <c r="W43" s="300"/>
      <c r="X43" s="300"/>
      <c r="Y43" s="373"/>
    </row>
    <row r="44" spans="1:26" x14ac:dyDescent="0.25">
      <c r="A44" s="347"/>
      <c r="B44" s="205"/>
      <c r="C44" s="373"/>
      <c r="D44" s="279"/>
      <c r="E44" s="238"/>
      <c r="F44" s="373"/>
      <c r="G44" s="373"/>
      <c r="H44" s="596" t="s">
        <v>259</v>
      </c>
      <c r="I44" s="759" t="s">
        <v>181</v>
      </c>
      <c r="J44" s="760"/>
      <c r="K44" s="619">
        <v>10</v>
      </c>
      <c r="L44" s="288">
        <v>43905</v>
      </c>
      <c r="M44" s="44" t="s">
        <v>246</v>
      </c>
      <c r="N44" s="1"/>
      <c r="P44" s="85"/>
      <c r="Q44" s="372"/>
      <c r="R44" s="373"/>
      <c r="S44" s="373"/>
      <c r="T44" s="300"/>
      <c r="U44" s="373"/>
      <c r="V44" s="373"/>
      <c r="W44" s="300"/>
      <c r="X44" s="300"/>
      <c r="Y44" s="373"/>
    </row>
    <row r="45" spans="1:26" x14ac:dyDescent="0.25">
      <c r="A45" s="347"/>
      <c r="B45" s="205"/>
      <c r="C45" s="373"/>
      <c r="D45" s="279"/>
      <c r="E45" s="238"/>
      <c r="F45" s="373"/>
      <c r="G45" s="373"/>
      <c r="H45" s="596" t="s">
        <v>259</v>
      </c>
      <c r="I45" s="675" t="s">
        <v>61</v>
      </c>
      <c r="J45" s="675"/>
      <c r="K45" s="94">
        <f>J5+J6</f>
        <v>2379.6400000000003</v>
      </c>
      <c r="L45" s="288">
        <v>43910</v>
      </c>
      <c r="M45" s="44" t="s">
        <v>246</v>
      </c>
      <c r="N45" s="1"/>
      <c r="P45" s="373"/>
      <c r="Q45" s="372"/>
      <c r="R45" s="372"/>
      <c r="S45" s="373"/>
      <c r="T45" s="300"/>
      <c r="U45" s="373"/>
      <c r="V45" s="373"/>
      <c r="W45" s="300"/>
      <c r="X45" s="300"/>
      <c r="Y45" s="373"/>
    </row>
    <row r="46" spans="1:26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6125.5499999999993</v>
      </c>
      <c r="K46" s="676" t="s">
        <v>180</v>
      </c>
      <c r="L46" s="676"/>
      <c r="M46" s="542"/>
      <c r="N46" s="1"/>
      <c r="P46" s="373"/>
      <c r="Q46" s="373"/>
      <c r="R46" s="373"/>
      <c r="S46" s="373"/>
      <c r="T46" s="373"/>
      <c r="U46" s="373"/>
      <c r="V46" s="373"/>
      <c r="W46" s="373"/>
      <c r="X46" s="373"/>
      <c r="Y46" s="373"/>
    </row>
    <row r="47" spans="1:26" ht="15.75" thickTop="1" x14ac:dyDescent="0.25">
      <c r="A47" s="373"/>
      <c r="B47" s="373"/>
      <c r="C47" s="373"/>
      <c r="D47" s="373"/>
      <c r="E47" s="373"/>
      <c r="F47" s="373"/>
      <c r="G47" s="373"/>
      <c r="H47" s="735"/>
      <c r="I47" s="735"/>
      <c r="J47" s="735"/>
      <c r="K47" s="735"/>
      <c r="L47" s="373"/>
      <c r="M47" s="460"/>
      <c r="N47" s="1"/>
      <c r="P47" s="373"/>
      <c r="Q47" s="373"/>
      <c r="R47" s="373"/>
      <c r="S47" s="373"/>
      <c r="T47" s="373"/>
      <c r="U47" s="373"/>
      <c r="V47" s="373"/>
      <c r="W47" s="373"/>
      <c r="X47" s="373"/>
      <c r="Y47" s="373"/>
    </row>
    <row r="48" spans="1:26" ht="15" customHeight="1" x14ac:dyDescent="0.25">
      <c r="A48" s="733" t="s">
        <v>285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1"/>
      <c r="P48" s="1"/>
      <c r="Q48" s="373"/>
      <c r="R48" s="373"/>
      <c r="S48" s="373"/>
      <c r="T48" s="373"/>
      <c r="U48" s="373"/>
      <c r="V48" s="373"/>
      <c r="W48" s="373"/>
      <c r="X48" s="373"/>
    </row>
    <row r="49" spans="1:24" ht="15.75" customHeight="1" thickBot="1" x14ac:dyDescent="0.3">
      <c r="A49" s="734"/>
      <c r="B49" s="734"/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1"/>
      <c r="P49" s="1"/>
      <c r="Q49" s="373"/>
      <c r="R49" s="372"/>
      <c r="S49" s="614"/>
      <c r="T49" s="373"/>
      <c r="U49" s="373"/>
      <c r="V49" s="373"/>
      <c r="W49" s="373"/>
      <c r="X49" s="373"/>
    </row>
    <row r="50" spans="1:24" ht="15.75" thickTop="1" x14ac:dyDescent="0.25">
      <c r="A50" s="732" t="s">
        <v>28</v>
      </c>
      <c r="B50" s="695"/>
      <c r="C50" s="695"/>
      <c r="D50" s="695"/>
      <c r="E50" s="695"/>
      <c r="F50" s="695"/>
      <c r="G50" s="696"/>
      <c r="H50" s="736" t="s">
        <v>287</v>
      </c>
      <c r="I50" s="737"/>
      <c r="J50" s="737"/>
      <c r="K50" s="737"/>
      <c r="L50" s="737"/>
      <c r="M50" s="738"/>
      <c r="N50" s="1"/>
      <c r="S50" s="280"/>
      <c r="T50" s="373"/>
      <c r="U50" s="373"/>
      <c r="V50" s="373"/>
      <c r="W50" s="373"/>
      <c r="X50" s="373"/>
    </row>
    <row r="51" spans="1:24" x14ac:dyDescent="0.25">
      <c r="A51" s="330" t="s">
        <v>2</v>
      </c>
      <c r="B51" s="611" t="s">
        <v>34</v>
      </c>
      <c r="C51" s="36" t="s">
        <v>35</v>
      </c>
      <c r="D51" s="36" t="s">
        <v>38</v>
      </c>
      <c r="E51" s="36" t="s">
        <v>42</v>
      </c>
      <c r="F51" s="611" t="s">
        <v>36</v>
      </c>
      <c r="G51" s="101" t="s">
        <v>173</v>
      </c>
      <c r="H51" s="43"/>
      <c r="I51" s="606" t="s">
        <v>35</v>
      </c>
      <c r="J51" s="606" t="s">
        <v>38</v>
      </c>
      <c r="K51" s="606" t="s">
        <v>42</v>
      </c>
      <c r="L51" s="269" t="s">
        <v>44</v>
      </c>
      <c r="M51" s="461"/>
      <c r="N51" s="1"/>
      <c r="S51" s="280"/>
      <c r="T51" s="85"/>
      <c r="U51" s="373"/>
      <c r="V51" s="373"/>
      <c r="W51" s="373"/>
      <c r="X51" s="373"/>
    </row>
    <row r="52" spans="1:24" x14ac:dyDescent="0.25">
      <c r="A52" s="331">
        <v>43888</v>
      </c>
      <c r="B52" s="164" t="s">
        <v>282</v>
      </c>
      <c r="C52" s="281">
        <v>1008.8</v>
      </c>
      <c r="D52" s="281"/>
      <c r="E52" s="656">
        <f t="shared" ref="E52" si="9">IF(C52-D52=0,"",C52-D52)</f>
        <v>1008.8</v>
      </c>
      <c r="F52" s="165" t="str">
        <f t="shared" ref="F52" si="10">IF(C52=0,"",IF(C52-D52=0,"оплачено","ОЖИДАЕТСЯ оплата"))</f>
        <v>ОЖИДАЕТСЯ оплата</v>
      </c>
      <c r="G52" s="165"/>
      <c r="H52" s="43"/>
      <c r="I52" s="613">
        <v>500.24</v>
      </c>
      <c r="J52" s="613">
        <f>150+350.24</f>
        <v>500.24</v>
      </c>
      <c r="K52" s="163">
        <f t="shared" ref="K52" si="11">I52-J52</f>
        <v>0</v>
      </c>
      <c r="L52" s="3">
        <v>43914</v>
      </c>
      <c r="M52" s="451"/>
      <c r="N52" s="1"/>
      <c r="S52" s="373"/>
      <c r="T52" s="373"/>
      <c r="W52" s="373"/>
      <c r="X52" s="373"/>
    </row>
    <row r="53" spans="1:24" x14ac:dyDescent="0.25">
      <c r="A53" s="331">
        <v>43894</v>
      </c>
      <c r="B53" s="164" t="s">
        <v>205</v>
      </c>
      <c r="C53" s="281">
        <v>236.18</v>
      </c>
      <c r="D53" s="281">
        <v>236.18</v>
      </c>
      <c r="E53" s="656" t="str">
        <f t="shared" ref="E53:E67" si="12">IF(C53-D53=0,"",C53-D53)</f>
        <v/>
      </c>
      <c r="F53" s="165" t="str">
        <f t="shared" ref="F53:F67" si="13">IF(C53=0,"",IF(C53-D53=0,"оплачено","ОЖИДАЕТСЯ оплата"))</f>
        <v>оплачено</v>
      </c>
      <c r="G53" s="165"/>
      <c r="H53" s="43"/>
      <c r="I53" s="299"/>
      <c r="J53" s="299"/>
      <c r="K53" s="462"/>
      <c r="L53" s="147"/>
      <c r="M53" s="451"/>
      <c r="N53" s="1"/>
      <c r="S53" s="373"/>
      <c r="T53" s="373"/>
      <c r="W53" s="373"/>
      <c r="X53" s="373"/>
    </row>
    <row r="54" spans="1:24" x14ac:dyDescent="0.25">
      <c r="A54" s="331">
        <v>43894</v>
      </c>
      <c r="B54" s="164" t="s">
        <v>224</v>
      </c>
      <c r="C54" s="281">
        <v>232.91</v>
      </c>
      <c r="D54" s="281">
        <v>232.91</v>
      </c>
      <c r="E54" s="656" t="str">
        <f t="shared" si="12"/>
        <v/>
      </c>
      <c r="F54" s="165" t="str">
        <f t="shared" si="13"/>
        <v>оплачено</v>
      </c>
      <c r="G54" s="165"/>
      <c r="H54" s="43"/>
      <c r="I54" s="1"/>
      <c r="J54" s="373"/>
      <c r="K54" s="1"/>
      <c r="L54" s="1"/>
      <c r="M54" s="44"/>
      <c r="N54" s="1"/>
    </row>
    <row r="55" spans="1:24" x14ac:dyDescent="0.25">
      <c r="A55" s="331">
        <v>43895</v>
      </c>
      <c r="B55" s="164" t="s">
        <v>223</v>
      </c>
      <c r="C55" s="281">
        <v>343.62</v>
      </c>
      <c r="D55" s="281">
        <v>343.62</v>
      </c>
      <c r="E55" s="656" t="str">
        <f t="shared" si="12"/>
        <v/>
      </c>
      <c r="F55" s="165" t="str">
        <f t="shared" si="13"/>
        <v>оплачено</v>
      </c>
      <c r="G55" s="165"/>
      <c r="H55" s="43"/>
      <c r="I55" s="1"/>
      <c r="J55" s="373"/>
      <c r="K55" s="1"/>
      <c r="L55" s="1"/>
      <c r="M55" s="44"/>
      <c r="N55" s="1"/>
    </row>
    <row r="56" spans="1:24" x14ac:dyDescent="0.25">
      <c r="A56" s="331">
        <v>43901</v>
      </c>
      <c r="B56" s="164" t="s">
        <v>264</v>
      </c>
      <c r="C56" s="281">
        <v>428.25</v>
      </c>
      <c r="D56" s="281">
        <v>428.25</v>
      </c>
      <c r="E56" s="656" t="str">
        <f t="shared" si="12"/>
        <v/>
      </c>
      <c r="F56" s="165" t="str">
        <f t="shared" si="13"/>
        <v>оплачено</v>
      </c>
      <c r="G56" s="165"/>
      <c r="H56" s="43"/>
      <c r="I56" s="1"/>
      <c r="J56" s="373"/>
      <c r="K56" s="1"/>
      <c r="L56" s="1"/>
      <c r="M56" s="44"/>
      <c r="N56" s="1"/>
    </row>
    <row r="57" spans="1:24" x14ac:dyDescent="0.25">
      <c r="A57" s="331">
        <v>43908</v>
      </c>
      <c r="B57" s="164" t="s">
        <v>264</v>
      </c>
      <c r="C57" s="281">
        <v>241</v>
      </c>
      <c r="D57" s="281">
        <v>241</v>
      </c>
      <c r="E57" s="656" t="str">
        <f t="shared" si="12"/>
        <v/>
      </c>
      <c r="F57" s="165" t="str">
        <f t="shared" si="13"/>
        <v>оплачено</v>
      </c>
      <c r="G57" s="165"/>
      <c r="H57" s="43"/>
      <c r="I57" s="1"/>
      <c r="J57" s="373"/>
      <c r="K57" s="1"/>
      <c r="L57" s="1"/>
      <c r="M57" s="44"/>
      <c r="N57" s="1"/>
    </row>
    <row r="58" spans="1:24" x14ac:dyDescent="0.25">
      <c r="A58" s="331">
        <v>43913</v>
      </c>
      <c r="B58" s="164" t="s">
        <v>265</v>
      </c>
      <c r="C58" s="281">
        <v>233.61</v>
      </c>
      <c r="D58" s="281">
        <v>233.61</v>
      </c>
      <c r="E58" s="656" t="str">
        <f t="shared" si="12"/>
        <v/>
      </c>
      <c r="F58" s="165" t="str">
        <f t="shared" si="13"/>
        <v>оплачено</v>
      </c>
      <c r="G58" s="165"/>
      <c r="H58" s="43"/>
      <c r="I58" s="1"/>
      <c r="J58" s="373"/>
      <c r="K58" s="1"/>
      <c r="L58" s="1"/>
      <c r="M58" s="44"/>
      <c r="N58" s="1"/>
    </row>
    <row r="59" spans="1:24" x14ac:dyDescent="0.25">
      <c r="A59" s="331">
        <v>43909</v>
      </c>
      <c r="B59" s="164" t="s">
        <v>212</v>
      </c>
      <c r="C59" s="281">
        <v>332.52</v>
      </c>
      <c r="D59" s="281">
        <v>332.52</v>
      </c>
      <c r="E59" s="656" t="str">
        <f t="shared" si="12"/>
        <v/>
      </c>
      <c r="F59" s="165" t="str">
        <f t="shared" si="13"/>
        <v>оплачено</v>
      </c>
      <c r="G59" s="165" t="s">
        <v>131</v>
      </c>
      <c r="H59" s="43"/>
      <c r="I59" s="1"/>
      <c r="J59" s="373"/>
      <c r="K59" s="1"/>
      <c r="L59" s="1"/>
      <c r="M59" s="44"/>
      <c r="N59" s="1"/>
    </row>
    <row r="60" spans="1:24" x14ac:dyDescent="0.25">
      <c r="A60" s="331">
        <v>43916</v>
      </c>
      <c r="B60" s="164" t="s">
        <v>155</v>
      </c>
      <c r="C60" s="281">
        <v>328.15</v>
      </c>
      <c r="D60" s="281"/>
      <c r="E60" s="656">
        <f t="shared" si="12"/>
        <v>328.15</v>
      </c>
      <c r="F60" s="165" t="str">
        <f t="shared" si="13"/>
        <v>ОЖИДАЕТСЯ оплата</v>
      </c>
      <c r="G60" s="165" t="str">
        <f t="shared" ref="G60:G67" si="14">IF(C60=0,"",IF(C60-D60=0,"","нет накладной"))</f>
        <v>нет накладной</v>
      </c>
      <c r="H60" s="43"/>
      <c r="I60" s="1"/>
      <c r="J60" s="373"/>
      <c r="K60" s="1"/>
      <c r="L60" s="1"/>
      <c r="M60" s="44"/>
      <c r="N60" s="1"/>
      <c r="O60" s="373"/>
      <c r="P60" s="1"/>
    </row>
    <row r="61" spans="1:24" x14ac:dyDescent="0.25">
      <c r="A61" s="331"/>
      <c r="B61" s="164"/>
      <c r="C61" s="281"/>
      <c r="D61" s="281"/>
      <c r="E61" s="656" t="s">
        <v>310</v>
      </c>
      <c r="F61" s="165" t="str">
        <f t="shared" si="13"/>
        <v/>
      </c>
      <c r="G61" s="165" t="str">
        <f t="shared" si="14"/>
        <v/>
      </c>
      <c r="H61" s="43"/>
      <c r="I61" s="1"/>
      <c r="J61" s="373"/>
      <c r="K61" s="1"/>
      <c r="L61" s="1"/>
      <c r="M61" s="44"/>
      <c r="N61" s="1"/>
      <c r="O61" s="373"/>
      <c r="P61" s="1"/>
    </row>
    <row r="62" spans="1:24" x14ac:dyDescent="0.25">
      <c r="A62" s="331"/>
      <c r="B62" s="164"/>
      <c r="C62" s="281"/>
      <c r="D62" s="281"/>
      <c r="E62" s="656" t="str">
        <f t="shared" si="12"/>
        <v/>
      </c>
      <c r="F62" s="165" t="str">
        <f t="shared" si="13"/>
        <v/>
      </c>
      <c r="G62" s="165" t="str">
        <f t="shared" si="14"/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4" x14ac:dyDescent="0.25">
      <c r="A63" s="331"/>
      <c r="B63" s="164"/>
      <c r="C63" s="281"/>
      <c r="D63" s="281"/>
      <c r="E63" s="656" t="str">
        <f t="shared" si="12"/>
        <v/>
      </c>
      <c r="F63" s="165" t="str">
        <f t="shared" si="13"/>
        <v/>
      </c>
      <c r="G63" s="165" t="str">
        <f t="shared" si="14"/>
        <v/>
      </c>
      <c r="H63" s="43"/>
      <c r="I63" s="1"/>
      <c r="J63" s="373"/>
      <c r="K63" s="1"/>
      <c r="L63" s="1"/>
      <c r="M63" s="44"/>
      <c r="N63" s="1"/>
      <c r="O63" s="373"/>
      <c r="P63" s="153"/>
    </row>
    <row r="64" spans="1:24" x14ac:dyDescent="0.25">
      <c r="A64" s="331"/>
      <c r="B64" s="164"/>
      <c r="C64" s="281"/>
      <c r="D64" s="281"/>
      <c r="E64" s="656" t="str">
        <f t="shared" si="12"/>
        <v/>
      </c>
      <c r="F64" s="165" t="str">
        <f t="shared" si="13"/>
        <v/>
      </c>
      <c r="G64" s="165" t="str">
        <f t="shared" si="14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5" x14ac:dyDescent="0.25">
      <c r="A65" s="331"/>
      <c r="B65" s="164"/>
      <c r="C65" s="281"/>
      <c r="D65" s="281"/>
      <c r="E65" s="656" t="str">
        <f t="shared" si="12"/>
        <v/>
      </c>
      <c r="F65" s="165" t="str">
        <f t="shared" si="13"/>
        <v/>
      </c>
      <c r="G65" s="165" t="str">
        <f t="shared" si="14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5" x14ac:dyDescent="0.25">
      <c r="A66" s="331"/>
      <c r="B66" s="164"/>
      <c r="C66" s="281"/>
      <c r="D66" s="281"/>
      <c r="E66" s="656" t="str">
        <f t="shared" si="12"/>
        <v/>
      </c>
      <c r="F66" s="165" t="str">
        <f t="shared" si="13"/>
        <v/>
      </c>
      <c r="G66" s="165" t="str">
        <f t="shared" si="14"/>
        <v/>
      </c>
      <c r="H66" s="43"/>
      <c r="I66" s="1"/>
      <c r="J66" s="373"/>
      <c r="K66" s="1"/>
      <c r="L66" s="1"/>
      <c r="M66" s="44"/>
      <c r="N66" s="1"/>
      <c r="O66" s="373"/>
      <c r="P66" s="85"/>
    </row>
    <row r="67" spans="1:25" x14ac:dyDescent="0.25">
      <c r="A67" s="331"/>
      <c r="B67" s="164"/>
      <c r="C67" s="281"/>
      <c r="D67" s="281"/>
      <c r="E67" s="656" t="str">
        <f t="shared" si="12"/>
        <v/>
      </c>
      <c r="F67" s="165" t="str">
        <f t="shared" si="13"/>
        <v/>
      </c>
      <c r="G67" s="165" t="str">
        <f t="shared" si="14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5" ht="15.75" thickBot="1" x14ac:dyDescent="0.3">
      <c r="A68" s="765" t="s">
        <v>278</v>
      </c>
      <c r="B68" s="766"/>
      <c r="C68" s="365">
        <f>SUM(C53:C67)</f>
        <v>2376.2400000000002</v>
      </c>
      <c r="D68" s="365"/>
      <c r="E68" s="656">
        <f>SUM(E53:E67)</f>
        <v>328.15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5" ht="15.75" thickTop="1" x14ac:dyDescent="0.25">
      <c r="A69" s="358"/>
      <c r="B69" s="359"/>
      <c r="C69" s="360"/>
      <c r="D69" s="360"/>
      <c r="E69" s="361"/>
      <c r="F69" s="359"/>
      <c r="G69" s="392"/>
      <c r="H69" s="697" t="s">
        <v>16</v>
      </c>
      <c r="I69" s="699" t="s">
        <v>17</v>
      </c>
      <c r="J69" s="699" t="s">
        <v>21</v>
      </c>
      <c r="K69" s="699"/>
      <c r="L69" s="701" t="s">
        <v>93</v>
      </c>
      <c r="M69" s="703" t="s">
        <v>95</v>
      </c>
      <c r="N69" s="1"/>
      <c r="O69" s="373"/>
      <c r="P69" s="457"/>
    </row>
    <row r="70" spans="1:25" ht="24" x14ac:dyDescent="0.25">
      <c r="A70" s="362"/>
      <c r="B70" s="207"/>
      <c r="C70" s="207"/>
      <c r="D70" s="207"/>
      <c r="E70" s="222"/>
      <c r="F70" s="207"/>
      <c r="G70" s="207"/>
      <c r="H70" s="698"/>
      <c r="I70" s="700"/>
      <c r="J70" s="607" t="s">
        <v>21</v>
      </c>
      <c r="K70" s="607" t="s">
        <v>25</v>
      </c>
      <c r="L70" s="702"/>
      <c r="M70" s="704"/>
      <c r="N70" s="1"/>
      <c r="O70" s="373"/>
      <c r="P70" s="457"/>
    </row>
    <row r="71" spans="1:25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612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5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5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5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5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5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  <c r="U76" s="1"/>
      <c r="V76" s="1"/>
    </row>
    <row r="77" spans="1:25" ht="15.75" thickTop="1" x14ac:dyDescent="0.25">
      <c r="A77" s="346"/>
      <c r="B77" s="205"/>
      <c r="C77" s="1"/>
      <c r="D77" s="279"/>
      <c r="E77" s="85"/>
      <c r="F77" s="373"/>
      <c r="G77" s="373"/>
      <c r="H77" s="681" t="s">
        <v>36</v>
      </c>
      <c r="I77" s="683" t="s">
        <v>178</v>
      </c>
      <c r="J77" s="684"/>
      <c r="K77" s="685"/>
      <c r="L77" s="689" t="s">
        <v>159</v>
      </c>
      <c r="M77" s="690"/>
      <c r="N77" s="1"/>
      <c r="O77" s="373"/>
      <c r="P77" s="455"/>
      <c r="Q77" s="87"/>
      <c r="R77" s="87"/>
      <c r="U77" s="1"/>
      <c r="V77" s="1"/>
    </row>
    <row r="78" spans="1:25" x14ac:dyDescent="0.25">
      <c r="A78" s="346"/>
      <c r="B78" s="205"/>
      <c r="C78" s="290"/>
      <c r="D78" s="279"/>
      <c r="E78" s="290"/>
      <c r="F78" s="373"/>
      <c r="G78" s="394"/>
      <c r="H78" s="682"/>
      <c r="I78" s="686"/>
      <c r="J78" s="687"/>
      <c r="K78" s="688"/>
      <c r="L78" s="691"/>
      <c r="M78" s="692"/>
      <c r="N78" s="1"/>
      <c r="O78" s="373"/>
      <c r="P78" s="455"/>
      <c r="Q78" s="373"/>
      <c r="R78" s="373"/>
      <c r="S78" s="1"/>
      <c r="T78" s="1"/>
      <c r="U78" s="1"/>
      <c r="V78" s="1"/>
      <c r="W78" s="1"/>
      <c r="X78" s="1"/>
      <c r="Y78" s="1"/>
    </row>
    <row r="79" spans="1:25" x14ac:dyDescent="0.25">
      <c r="A79" s="346"/>
      <c r="B79" s="205"/>
      <c r="C79" s="205"/>
      <c r="D79" s="279"/>
      <c r="E79" s="205"/>
      <c r="F79" s="373"/>
      <c r="G79" s="394"/>
      <c r="H79" s="596" t="s">
        <v>259</v>
      </c>
      <c r="I79" s="693" t="s">
        <v>47</v>
      </c>
      <c r="J79" s="693"/>
      <c r="K79" s="618">
        <v>131.25</v>
      </c>
      <c r="L79" s="288">
        <v>43905</v>
      </c>
      <c r="M79" s="44" t="s">
        <v>246</v>
      </c>
      <c r="P79" s="455"/>
      <c r="Q79" s="529"/>
      <c r="R79" s="373"/>
      <c r="S79" s="1"/>
      <c r="T79" s="1"/>
      <c r="U79" s="288"/>
      <c r="V79" s="288"/>
      <c r="W79" s="1"/>
      <c r="X79" s="1"/>
      <c r="Y79" s="1"/>
    </row>
    <row r="80" spans="1:25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78" t="s">
        <v>51</v>
      </c>
      <c r="J80" s="678"/>
      <c r="K80" s="619">
        <v>21.35</v>
      </c>
      <c r="L80" s="288">
        <v>43905</v>
      </c>
      <c r="M80" s="44" t="s">
        <v>246</v>
      </c>
      <c r="P80" s="455"/>
      <c r="Q80" s="87"/>
      <c r="R80" s="87"/>
      <c r="S80" s="1"/>
      <c r="T80" s="1"/>
      <c r="U80" s="288"/>
      <c r="V80" s="288"/>
      <c r="W80" s="1"/>
      <c r="X80" s="1"/>
      <c r="Y80" s="1"/>
    </row>
    <row r="81" spans="1:26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78" t="s">
        <v>52</v>
      </c>
      <c r="J81" s="678"/>
      <c r="K81" s="619">
        <v>2.25</v>
      </c>
      <c r="L81" s="288">
        <v>43905</v>
      </c>
      <c r="M81" s="44" t="s">
        <v>246</v>
      </c>
      <c r="R81" s="614"/>
      <c r="S81" s="1"/>
      <c r="T81" s="288"/>
      <c r="U81" s="288"/>
      <c r="V81" s="288"/>
      <c r="W81" s="288"/>
      <c r="X81" s="288"/>
      <c r="Y81" s="1"/>
      <c r="Z81" s="1"/>
    </row>
    <row r="82" spans="1:26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78" t="s">
        <v>49</v>
      </c>
      <c r="J82" s="678"/>
      <c r="K82" s="619">
        <v>89</v>
      </c>
      <c r="L82" s="288">
        <v>43910</v>
      </c>
      <c r="M82" s="44" t="s">
        <v>288</v>
      </c>
      <c r="O82" s="153"/>
      <c r="S82" s="1"/>
      <c r="T82" s="288"/>
      <c r="U82" s="288"/>
      <c r="V82" s="288"/>
      <c r="W82" s="288"/>
      <c r="X82" s="288"/>
      <c r="Y82" s="1"/>
      <c r="Z82" s="1"/>
    </row>
    <row r="83" spans="1:26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4" t="s">
        <v>59</v>
      </c>
      <c r="J83" s="764"/>
      <c r="K83" s="480">
        <v>176.5</v>
      </c>
      <c r="L83" s="308" t="s">
        <v>177</v>
      </c>
      <c r="M83" s="44" t="s">
        <v>246</v>
      </c>
      <c r="O83" s="153"/>
      <c r="P83" s="625"/>
      <c r="Q83" s="540"/>
      <c r="R83" s="614"/>
      <c r="S83" s="1"/>
      <c r="T83" s="288"/>
      <c r="U83" s="1"/>
      <c r="V83" s="1"/>
      <c r="W83" s="288"/>
      <c r="X83" s="288"/>
      <c r="Y83" s="1"/>
      <c r="Z83" s="1"/>
    </row>
    <row r="84" spans="1:26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59" t="s">
        <v>68</v>
      </c>
      <c r="J84" s="760"/>
      <c r="K84" s="619">
        <v>55.66</v>
      </c>
      <c r="L84" s="288">
        <v>43910</v>
      </c>
      <c r="M84" s="44" t="s">
        <v>246</v>
      </c>
      <c r="P84" s="369"/>
      <c r="Q84" s="614"/>
      <c r="R84" s="614"/>
      <c r="S84" s="1"/>
      <c r="T84" s="288"/>
      <c r="U84" s="288"/>
      <c r="V84" s="288"/>
      <c r="W84" s="288"/>
      <c r="X84" s="288"/>
      <c r="Y84" s="1"/>
      <c r="Z84" s="1"/>
    </row>
    <row r="85" spans="1:26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9" t="s">
        <v>174</v>
      </c>
      <c r="J85" s="680"/>
      <c r="K85" s="619">
        <v>257.08999999999997</v>
      </c>
      <c r="L85" s="288">
        <v>43905</v>
      </c>
      <c r="M85" s="44" t="s">
        <v>246</v>
      </c>
      <c r="O85" s="153"/>
      <c r="P85" s="625"/>
      <c r="Q85" s="614"/>
      <c r="R85" s="614"/>
      <c r="S85" s="1"/>
      <c r="T85" s="1"/>
      <c r="U85" s="288"/>
      <c r="V85" s="288"/>
      <c r="W85" s="1"/>
      <c r="X85" s="1"/>
      <c r="Y85" s="1"/>
      <c r="Z85" s="1"/>
    </row>
    <row r="86" spans="1:26" x14ac:dyDescent="0.25">
      <c r="A86" s="347"/>
      <c r="B86" s="205"/>
      <c r="C86" s="373"/>
      <c r="D86" s="279"/>
      <c r="E86" s="205"/>
      <c r="F86" s="373"/>
      <c r="G86" s="373"/>
      <c r="H86" s="596" t="s">
        <v>259</v>
      </c>
      <c r="I86" s="608" t="s">
        <v>176</v>
      </c>
      <c r="J86" s="609"/>
      <c r="K86" s="619">
        <v>147.06</v>
      </c>
      <c r="L86" s="288">
        <v>43910</v>
      </c>
      <c r="M86" s="44" t="s">
        <v>246</v>
      </c>
      <c r="P86" s="369"/>
      <c r="Q86" s="614"/>
      <c r="R86" s="540"/>
      <c r="S86" s="1"/>
      <c r="T86" s="288"/>
      <c r="U86" s="288"/>
      <c r="V86" s="288"/>
      <c r="W86" s="288"/>
      <c r="X86" s="288"/>
      <c r="Y86" s="1"/>
      <c r="Z86" s="1"/>
    </row>
    <row r="87" spans="1:26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9" t="s">
        <v>81</v>
      </c>
      <c r="J87" s="680"/>
      <c r="K87" s="648">
        <v>616.88</v>
      </c>
      <c r="L87" s="288">
        <v>43900</v>
      </c>
      <c r="M87" s="44" t="s">
        <v>246</v>
      </c>
      <c r="P87" s="373"/>
      <c r="Q87" s="373"/>
      <c r="R87" s="372"/>
      <c r="S87" s="1"/>
      <c r="T87" s="288"/>
      <c r="U87" s="288"/>
      <c r="V87" s="288"/>
      <c r="W87" s="288"/>
      <c r="X87" s="288"/>
      <c r="Y87" s="373"/>
      <c r="Z87" s="1"/>
    </row>
    <row r="88" spans="1:26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9" t="s">
        <v>53</v>
      </c>
      <c r="J88" s="680"/>
      <c r="K88" s="477">
        <v>10</v>
      </c>
      <c r="L88" s="288">
        <v>43905</v>
      </c>
      <c r="M88" s="44" t="s">
        <v>246</v>
      </c>
      <c r="P88" s="455"/>
      <c r="Q88" s="87"/>
      <c r="R88" s="87"/>
      <c r="S88" s="1"/>
      <c r="T88" s="288"/>
      <c r="U88" s="288"/>
      <c r="V88" s="288"/>
      <c r="W88" s="288"/>
      <c r="X88" s="288"/>
      <c r="Y88" s="373"/>
      <c r="Z88" s="1"/>
    </row>
    <row r="89" spans="1:26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3" t="s">
        <v>61</v>
      </c>
      <c r="J89" s="763"/>
      <c r="K89" s="658">
        <f>I52</f>
        <v>500.24</v>
      </c>
      <c r="L89" s="288">
        <v>43910</v>
      </c>
      <c r="M89" s="44" t="s">
        <v>246</v>
      </c>
      <c r="S89" s="373"/>
      <c r="T89" s="288"/>
      <c r="U89" s="288"/>
      <c r="V89" s="288"/>
      <c r="W89" s="288"/>
      <c r="X89" s="288"/>
      <c r="Y89" s="1"/>
      <c r="Z89" s="1"/>
    </row>
    <row r="90" spans="1:26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2007.28</v>
      </c>
      <c r="K90" s="676" t="s">
        <v>180</v>
      </c>
      <c r="L90" s="676"/>
      <c r="M90" s="605">
        <v>0</v>
      </c>
      <c r="P90" s="373"/>
      <c r="Q90" s="372"/>
      <c r="R90" s="372"/>
      <c r="S90" s="373"/>
      <c r="T90" s="288"/>
      <c r="U90" s="1"/>
      <c r="V90" s="1"/>
      <c r="W90" s="288"/>
      <c r="X90" s="288"/>
      <c r="Y90" s="1"/>
      <c r="Z90" s="1"/>
    </row>
    <row r="91" spans="1:26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288"/>
      <c r="X91" s="288"/>
      <c r="Y91" s="1"/>
      <c r="Z91" s="1"/>
    </row>
    <row r="92" spans="1:26" x14ac:dyDescent="0.25">
      <c r="C92" s="465"/>
      <c r="P92" s="128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C93" s="465"/>
      <c r="P93" s="128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C94" s="465"/>
      <c r="E94" s="87"/>
      <c r="P94" s="195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C95" s="465"/>
      <c r="P95" s="128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C96" s="465"/>
      <c r="K96" s="565"/>
      <c r="P96" s="468"/>
      <c r="Q96" s="1"/>
      <c r="R96" s="1"/>
      <c r="S96" s="1"/>
      <c r="T96" s="1"/>
      <c r="W96" s="1"/>
      <c r="X96" s="1"/>
      <c r="Y96" s="1"/>
      <c r="Z96" s="1"/>
    </row>
    <row r="97" spans="3:26" x14ac:dyDescent="0.25">
      <c r="C97" s="465"/>
      <c r="P97" s="468"/>
      <c r="Q97" s="1"/>
      <c r="R97" s="1"/>
      <c r="S97" s="1"/>
      <c r="T97" s="1"/>
      <c r="W97" s="1"/>
      <c r="X97" s="1"/>
      <c r="Y97" s="1"/>
      <c r="Z97" s="1"/>
    </row>
    <row r="98" spans="3:26" x14ac:dyDescent="0.25">
      <c r="C98" s="465"/>
      <c r="M98" s="565"/>
      <c r="P98" s="468"/>
      <c r="Z98" s="1"/>
    </row>
    <row r="99" spans="3:26" x14ac:dyDescent="0.25">
      <c r="C99" s="465"/>
      <c r="P99" s="468"/>
      <c r="Z99" s="1"/>
    </row>
    <row r="100" spans="3:26" x14ac:dyDescent="0.25">
      <c r="C100" s="465"/>
      <c r="M100" s="1"/>
      <c r="P100" s="468"/>
      <c r="Z100" s="1"/>
    </row>
    <row r="101" spans="3:26" x14ac:dyDescent="0.25">
      <c r="C101" s="465"/>
      <c r="M101" s="1"/>
      <c r="P101" s="468"/>
    </row>
    <row r="102" spans="3:26" x14ac:dyDescent="0.25">
      <c r="C102" s="465"/>
      <c r="M102" s="1"/>
      <c r="P102" s="468"/>
    </row>
    <row r="103" spans="3:26" x14ac:dyDescent="0.25">
      <c r="C103" s="465"/>
      <c r="M103" s="373"/>
      <c r="P103" s="468"/>
    </row>
    <row r="104" spans="3:26" x14ac:dyDescent="0.25">
      <c r="C104" s="465"/>
      <c r="M104" s="373"/>
      <c r="P104" s="468"/>
    </row>
    <row r="105" spans="3:26" x14ac:dyDescent="0.25">
      <c r="C105" s="465"/>
      <c r="M105" s="1"/>
      <c r="P105" s="468"/>
    </row>
    <row r="106" spans="3:26" x14ac:dyDescent="0.25">
      <c r="C106" s="465"/>
      <c r="M106" s="1"/>
      <c r="P106" s="468"/>
    </row>
    <row r="107" spans="3:26" x14ac:dyDescent="0.25">
      <c r="C107" s="465"/>
      <c r="M107" s="1"/>
      <c r="P107" s="468"/>
    </row>
    <row r="108" spans="3:26" x14ac:dyDescent="0.25">
      <c r="C108" s="465"/>
      <c r="M108" s="1"/>
      <c r="P108" s="468"/>
    </row>
    <row r="109" spans="3:26" x14ac:dyDescent="0.25">
      <c r="C109" s="465"/>
      <c r="P109" s="468"/>
    </row>
    <row r="110" spans="3:26" x14ac:dyDescent="0.25">
      <c r="C110" s="465"/>
      <c r="P110" s="468"/>
    </row>
    <row r="111" spans="3:26" x14ac:dyDescent="0.25">
      <c r="C111" s="465"/>
      <c r="P111" s="468"/>
    </row>
    <row r="112" spans="3:26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3">
    <mergeCell ref="U3:V3"/>
    <mergeCell ref="AF7:AF8"/>
    <mergeCell ref="AG7:AG8"/>
    <mergeCell ref="O3:P3"/>
    <mergeCell ref="H4:I4"/>
    <mergeCell ref="L22:L23"/>
    <mergeCell ref="M22:M23"/>
    <mergeCell ref="H5:I5"/>
    <mergeCell ref="H22:H23"/>
    <mergeCell ref="I22:I23"/>
    <mergeCell ref="J22:K22"/>
    <mergeCell ref="A1:M2"/>
    <mergeCell ref="A3:G3"/>
    <mergeCell ref="H3:M3"/>
    <mergeCell ref="H6:I6"/>
    <mergeCell ref="A21:B21"/>
    <mergeCell ref="I45:J45"/>
    <mergeCell ref="H33:H34"/>
    <mergeCell ref="I33:K34"/>
    <mergeCell ref="L33:M34"/>
    <mergeCell ref="I35:J35"/>
    <mergeCell ref="I36:J36"/>
    <mergeCell ref="I37:J37"/>
    <mergeCell ref="I38:J38"/>
    <mergeCell ref="I39:J39"/>
    <mergeCell ref="I40:J40"/>
    <mergeCell ref="I43:J43"/>
    <mergeCell ref="I44:J44"/>
    <mergeCell ref="M69:M70"/>
    <mergeCell ref="H77:H78"/>
    <mergeCell ref="I77:K78"/>
    <mergeCell ref="L77:M78"/>
    <mergeCell ref="K46:L46"/>
    <mergeCell ref="H47:K47"/>
    <mergeCell ref="A48:M49"/>
    <mergeCell ref="A50:G50"/>
    <mergeCell ref="H50:M50"/>
    <mergeCell ref="A68:B68"/>
    <mergeCell ref="I84:J84"/>
    <mergeCell ref="H69:H70"/>
    <mergeCell ref="I69:I70"/>
    <mergeCell ref="J69:K69"/>
    <mergeCell ref="L69:L70"/>
    <mergeCell ref="I79:J79"/>
    <mergeCell ref="I80:J80"/>
    <mergeCell ref="I81:J81"/>
    <mergeCell ref="I82:J82"/>
    <mergeCell ref="I83:J83"/>
    <mergeCell ref="I85:J85"/>
    <mergeCell ref="I87:J87"/>
    <mergeCell ref="I88:J88"/>
    <mergeCell ref="I89:J89"/>
    <mergeCell ref="K90:L90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J29" sqref="J29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10.425781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32"/>
      <c r="G2" s="232">
        <v>524.5</v>
      </c>
      <c r="H2" s="86"/>
      <c r="I2" s="491">
        <v>217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32"/>
      <c r="G3" s="22">
        <v>246.5</v>
      </c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32"/>
      <c r="G4" s="232">
        <v>527.20000000000005</v>
      </c>
      <c r="H4" s="232"/>
      <c r="I4" s="491">
        <v>278.5</v>
      </c>
      <c r="J4" s="490"/>
      <c r="K4" s="490"/>
      <c r="L4" s="490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32">
        <v>205.5</v>
      </c>
      <c r="G5" s="232"/>
      <c r="H5" s="86"/>
      <c r="I5" s="491">
        <v>109.4</v>
      </c>
      <c r="J5" s="490"/>
      <c r="K5" s="490"/>
      <c r="L5" s="490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32">
        <v>343</v>
      </c>
      <c r="G6" s="232"/>
      <c r="H6" s="86"/>
      <c r="I6" s="491">
        <v>129</v>
      </c>
      <c r="J6" s="490"/>
      <c r="K6" s="490"/>
      <c r="L6" s="490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32"/>
      <c r="G7" s="232">
        <v>507.5</v>
      </c>
      <c r="H7" s="86"/>
      <c r="I7" s="491">
        <v>71.75</v>
      </c>
      <c r="J7" s="490"/>
      <c r="K7" s="490"/>
      <c r="L7" s="490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32"/>
      <c r="G8" s="232">
        <v>748</v>
      </c>
      <c r="H8" s="86"/>
      <c r="I8" s="491">
        <v>249.5</v>
      </c>
      <c r="J8" s="490"/>
      <c r="K8" s="490"/>
      <c r="L8" s="490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32"/>
      <c r="G9" s="232">
        <v>257.5</v>
      </c>
      <c r="H9" s="18"/>
      <c r="I9" s="491">
        <v>20.100000000000001</v>
      </c>
      <c r="J9" s="490"/>
      <c r="K9" s="490"/>
      <c r="L9" s="490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32">
        <v>402.2</v>
      </c>
      <c r="G10" s="232"/>
      <c r="H10" s="448"/>
      <c r="I10" s="491"/>
      <c r="J10" s="490"/>
      <c r="K10" s="490"/>
      <c r="L10" s="490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32">
        <v>280</v>
      </c>
      <c r="G11" s="232"/>
      <c r="H11" s="232"/>
      <c r="I11" s="491">
        <v>324.75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32"/>
      <c r="G12" s="232">
        <v>278.3</v>
      </c>
      <c r="H12" s="232"/>
      <c r="I12" s="491">
        <v>90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32"/>
      <c r="G13" s="232">
        <v>390</v>
      </c>
      <c r="H13" s="232"/>
      <c r="I13" s="491">
        <v>135.19999999999999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32"/>
      <c r="G14" s="232">
        <v>424</v>
      </c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32">
        <v>392.5</v>
      </c>
      <c r="G15" s="232"/>
      <c r="H15" s="649"/>
      <c r="I15" s="117"/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32">
        <v>439.9</v>
      </c>
      <c r="G16" s="232"/>
      <c r="H16" s="14"/>
      <c r="I16" s="491"/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32"/>
      <c r="G17" s="232">
        <v>206</v>
      </c>
      <c r="H17" s="14"/>
      <c r="I17" s="491"/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32"/>
      <c r="G18" s="232">
        <v>505.2</v>
      </c>
      <c r="H18" s="232"/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32"/>
      <c r="G19" s="232">
        <v>271.10000000000002</v>
      </c>
      <c r="H19" s="14"/>
      <c r="I19" s="491"/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4</v>
      </c>
      <c r="C20" s="17">
        <v>43909</v>
      </c>
      <c r="D20" s="22"/>
      <c r="E20" s="22">
        <v>1433.5</v>
      </c>
      <c r="F20" s="232">
        <v>779.5</v>
      </c>
      <c r="G20" s="232"/>
      <c r="H20" s="22"/>
      <c r="I20" s="497"/>
      <c r="J20" s="492"/>
      <c r="K20" s="492"/>
      <c r="L20" s="492"/>
    </row>
    <row r="21" spans="1:16" s="87" customFormat="1" ht="11.1" customHeight="1" x14ac:dyDescent="0.25">
      <c r="B21" s="483">
        <f t="shared" si="0"/>
        <v>5</v>
      </c>
      <c r="C21" s="17">
        <v>43910</v>
      </c>
      <c r="D21" s="22"/>
      <c r="E21" s="22">
        <v>1610.65</v>
      </c>
      <c r="F21" s="232">
        <v>682</v>
      </c>
      <c r="G21" s="232"/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6</v>
      </c>
      <c r="C22" s="17">
        <v>43911</v>
      </c>
      <c r="D22" s="22">
        <v>1427.1</v>
      </c>
      <c r="E22" s="22"/>
      <c r="F22" s="232"/>
      <c r="G22" s="232">
        <v>630.20000000000005</v>
      </c>
      <c r="H22" s="232"/>
      <c r="I22" s="497"/>
      <c r="J22" s="492"/>
      <c r="K22" s="492"/>
      <c r="L22" s="492"/>
    </row>
    <row r="23" spans="1:16" s="87" customFormat="1" ht="11.1" customHeight="1" x14ac:dyDescent="0.25">
      <c r="B23" s="483">
        <f t="shared" si="0"/>
        <v>7</v>
      </c>
      <c r="C23" s="17">
        <v>43912</v>
      </c>
      <c r="D23" s="22">
        <f>913.4+8</f>
        <v>921.4</v>
      </c>
      <c r="E23" s="22"/>
      <c r="F23" s="232"/>
      <c r="G23" s="232">
        <v>429.5</v>
      </c>
      <c r="H23" s="520"/>
      <c r="I23" s="497"/>
      <c r="J23" s="492"/>
      <c r="K23" s="492"/>
      <c r="L23" s="492"/>
    </row>
    <row r="24" spans="1:16" s="87" customFormat="1" ht="10.5" customHeight="1" x14ac:dyDescent="0.25">
      <c r="B24" s="483">
        <f t="shared" si="0"/>
        <v>1</v>
      </c>
      <c r="C24" s="17">
        <v>43913</v>
      </c>
      <c r="D24" s="22"/>
      <c r="E24" s="22">
        <v>1095.2</v>
      </c>
      <c r="F24" s="232"/>
      <c r="G24" s="232">
        <v>445.5</v>
      </c>
      <c r="H24" s="232"/>
      <c r="I24" s="497"/>
      <c r="J24" s="492"/>
      <c r="K24" s="492"/>
      <c r="L24" s="492"/>
    </row>
    <row r="25" spans="1:16" s="87" customFormat="1" ht="11.1" customHeight="1" x14ac:dyDescent="0.25">
      <c r="B25" s="483">
        <f t="shared" si="0"/>
        <v>2</v>
      </c>
      <c r="C25" s="17">
        <v>43914</v>
      </c>
      <c r="D25" s="22"/>
      <c r="E25" s="22"/>
      <c r="F25" s="232"/>
      <c r="G25" s="232"/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3</v>
      </c>
      <c r="C26" s="17">
        <v>43915</v>
      </c>
      <c r="D26" s="22"/>
      <c r="E26" s="22"/>
      <c r="F26" s="22"/>
      <c r="G26" s="578"/>
      <c r="H26" s="232"/>
      <c r="I26" s="497"/>
      <c r="J26" s="492"/>
      <c r="K26" s="492"/>
      <c r="L26" s="521"/>
    </row>
    <row r="27" spans="1:16" s="87" customFormat="1" ht="11.1" customHeight="1" x14ac:dyDescent="0.25">
      <c r="B27" s="483">
        <f t="shared" si="0"/>
        <v>4</v>
      </c>
      <c r="C27" s="17">
        <v>43916</v>
      </c>
      <c r="D27" s="22"/>
      <c r="E27" s="22"/>
      <c r="F27" s="232"/>
      <c r="G27" s="619"/>
      <c r="H27" s="232"/>
      <c r="I27" s="496"/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5</v>
      </c>
      <c r="C28" s="17">
        <v>43917</v>
      </c>
      <c r="D28" s="22"/>
      <c r="E28" s="22"/>
      <c r="F28" s="232"/>
      <c r="G28" s="232"/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6</v>
      </c>
      <c r="C29" s="17">
        <v>43918</v>
      </c>
      <c r="D29" s="22"/>
      <c r="E29" s="22"/>
      <c r="F29" s="232"/>
      <c r="G29" s="232"/>
      <c r="H29" s="232"/>
      <c r="I29" s="496"/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7</v>
      </c>
      <c r="C30" s="17">
        <v>43919</v>
      </c>
      <c r="D30" s="22"/>
      <c r="E30" s="22"/>
      <c r="F30" s="232"/>
      <c r="G30" s="232"/>
      <c r="H30" s="232"/>
      <c r="I30" s="496"/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1</v>
      </c>
      <c r="C31" s="17">
        <v>43920</v>
      </c>
      <c r="D31" s="22"/>
      <c r="E31" s="22"/>
      <c r="F31" s="232"/>
      <c r="G31" s="232"/>
      <c r="H31" s="22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2</v>
      </c>
      <c r="C32" s="17">
        <v>43921</v>
      </c>
      <c r="D32" s="243"/>
      <c r="E32" s="243"/>
      <c r="F32" s="232"/>
      <c r="G32" s="232"/>
      <c r="H32" s="619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635" t="s">
        <v>229</v>
      </c>
      <c r="D33" s="254">
        <f>COUNT(D2:D32)</f>
        <v>11</v>
      </c>
      <c r="E33" s="254">
        <f>COUNT(E2:E32)</f>
        <v>12</v>
      </c>
      <c r="F33" s="254">
        <f>COUNT(F2:F32)</f>
        <v>8</v>
      </c>
      <c r="G33" s="254">
        <f>COUNT(G2:G32)</f>
        <v>15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11278</v>
      </c>
      <c r="E34" s="244">
        <f>SUM(E2:E32)</f>
        <v>11464.85</v>
      </c>
      <c r="F34" s="244">
        <f>SUM(F2:F32)</f>
        <v>3524.6</v>
      </c>
      <c r="G34" s="244">
        <f t="shared" ref="G34" si="1">SUM(G2:G32)</f>
        <v>6391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</f>
        <v>22742.850000000002</v>
      </c>
      <c r="J35" s="298">
        <f>SUM(F2:G32)</f>
        <v>9915.6</v>
      </c>
      <c r="K35" s="475">
        <f>SUM(I2:I32)</f>
        <v>1625.2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460.09000000000015</v>
      </c>
      <c r="E36" s="89">
        <f>ABS(E34-E35)</f>
        <v>1185.4499999999989</v>
      </c>
      <c r="F36" s="89">
        <f>ABS(F34-F35)</f>
        <v>1093.0999999999999</v>
      </c>
      <c r="G36" s="89">
        <f>ABS(G34-G35)</f>
        <v>747.5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4.5999999999999996</v>
      </c>
      <c r="E37" s="90">
        <f>ROUND(E36*1%,2)</f>
        <v>11.85</v>
      </c>
      <c r="F37" s="90">
        <f t="shared" ref="F37:G37" si="2">ROUND(F36*1%,2)</f>
        <v>10.93</v>
      </c>
      <c r="G37" s="90">
        <f t="shared" si="2"/>
        <v>7.48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220</v>
      </c>
      <c r="E40" s="88">
        <f>ROUND(20*E33,2)</f>
        <v>240</v>
      </c>
      <c r="F40" s="549">
        <f>ROUND(23*F33,2)</f>
        <v>184</v>
      </c>
      <c r="G40" s="89">
        <f>ROUND(23*G33,2)</f>
        <v>345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389.03000000000003</v>
      </c>
      <c r="E43" s="478">
        <f>E37+E38+E39+E40-E41-E42</f>
        <v>400.48</v>
      </c>
      <c r="F43" s="478">
        <f>F37+F38+F40</f>
        <v>267.88</v>
      </c>
      <c r="G43" s="478">
        <f>G37+G38+G39+G40-G41-G42</f>
        <v>264.7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726.74</v>
      </c>
      <c r="E44" s="293">
        <f>E37+E38+E39+E40</f>
        <v>681.36</v>
      </c>
      <c r="F44" s="293">
        <f>F37+F38+F39+F40</f>
        <v>267.88</v>
      </c>
      <c r="G44" s="293">
        <f>G37+G38+G39+G40</f>
        <v>521.79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636"/>
      <c r="J49" s="373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B3:C32 D5:G25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A142" zoomScale="85" zoomScaleNormal="85" zoomScaleSheetLayoutView="85" workbookViewId="0">
      <selection activeCell="B155" sqref="B155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08" t="s">
        <v>28</v>
      </c>
      <c r="B1" s="705"/>
      <c r="C1" s="705"/>
      <c r="D1" s="705"/>
      <c r="E1" s="705"/>
      <c r="F1" s="705"/>
      <c r="G1" s="709"/>
      <c r="H1" s="411"/>
      <c r="I1" s="706" t="s">
        <v>43</v>
      </c>
      <c r="J1" s="706"/>
      <c r="K1" s="706"/>
      <c r="L1" s="706"/>
      <c r="M1" s="707"/>
      <c r="N1" s="705" t="s">
        <v>60</v>
      </c>
      <c r="O1" s="705"/>
      <c r="P1" s="109"/>
      <c r="Q1" s="110"/>
    </row>
    <row r="2" spans="1:17" ht="19.5" customHeight="1" x14ac:dyDescent="0.25">
      <c r="A2" s="412" t="s">
        <v>2</v>
      </c>
      <c r="B2" s="375" t="s">
        <v>34</v>
      </c>
      <c r="C2" s="36" t="s">
        <v>35</v>
      </c>
      <c r="D2" s="36" t="s">
        <v>38</v>
      </c>
      <c r="E2" s="36" t="s">
        <v>42</v>
      </c>
      <c r="F2" s="379" t="s">
        <v>36</v>
      </c>
      <c r="G2" s="1" t="s">
        <v>37</v>
      </c>
      <c r="H2" s="43"/>
      <c r="I2" s="40"/>
      <c r="J2" s="376" t="s">
        <v>41</v>
      </c>
      <c r="K2" s="376" t="s">
        <v>38</v>
      </c>
      <c r="L2" s="376" t="s">
        <v>42</v>
      </c>
      <c r="M2" s="101" t="s">
        <v>44</v>
      </c>
      <c r="O2" s="1"/>
      <c r="P2" s="288" t="s">
        <v>58</v>
      </c>
      <c r="Q2" s="413" t="s">
        <v>65</v>
      </c>
    </row>
    <row r="3" spans="1:17" x14ac:dyDescent="0.25">
      <c r="A3" s="414">
        <v>43647</v>
      </c>
      <c r="B3" s="377" t="s">
        <v>97</v>
      </c>
      <c r="C3" s="37">
        <v>1364.15</v>
      </c>
      <c r="D3" s="37">
        <v>500</v>
      </c>
      <c r="E3" s="37">
        <f>C3-D3</f>
        <v>864.15000000000009</v>
      </c>
      <c r="F3" s="376" t="s">
        <v>91</v>
      </c>
      <c r="G3" s="153" t="e">
        <f>#REF!</f>
        <v>#REF!</v>
      </c>
      <c r="H3" s="43"/>
      <c r="I3" s="376" t="s">
        <v>39</v>
      </c>
      <c r="J3" s="376">
        <v>1841.27</v>
      </c>
      <c r="K3" s="376">
        <v>900</v>
      </c>
      <c r="L3" s="376">
        <f>J3-K3</f>
        <v>941.27</v>
      </c>
      <c r="M3" s="102">
        <v>43651</v>
      </c>
      <c r="N3" s="100">
        <v>43647</v>
      </c>
      <c r="O3" s="376" t="s">
        <v>30</v>
      </c>
      <c r="P3" s="376">
        <v>764.4</v>
      </c>
      <c r="Q3" s="112"/>
    </row>
    <row r="4" spans="1:17" x14ac:dyDescent="0.25">
      <c r="A4" s="415"/>
      <c r="B4" s="377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6" t="str">
        <f t="shared" ref="F4:F21" si="1">IF(C4=0,"",IF(C4-D4=0,"оплачено",""))</f>
        <v>оплачено</v>
      </c>
      <c r="G4" s="1" t="e">
        <f>#REF!</f>
        <v>#REF!</v>
      </c>
      <c r="H4" s="43"/>
      <c r="I4" s="376" t="s">
        <v>40</v>
      </c>
      <c r="J4" s="376">
        <v>660.88</v>
      </c>
      <c r="K4" s="376">
        <v>300</v>
      </c>
      <c r="L4" s="376">
        <f>J4-K4</f>
        <v>360.88</v>
      </c>
      <c r="M4" s="102">
        <v>43651</v>
      </c>
      <c r="N4" s="100">
        <v>43656</v>
      </c>
      <c r="O4" s="376" t="s">
        <v>30</v>
      </c>
      <c r="P4" s="376">
        <v>634.79999999999995</v>
      </c>
      <c r="Q4" s="112"/>
    </row>
    <row r="5" spans="1:17" x14ac:dyDescent="0.25">
      <c r="A5" s="416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6" t="s">
        <v>55</v>
      </c>
      <c r="P5" s="376">
        <v>575.25</v>
      </c>
      <c r="Q5" s="112"/>
    </row>
    <row r="6" spans="1:17" x14ac:dyDescent="0.25">
      <c r="A6" s="417"/>
      <c r="B6" s="377" t="s">
        <v>29</v>
      </c>
      <c r="C6" s="39">
        <v>234.3</v>
      </c>
      <c r="D6" s="47">
        <v>234.3</v>
      </c>
      <c r="E6" s="37">
        <f t="shared" si="0"/>
        <v>0</v>
      </c>
      <c r="F6" s="376" t="str">
        <f t="shared" si="1"/>
        <v>оплачено</v>
      </c>
      <c r="G6" s="107">
        <v>354.5</v>
      </c>
      <c r="H6" s="1"/>
      <c r="I6" s="153"/>
      <c r="J6" s="1"/>
      <c r="K6" s="1"/>
      <c r="L6" s="1"/>
      <c r="M6" s="44"/>
      <c r="N6" s="378"/>
      <c r="O6" s="53" t="s">
        <v>64</v>
      </c>
      <c r="P6" s="53">
        <v>1182.9000000000001</v>
      </c>
      <c r="Q6" s="112"/>
    </row>
    <row r="7" spans="1:17" ht="15" customHeight="1" x14ac:dyDescent="0.25">
      <c r="A7" s="710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714" t="s">
        <v>16</v>
      </c>
      <c r="I7" s="700" t="s">
        <v>17</v>
      </c>
      <c r="J7" s="700" t="s">
        <v>21</v>
      </c>
      <c r="K7" s="700"/>
      <c r="L7" s="702" t="s">
        <v>93</v>
      </c>
      <c r="M7" s="704" t="s">
        <v>95</v>
      </c>
      <c r="N7" s="378"/>
      <c r="O7" s="53" t="s">
        <v>66</v>
      </c>
      <c r="P7" s="53">
        <v>554.70000000000005</v>
      </c>
      <c r="Q7" s="112"/>
    </row>
    <row r="8" spans="1:17" ht="23.25" customHeight="1" x14ac:dyDescent="0.25">
      <c r="A8" s="711"/>
      <c r="B8" s="376" t="s">
        <v>32</v>
      </c>
      <c r="C8" s="376">
        <v>229.95</v>
      </c>
      <c r="D8" s="49">
        <v>229.95</v>
      </c>
      <c r="E8" s="37">
        <f t="shared" si="0"/>
        <v>0</v>
      </c>
      <c r="F8" s="376" t="str">
        <f t="shared" si="1"/>
        <v>оплачено</v>
      </c>
      <c r="G8" s="107">
        <v>378</v>
      </c>
      <c r="H8" s="714"/>
      <c r="I8" s="700"/>
      <c r="J8" s="380" t="s">
        <v>21</v>
      </c>
      <c r="K8" s="380" t="s">
        <v>25</v>
      </c>
      <c r="L8" s="702"/>
      <c r="M8" s="704"/>
      <c r="N8" s="378"/>
      <c r="O8" s="53" t="s">
        <v>67</v>
      </c>
      <c r="P8" s="376">
        <f>292.5/2</f>
        <v>146.25</v>
      </c>
      <c r="Q8" s="112"/>
    </row>
    <row r="9" spans="1:17" x14ac:dyDescent="0.25">
      <c r="A9" s="418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6" t="s">
        <v>55</v>
      </c>
      <c r="P9" s="53">
        <v>1798</v>
      </c>
      <c r="Q9" s="112"/>
    </row>
    <row r="10" spans="1:17" x14ac:dyDescent="0.25">
      <c r="A10" s="418">
        <v>43656</v>
      </c>
      <c r="B10" s="377" t="s">
        <v>149</v>
      </c>
      <c r="C10" s="376">
        <v>211.4</v>
      </c>
      <c r="D10" s="376">
        <v>211.4</v>
      </c>
      <c r="E10" s="37">
        <f t="shared" ref="E10:E21" si="2">C10-D10</f>
        <v>0</v>
      </c>
      <c r="F10" s="376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8"/>
      <c r="O10" s="53" t="s">
        <v>82</v>
      </c>
      <c r="P10" s="53">
        <v>550</v>
      </c>
      <c r="Q10" s="112"/>
    </row>
    <row r="11" spans="1:17" x14ac:dyDescent="0.25">
      <c r="A11" s="419">
        <v>43657</v>
      </c>
      <c r="B11" s="377" t="s">
        <v>71</v>
      </c>
      <c r="C11" s="376">
        <v>264.07</v>
      </c>
      <c r="D11" s="49">
        <v>264.07</v>
      </c>
      <c r="E11" s="37">
        <f t="shared" si="2"/>
        <v>0</v>
      </c>
      <c r="F11" s="376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8"/>
      <c r="O11" s="53" t="s">
        <v>83</v>
      </c>
      <c r="P11" s="53">
        <v>1800</v>
      </c>
      <c r="Q11" s="112"/>
    </row>
    <row r="12" spans="1:17" x14ac:dyDescent="0.25">
      <c r="A12" s="419">
        <v>43658</v>
      </c>
      <c r="B12" s="377" t="s">
        <v>62</v>
      </c>
      <c r="C12" s="376">
        <v>543.64</v>
      </c>
      <c r="D12" s="376">
        <v>543.64</v>
      </c>
      <c r="E12" s="37">
        <f t="shared" si="2"/>
        <v>0</v>
      </c>
      <c r="F12" s="376" t="str">
        <f t="shared" si="1"/>
        <v>оплачено</v>
      </c>
      <c r="G12" s="12">
        <f>C10+C15</f>
        <v>378</v>
      </c>
      <c r="H12" s="43"/>
      <c r="I12" s="153"/>
      <c r="J12" s="1"/>
      <c r="K12" s="160"/>
      <c r="L12" s="153"/>
      <c r="M12" s="103"/>
      <c r="N12" s="378"/>
      <c r="O12" s="53" t="s">
        <v>84</v>
      </c>
      <c r="P12" s="53">
        <v>2400</v>
      </c>
      <c r="Q12" s="112"/>
    </row>
    <row r="13" spans="1:17" x14ac:dyDescent="0.25">
      <c r="A13" s="419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3"/>
      <c r="K13" s="160"/>
      <c r="L13" s="153"/>
      <c r="M13" s="103"/>
      <c r="N13" s="378"/>
      <c r="O13" s="53" t="s">
        <v>85</v>
      </c>
      <c r="P13" s="53">
        <v>40</v>
      </c>
      <c r="Q13" s="112"/>
    </row>
    <row r="14" spans="1:17" x14ac:dyDescent="0.25">
      <c r="A14" s="418">
        <v>43666</v>
      </c>
      <c r="B14" s="376" t="s">
        <v>63</v>
      </c>
      <c r="C14" s="376">
        <v>178.15</v>
      </c>
      <c r="D14" s="376">
        <v>178.15</v>
      </c>
      <c r="E14" s="37">
        <f t="shared" si="2"/>
        <v>0</v>
      </c>
      <c r="F14" s="376" t="str">
        <f t="shared" si="1"/>
        <v>оплачено</v>
      </c>
      <c r="G14" s="1"/>
      <c r="H14" s="43"/>
      <c r="I14" s="1"/>
      <c r="J14" s="1"/>
      <c r="K14" s="161"/>
      <c r="L14" s="153"/>
      <c r="M14" s="44"/>
      <c r="N14" s="378"/>
      <c r="O14" s="53" t="s">
        <v>86</v>
      </c>
      <c r="P14" s="376">
        <f>1074/2</f>
        <v>537</v>
      </c>
      <c r="Q14" s="112"/>
    </row>
    <row r="15" spans="1:17" x14ac:dyDescent="0.25">
      <c r="A15" s="418">
        <v>43668</v>
      </c>
      <c r="B15" s="376" t="s">
        <v>149</v>
      </c>
      <c r="C15" s="5">
        <v>166.6</v>
      </c>
      <c r="D15" s="5">
        <v>166.6</v>
      </c>
      <c r="E15" s="37">
        <f t="shared" si="2"/>
        <v>0</v>
      </c>
      <c r="F15" s="376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8"/>
      <c r="O15" s="53" t="s">
        <v>87</v>
      </c>
      <c r="P15" s="376">
        <v>165</v>
      </c>
      <c r="Q15" s="112"/>
    </row>
    <row r="16" spans="1:17" x14ac:dyDescent="0.25">
      <c r="A16" s="418">
        <v>43661</v>
      </c>
      <c r="B16" s="376" t="s">
        <v>69</v>
      </c>
      <c r="C16" s="376">
        <v>293.3</v>
      </c>
      <c r="D16" s="376">
        <v>293.3</v>
      </c>
      <c r="E16" s="37">
        <f t="shared" si="2"/>
        <v>0</v>
      </c>
      <c r="F16" s="376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8"/>
      <c r="O16" s="53" t="s">
        <v>88</v>
      </c>
      <c r="P16" s="376">
        <f>594.3/2</f>
        <v>297.14999999999998</v>
      </c>
      <c r="Q16" s="112"/>
    </row>
    <row r="17" spans="1:17" x14ac:dyDescent="0.25">
      <c r="A17" s="418">
        <v>43669</v>
      </c>
      <c r="B17" s="376" t="s">
        <v>71</v>
      </c>
      <c r="C17" s="376">
        <v>306.07</v>
      </c>
      <c r="D17" s="376">
        <v>306.07</v>
      </c>
      <c r="E17" s="37">
        <f t="shared" si="2"/>
        <v>0</v>
      </c>
      <c r="F17" s="376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8"/>
      <c r="O17" s="53" t="s">
        <v>92</v>
      </c>
      <c r="P17" s="376">
        <v>1200</v>
      </c>
      <c r="Q17" s="112"/>
    </row>
    <row r="18" spans="1:17" x14ac:dyDescent="0.25">
      <c r="A18" s="418">
        <v>43671</v>
      </c>
      <c r="B18" s="376" t="s">
        <v>69</v>
      </c>
      <c r="C18" s="376">
        <v>297.16000000000003</v>
      </c>
      <c r="D18" s="376">
        <v>297.16000000000003</v>
      </c>
      <c r="E18" s="37">
        <f t="shared" si="2"/>
        <v>0</v>
      </c>
      <c r="F18" s="376" t="str">
        <f t="shared" si="1"/>
        <v>оплачено</v>
      </c>
      <c r="G18" s="1"/>
      <c r="H18" s="43">
        <v>1</v>
      </c>
      <c r="I18" s="678" t="s">
        <v>47</v>
      </c>
      <c r="J18" s="678"/>
      <c r="K18" s="376">
        <v>288.75</v>
      </c>
      <c r="L18" s="1" t="s">
        <v>56</v>
      </c>
      <c r="M18" s="44"/>
      <c r="N18" s="82">
        <v>43677</v>
      </c>
      <c r="O18" s="83" t="s">
        <v>27</v>
      </c>
      <c r="P18" s="160">
        <v>500</v>
      </c>
      <c r="Q18" s="420">
        <v>994</v>
      </c>
    </row>
    <row r="19" spans="1:17" x14ac:dyDescent="0.25">
      <c r="A19" s="412"/>
      <c r="B19" s="376" t="s">
        <v>80</v>
      </c>
      <c r="C19" s="376">
        <v>1180.9000000000001</v>
      </c>
      <c r="D19" s="376">
        <v>1180.9000000000001</v>
      </c>
      <c r="E19" s="37">
        <f t="shared" si="2"/>
        <v>0</v>
      </c>
      <c r="F19" s="376" t="str">
        <f t="shared" si="1"/>
        <v>оплачено</v>
      </c>
      <c r="G19" s="1"/>
      <c r="H19" s="43">
        <v>2</v>
      </c>
      <c r="I19" s="678" t="s">
        <v>51</v>
      </c>
      <c r="J19" s="678"/>
      <c r="K19" s="376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412" t="s">
        <v>90</v>
      </c>
      <c r="B20" s="376" t="s">
        <v>89</v>
      </c>
      <c r="C20" s="376">
        <v>1570</v>
      </c>
      <c r="D20" s="376">
        <v>1570</v>
      </c>
      <c r="E20" s="37">
        <f t="shared" si="2"/>
        <v>0</v>
      </c>
      <c r="F20" s="376" t="str">
        <f t="shared" si="1"/>
        <v>оплачено</v>
      </c>
      <c r="G20" s="1"/>
      <c r="H20" s="43">
        <v>3</v>
      </c>
      <c r="I20" s="678" t="s">
        <v>52</v>
      </c>
      <c r="J20" s="678"/>
      <c r="K20" s="376">
        <v>10</v>
      </c>
      <c r="L20" s="1" t="s">
        <v>56</v>
      </c>
      <c r="M20" s="44"/>
      <c r="O20" s="1"/>
      <c r="P20" s="1"/>
      <c r="Q20" s="112"/>
    </row>
    <row r="21" spans="1:17" x14ac:dyDescent="0.25">
      <c r="A21" s="418">
        <v>43677</v>
      </c>
      <c r="B21" s="376" t="s">
        <v>97</v>
      </c>
      <c r="C21" s="94">
        <v>526.5</v>
      </c>
      <c r="D21" s="94">
        <v>526.5</v>
      </c>
      <c r="E21" s="37">
        <f t="shared" si="2"/>
        <v>0</v>
      </c>
      <c r="F21" s="376" t="str">
        <f t="shared" si="1"/>
        <v>оплачено</v>
      </c>
      <c r="G21" s="1"/>
      <c r="H21" s="43">
        <v>4</v>
      </c>
      <c r="I21" s="678" t="s">
        <v>53</v>
      </c>
      <c r="J21" s="678"/>
      <c r="K21" s="376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21">
        <f>SUM(C3:C21)-C7-C9-C13</f>
        <v>9163.369999999999</v>
      </c>
      <c r="D22" s="1"/>
      <c r="E22" s="1"/>
      <c r="F22" s="1"/>
      <c r="G22" s="1"/>
      <c r="H22" s="43">
        <v>5</v>
      </c>
      <c r="I22" s="678" t="s">
        <v>54</v>
      </c>
      <c r="J22" s="678"/>
      <c r="K22" s="376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3"/>
      <c r="G23" s="1"/>
      <c r="H23" s="43">
        <v>6</v>
      </c>
      <c r="I23" s="678" t="s">
        <v>49</v>
      </c>
      <c r="J23" s="678"/>
      <c r="K23" s="376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712" t="s">
        <v>48</v>
      </c>
      <c r="J24" s="713"/>
      <c r="K24" s="376">
        <v>458.46</v>
      </c>
      <c r="L24" s="153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712" t="s">
        <v>57</v>
      </c>
      <c r="J25" s="713"/>
      <c r="K25" s="376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3"/>
      <c r="D26" s="1"/>
      <c r="E26" s="1"/>
      <c r="F26" s="12"/>
      <c r="G26" s="1"/>
      <c r="H26" s="43">
        <v>9</v>
      </c>
      <c r="I26" s="675" t="s">
        <v>59</v>
      </c>
      <c r="J26" s="675"/>
      <c r="K26" s="376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679" t="s">
        <v>68</v>
      </c>
      <c r="J27" s="680"/>
      <c r="K27" s="376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679" t="s">
        <v>81</v>
      </c>
      <c r="J28" s="680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3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727" t="s">
        <v>195</v>
      </c>
      <c r="J34" s="727"/>
      <c r="K34" s="727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47"/>
      <c r="B35" s="382"/>
      <c r="C35" s="382"/>
      <c r="D35" s="382"/>
      <c r="E35" s="382"/>
      <c r="F35" s="382"/>
      <c r="G35" s="382"/>
      <c r="H35" s="373"/>
      <c r="I35" s="728"/>
      <c r="J35" s="728"/>
      <c r="K35" s="728"/>
      <c r="L35" s="382"/>
      <c r="M35" s="382"/>
      <c r="N35" s="720"/>
      <c r="O35" s="720"/>
      <c r="P35" s="373"/>
      <c r="Q35" s="373"/>
      <c r="R35" s="373"/>
      <c r="S35" s="422"/>
      <c r="T35" s="51"/>
    </row>
    <row r="36" spans="1:20" ht="15.75" thickBot="1" x14ac:dyDescent="0.3">
      <c r="A36" s="423"/>
      <c r="B36" s="372"/>
      <c r="C36" s="382"/>
      <c r="D36" s="382"/>
      <c r="E36" s="382"/>
      <c r="F36" s="372"/>
      <c r="G36" s="373"/>
      <c r="H36" s="373"/>
      <c r="I36" s="373"/>
      <c r="J36" s="373"/>
      <c r="K36" s="373"/>
      <c r="L36" s="373"/>
      <c r="M36" s="373"/>
      <c r="N36" s="373"/>
      <c r="O36" s="373"/>
      <c r="P36" s="300"/>
      <c r="Q36" s="300"/>
      <c r="R36" s="373"/>
      <c r="S36" s="422"/>
      <c r="T36" s="51"/>
    </row>
    <row r="37" spans="1:20" x14ac:dyDescent="0.25">
      <c r="A37" s="721" t="s">
        <v>28</v>
      </c>
      <c r="B37" s="722"/>
      <c r="C37" s="722"/>
      <c r="D37" s="722"/>
      <c r="E37" s="722"/>
      <c r="F37" s="722"/>
      <c r="G37" s="722"/>
      <c r="H37" s="108"/>
      <c r="I37" s="706" t="s">
        <v>103</v>
      </c>
      <c r="J37" s="706"/>
      <c r="K37" s="706"/>
      <c r="L37" s="706"/>
      <c r="M37" s="723"/>
      <c r="N37" s="722" t="s">
        <v>60</v>
      </c>
      <c r="O37" s="722"/>
      <c r="P37" s="1"/>
      <c r="Q37" s="1"/>
      <c r="R37" s="1"/>
      <c r="S37" s="112"/>
      <c r="T37" s="51"/>
    </row>
    <row r="38" spans="1:20" x14ac:dyDescent="0.25">
      <c r="A38" s="412" t="s">
        <v>2</v>
      </c>
      <c r="B38" s="375" t="s">
        <v>34</v>
      </c>
      <c r="C38" s="36" t="s">
        <v>35</v>
      </c>
      <c r="D38" s="36" t="s">
        <v>38</v>
      </c>
      <c r="E38" s="36" t="s">
        <v>42</v>
      </c>
      <c r="F38" s="379" t="s">
        <v>36</v>
      </c>
      <c r="G38" s="377" t="s">
        <v>37</v>
      </c>
      <c r="H38" s="111"/>
      <c r="I38" s="40"/>
      <c r="J38" s="376" t="s">
        <v>104</v>
      </c>
      <c r="K38" s="376" t="s">
        <v>38</v>
      </c>
      <c r="L38" s="376" t="s">
        <v>42</v>
      </c>
      <c r="M38" s="121" t="s">
        <v>44</v>
      </c>
      <c r="N38" s="156" t="s">
        <v>2</v>
      </c>
      <c r="O38" s="53" t="s">
        <v>34</v>
      </c>
      <c r="P38" s="154" t="s">
        <v>58</v>
      </c>
      <c r="Q38" s="154" t="s">
        <v>65</v>
      </c>
      <c r="R38" s="373" t="s">
        <v>100</v>
      </c>
      <c r="S38" s="422" t="s">
        <v>40</v>
      </c>
      <c r="T38" s="51"/>
    </row>
    <row r="39" spans="1:20" x14ac:dyDescent="0.25">
      <c r="A39" s="424">
        <v>43680</v>
      </c>
      <c r="B39" s="151" t="s">
        <v>31</v>
      </c>
      <c r="C39" s="152">
        <v>1213.06</v>
      </c>
      <c r="D39" s="221"/>
      <c r="E39" s="152">
        <f t="shared" ref="E39:E46" si="3">C39-D39</f>
        <v>1213.06</v>
      </c>
      <c r="F39" s="41" t="s">
        <v>61</v>
      </c>
      <c r="G39" s="155">
        <v>1809</v>
      </c>
      <c r="H39" s="111"/>
      <c r="I39" s="376" t="s">
        <v>39</v>
      </c>
      <c r="J39" s="376">
        <v>2164.75</v>
      </c>
      <c r="K39" s="376">
        <v>2164.75</v>
      </c>
      <c r="L39" s="162">
        <f t="shared" ref="L39:L40" si="4">J39-K39</f>
        <v>0</v>
      </c>
      <c r="M39" s="158">
        <v>43699</v>
      </c>
      <c r="N39" s="157">
        <v>43684</v>
      </c>
      <c r="O39" s="376" t="s">
        <v>98</v>
      </c>
      <c r="P39" s="376">
        <v>1301</v>
      </c>
      <c r="Q39" s="376">
        <v>2442</v>
      </c>
      <c r="R39" s="373">
        <v>300</v>
      </c>
      <c r="S39" s="422">
        <v>390</v>
      </c>
      <c r="T39" s="51"/>
    </row>
    <row r="40" spans="1:20" x14ac:dyDescent="0.25">
      <c r="A40" s="425">
        <v>43684</v>
      </c>
      <c r="B40" s="165" t="s">
        <v>32</v>
      </c>
      <c r="C40" s="99">
        <v>799.35</v>
      </c>
      <c r="D40" s="99">
        <v>799.35</v>
      </c>
      <c r="E40" s="162">
        <f t="shared" si="3"/>
        <v>0</v>
      </c>
      <c r="F40" s="165" t="str">
        <f t="shared" ref="F40:F50" si="5">IF(C40=0,"",IF(C40-D40=0,"оплачено",""))</f>
        <v>оплачено</v>
      </c>
      <c r="G40" s="166">
        <v>1314</v>
      </c>
      <c r="H40" s="111"/>
      <c r="I40" s="376" t="s">
        <v>40</v>
      </c>
      <c r="J40" s="376">
        <v>965.66</v>
      </c>
      <c r="K40" s="376">
        <v>965.66</v>
      </c>
      <c r="L40" s="163">
        <f t="shared" si="4"/>
        <v>0</v>
      </c>
      <c r="M40" s="158">
        <v>43699</v>
      </c>
      <c r="N40" s="157">
        <v>43686</v>
      </c>
      <c r="O40" s="376" t="s">
        <v>99</v>
      </c>
      <c r="P40" s="376">
        <v>436.55</v>
      </c>
      <c r="Q40" s="376">
        <v>964.5</v>
      </c>
      <c r="R40" s="1"/>
      <c r="S40" s="112"/>
      <c r="T40" s="51"/>
    </row>
    <row r="41" spans="1:20" x14ac:dyDescent="0.25">
      <c r="A41" s="425">
        <v>43684</v>
      </c>
      <c r="B41" s="166" t="s">
        <v>29</v>
      </c>
      <c r="C41" s="99">
        <v>276.45</v>
      </c>
      <c r="D41" s="99">
        <v>276.45</v>
      </c>
      <c r="E41" s="162">
        <f>C41-D41</f>
        <v>0</v>
      </c>
      <c r="F41" s="165" t="str">
        <f t="shared" si="5"/>
        <v>оплачено</v>
      </c>
      <c r="G41" s="166">
        <v>480</v>
      </c>
      <c r="H41" s="111"/>
      <c r="I41" s="1"/>
      <c r="J41" s="93">
        <f>SUM(J39:J40)</f>
        <v>3130.41</v>
      </c>
      <c r="K41" s="1"/>
      <c r="L41" s="1"/>
      <c r="M41" s="112"/>
      <c r="N41" s="157">
        <v>43688</v>
      </c>
      <c r="O41" s="376" t="s">
        <v>102</v>
      </c>
      <c r="P41" s="376">
        <v>506.2</v>
      </c>
      <c r="Q41" s="376">
        <v>937</v>
      </c>
      <c r="R41" s="1"/>
      <c r="S41" s="112"/>
      <c r="T41" s="51"/>
    </row>
    <row r="42" spans="1:20" x14ac:dyDescent="0.25">
      <c r="A42" s="425">
        <v>43684</v>
      </c>
      <c r="B42" s="166" t="s">
        <v>29</v>
      </c>
      <c r="C42" s="99">
        <v>102.3</v>
      </c>
      <c r="D42" s="99">
        <v>102.3</v>
      </c>
      <c r="E42" s="162">
        <f t="shared" ref="E42:E51" si="6">C42-D42</f>
        <v>0</v>
      </c>
      <c r="F42" s="165" t="str">
        <f>IF(C42=0,"",IF(C42-D42=0,"оплачено",""))</f>
        <v>оплачено</v>
      </c>
      <c r="G42" s="166">
        <v>157.5</v>
      </c>
      <c r="H42" s="111"/>
      <c r="I42" s="153"/>
      <c r="J42" s="1"/>
      <c r="K42" s="1"/>
      <c r="L42" s="1"/>
      <c r="M42" s="112"/>
      <c r="N42" s="157">
        <v>43693</v>
      </c>
      <c r="O42" s="376" t="s">
        <v>102</v>
      </c>
      <c r="P42" s="53">
        <v>465.45</v>
      </c>
      <c r="Q42" s="376">
        <v>721</v>
      </c>
      <c r="R42" s="1"/>
      <c r="S42" s="112"/>
      <c r="T42" s="51"/>
    </row>
    <row r="43" spans="1:20" x14ac:dyDescent="0.25">
      <c r="A43" s="424">
        <v>43691</v>
      </c>
      <c r="B43" s="194" t="s">
        <v>107</v>
      </c>
      <c r="C43" s="149">
        <v>840.86</v>
      </c>
      <c r="D43" s="220"/>
      <c r="E43" s="152">
        <f t="shared" si="3"/>
        <v>840.86</v>
      </c>
      <c r="F43" s="41" t="s">
        <v>61</v>
      </c>
      <c r="G43" s="168">
        <v>1291</v>
      </c>
      <c r="H43" s="724" t="s">
        <v>16</v>
      </c>
      <c r="I43" s="700" t="s">
        <v>17</v>
      </c>
      <c r="J43" s="700" t="s">
        <v>21</v>
      </c>
      <c r="K43" s="700"/>
      <c r="L43" s="702" t="s">
        <v>93</v>
      </c>
      <c r="M43" s="715" t="s">
        <v>95</v>
      </c>
      <c r="N43" s="157">
        <v>43693</v>
      </c>
      <c r="O43" s="53" t="s">
        <v>66</v>
      </c>
      <c r="P43" s="53">
        <v>1500</v>
      </c>
      <c r="Q43" s="376">
        <v>2517.5</v>
      </c>
      <c r="R43" s="1"/>
      <c r="S43" s="112"/>
      <c r="T43" s="51"/>
    </row>
    <row r="44" spans="1:20" ht="24" x14ac:dyDescent="0.25">
      <c r="A44" s="425">
        <v>43694</v>
      </c>
      <c r="B44" s="174" t="s">
        <v>106</v>
      </c>
      <c r="C44" s="164">
        <v>398.78</v>
      </c>
      <c r="D44" s="164">
        <v>398.78</v>
      </c>
      <c r="E44" s="162">
        <f t="shared" si="3"/>
        <v>0</v>
      </c>
      <c r="F44" s="165" t="str">
        <f t="shared" ref="F44:F46" si="7">IF(C44=0,"",IF(C44-D44=0,"оплачено",""))</f>
        <v>оплачено</v>
      </c>
      <c r="G44" s="165">
        <v>612</v>
      </c>
      <c r="H44" s="714"/>
      <c r="I44" s="700"/>
      <c r="J44" s="380" t="s">
        <v>21</v>
      </c>
      <c r="K44" s="380" t="s">
        <v>25</v>
      </c>
      <c r="L44" s="702"/>
      <c r="M44" s="715"/>
      <c r="N44" s="52">
        <v>43694</v>
      </c>
      <c r="O44" s="376" t="s">
        <v>99</v>
      </c>
      <c r="P44" s="376">
        <v>561.28</v>
      </c>
      <c r="Q44" s="376">
        <v>1260</v>
      </c>
      <c r="R44" s="169">
        <v>134.71</v>
      </c>
      <c r="S44" s="112"/>
      <c r="T44" s="51"/>
    </row>
    <row r="45" spans="1:20" x14ac:dyDescent="0.25">
      <c r="A45" s="426">
        <v>43696</v>
      </c>
      <c r="B45" s="164" t="s">
        <v>101</v>
      </c>
      <c r="C45" s="164">
        <v>376.2</v>
      </c>
      <c r="D45" s="164">
        <v>376.2</v>
      </c>
      <c r="E45" s="162">
        <f t="shared" si="3"/>
        <v>0</v>
      </c>
      <c r="F45" s="165" t="str">
        <f t="shared" si="7"/>
        <v>оплачено</v>
      </c>
      <c r="G45" s="165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9">
        <v>43701</v>
      </c>
      <c r="O45" s="376" t="s">
        <v>102</v>
      </c>
      <c r="P45" s="53">
        <v>642.65</v>
      </c>
      <c r="Q45" s="376">
        <v>1151.5</v>
      </c>
      <c r="R45" s="1"/>
      <c r="S45" s="112"/>
      <c r="T45" s="51"/>
    </row>
    <row r="46" spans="1:20" x14ac:dyDescent="0.25">
      <c r="A46" s="427">
        <v>43699</v>
      </c>
      <c r="B46" s="174" t="s">
        <v>105</v>
      </c>
      <c r="C46" s="164">
        <v>198.3</v>
      </c>
      <c r="D46" s="164">
        <v>198.3</v>
      </c>
      <c r="E46" s="162">
        <f t="shared" si="3"/>
        <v>0</v>
      </c>
      <c r="F46" s="165" t="str">
        <f t="shared" si="7"/>
        <v>оплачено</v>
      </c>
      <c r="G46" s="165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716" t="s">
        <v>35</v>
      </c>
      <c r="O46" s="717"/>
      <c r="P46" s="218">
        <f>SUM(P39:P45)</f>
        <v>5413.1299999999992</v>
      </c>
      <c r="Q46" s="218">
        <f>SUM(Q39:Q45)</f>
        <v>9993.5</v>
      </c>
      <c r="R46" s="1"/>
      <c r="S46" s="112"/>
      <c r="T46" s="51"/>
    </row>
    <row r="47" spans="1:20" ht="30" x14ac:dyDescent="0.25">
      <c r="A47" s="428">
        <v>43699</v>
      </c>
      <c r="B47" s="199" t="s">
        <v>108</v>
      </c>
      <c r="C47" s="170">
        <v>329.84</v>
      </c>
      <c r="D47" s="170">
        <v>329.84</v>
      </c>
      <c r="E47" s="162">
        <f t="shared" si="6"/>
        <v>0</v>
      </c>
      <c r="F47" s="165" t="str">
        <f t="shared" si="5"/>
        <v>оплачено</v>
      </c>
      <c r="G47" s="165"/>
      <c r="H47" s="378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9"/>
      <c r="P47" s="219"/>
      <c r="Q47" s="7"/>
      <c r="R47" s="1"/>
      <c r="S47" s="112"/>
      <c r="T47" s="51"/>
    </row>
    <row r="48" spans="1:20" x14ac:dyDescent="0.25">
      <c r="A48" s="428">
        <v>43700</v>
      </c>
      <c r="B48" s="175" t="s">
        <v>109</v>
      </c>
      <c r="C48" s="164">
        <v>315.89999999999998</v>
      </c>
      <c r="D48" s="164">
        <v>315.89999999999998</v>
      </c>
      <c r="E48" s="162">
        <f t="shared" si="6"/>
        <v>0</v>
      </c>
      <c r="F48" s="165" t="str">
        <f t="shared" si="5"/>
        <v>оплачено</v>
      </c>
      <c r="G48" s="166">
        <v>438</v>
      </c>
      <c r="H48" s="111"/>
      <c r="I48" s="153"/>
      <c r="J48" s="153"/>
      <c r="K48" s="1"/>
      <c r="L48" s="153"/>
      <c r="M48" s="153"/>
      <c r="O48" s="373"/>
      <c r="P48" s="373"/>
      <c r="Q48" s="1"/>
      <c r="R48" s="1"/>
      <c r="S48" s="112"/>
      <c r="T48" s="51"/>
    </row>
    <row r="49" spans="1:20" ht="15.75" thickBot="1" x14ac:dyDescent="0.3">
      <c r="A49" s="427">
        <v>43703</v>
      </c>
      <c r="B49" s="175" t="s">
        <v>112</v>
      </c>
      <c r="C49" s="164">
        <v>1141.31</v>
      </c>
      <c r="D49" s="164">
        <v>1141.31</v>
      </c>
      <c r="E49" s="162">
        <f t="shared" si="6"/>
        <v>0</v>
      </c>
      <c r="F49" s="165" t="str">
        <f t="shared" si="5"/>
        <v>оплачено</v>
      </c>
      <c r="G49" s="166">
        <v>2148.5</v>
      </c>
      <c r="H49" s="111"/>
      <c r="I49" s="1"/>
      <c r="J49" s="84"/>
      <c r="K49" s="1"/>
      <c r="L49" s="153"/>
      <c r="M49" s="153"/>
      <c r="O49" s="373"/>
      <c r="P49" s="373"/>
      <c r="Q49" s="1"/>
      <c r="R49" s="1"/>
      <c r="S49" s="112"/>
      <c r="T49" s="51"/>
    </row>
    <row r="50" spans="1:20" x14ac:dyDescent="0.25">
      <c r="A50" s="427">
        <v>43707</v>
      </c>
      <c r="B50" s="200" t="s">
        <v>113</v>
      </c>
      <c r="C50" s="167">
        <v>94.08</v>
      </c>
      <c r="D50" s="167">
        <v>94.08</v>
      </c>
      <c r="E50" s="162">
        <f t="shared" si="6"/>
        <v>0</v>
      </c>
      <c r="F50" s="165" t="str">
        <f t="shared" si="5"/>
        <v>оплачено</v>
      </c>
      <c r="G50" s="166">
        <v>184</v>
      </c>
      <c r="H50" s="718" t="s">
        <v>122</v>
      </c>
      <c r="I50" s="719"/>
      <c r="J50" s="214" t="s">
        <v>121</v>
      </c>
      <c r="K50" s="153"/>
      <c r="L50" s="153"/>
      <c r="M50" s="1"/>
      <c r="O50" s="373"/>
      <c r="P50" s="1"/>
      <c r="Q50" s="1"/>
      <c r="R50" s="1"/>
      <c r="S50" s="112"/>
      <c r="T50" s="51"/>
    </row>
    <row r="51" spans="1:20" ht="15.75" thickBot="1" x14ac:dyDescent="0.3">
      <c r="A51" s="429">
        <v>43699</v>
      </c>
      <c r="B51" s="201" t="s">
        <v>114</v>
      </c>
      <c r="C51" s="202">
        <v>653.34</v>
      </c>
      <c r="D51" s="202"/>
      <c r="E51" s="152">
        <f t="shared" si="6"/>
        <v>653.34</v>
      </c>
      <c r="F51" s="41" t="s">
        <v>61</v>
      </c>
      <c r="G51" s="203"/>
      <c r="H51" s="216"/>
      <c r="I51" s="93">
        <v>18</v>
      </c>
      <c r="J51" s="215">
        <f>G39+G40+G41+G42+Q39+Q40+Q41+Q42+Q43+Q44+G44+G45+G46+G43+G48+Q45+G49+G50</f>
        <v>19306</v>
      </c>
      <c r="K51" s="1"/>
      <c r="L51" s="153"/>
      <c r="M51" s="153"/>
      <c r="O51" s="373"/>
      <c r="P51" s="1"/>
      <c r="Q51" s="1"/>
      <c r="R51" s="1"/>
      <c r="S51" s="112"/>
      <c r="T51" s="51"/>
    </row>
    <row r="52" spans="1:20" x14ac:dyDescent="0.25">
      <c r="A52" s="430"/>
      <c r="B52" s="207" t="s">
        <v>35</v>
      </c>
      <c r="C52" s="208">
        <f>SUM(C39:C51)</f>
        <v>6739.77</v>
      </c>
      <c r="D52" s="207"/>
      <c r="E52" s="222"/>
      <c r="F52" s="223"/>
      <c r="G52" s="224">
        <f>SUM(G39:G51)</f>
        <v>9312.5</v>
      </c>
      <c r="H52" s="1"/>
      <c r="I52" s="1"/>
      <c r="J52" s="1"/>
      <c r="K52" s="1"/>
      <c r="L52" s="153"/>
      <c r="M52" s="1"/>
      <c r="O52" s="373"/>
      <c r="P52" s="1"/>
      <c r="Q52" s="1"/>
      <c r="R52" s="1"/>
      <c r="S52" s="112"/>
      <c r="T52" s="51"/>
    </row>
    <row r="53" spans="1:20" x14ac:dyDescent="0.25">
      <c r="A53" s="431"/>
      <c r="B53" s="205"/>
      <c r="C53" s="205"/>
      <c r="D53" s="205"/>
      <c r="E53" s="85">
        <f>C43+C51</f>
        <v>1494.2</v>
      </c>
      <c r="F53" s="206">
        <v>1180.2600000000002</v>
      </c>
      <c r="G53" s="206"/>
      <c r="H53" s="1"/>
      <c r="I53" s="1"/>
      <c r="J53" s="1"/>
      <c r="K53" s="1"/>
      <c r="L53" s="1"/>
      <c r="M53" s="217"/>
      <c r="O53" s="373"/>
      <c r="P53" s="1"/>
      <c r="Q53" s="1"/>
      <c r="R53" s="1"/>
      <c r="S53" s="112"/>
      <c r="T53" s="51"/>
    </row>
    <row r="54" spans="1:20" x14ac:dyDescent="0.25">
      <c r="A54" s="432"/>
      <c r="B54" s="205"/>
      <c r="C54" s="205"/>
      <c r="D54" s="205"/>
      <c r="E54" s="85"/>
      <c r="F54" s="236">
        <f>E53-F53</f>
        <v>313.93999999999983</v>
      </c>
      <c r="G54" s="206"/>
      <c r="H54" s="1">
        <v>1</v>
      </c>
      <c r="I54" s="678" t="s">
        <v>47</v>
      </c>
      <c r="J54" s="678"/>
      <c r="K54" s="376">
        <v>288.75</v>
      </c>
      <c r="L54" s="1" t="s">
        <v>56</v>
      </c>
      <c r="M54" s="1"/>
      <c r="N54" s="82"/>
      <c r="O54" s="129"/>
      <c r="P54" s="160"/>
      <c r="Q54" s="160"/>
      <c r="R54" s="1"/>
      <c r="S54" s="112"/>
      <c r="T54" s="51"/>
    </row>
    <row r="55" spans="1:20" x14ac:dyDescent="0.25">
      <c r="A55" s="432"/>
      <c r="B55" s="205"/>
      <c r="C55" s="205"/>
      <c r="D55" s="205"/>
      <c r="E55" s="85"/>
      <c r="F55" s="206"/>
      <c r="G55" s="206"/>
      <c r="H55" s="1">
        <v>2</v>
      </c>
      <c r="I55" s="678" t="s">
        <v>51</v>
      </c>
      <c r="J55" s="678"/>
      <c r="K55" s="376">
        <v>64.349999999999994</v>
      </c>
      <c r="L55" s="1" t="s">
        <v>56</v>
      </c>
      <c r="M55" s="1"/>
      <c r="O55" s="1"/>
      <c r="P55" s="373"/>
      <c r="Q55" s="1"/>
      <c r="R55" s="1"/>
      <c r="S55" s="112"/>
      <c r="T55" s="51"/>
    </row>
    <row r="56" spans="1:20" x14ac:dyDescent="0.25">
      <c r="A56" s="433"/>
      <c r="B56" s="373"/>
      <c r="C56" s="85"/>
      <c r="D56" s="373"/>
      <c r="E56" s="85"/>
      <c r="F56" s="1"/>
      <c r="G56" s="1"/>
      <c r="H56" s="1">
        <v>3</v>
      </c>
      <c r="I56" s="678" t="s">
        <v>52</v>
      </c>
      <c r="J56" s="678"/>
      <c r="K56" s="376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678" t="s">
        <v>53</v>
      </c>
      <c r="J57" s="678"/>
      <c r="K57" s="376">
        <v>5</v>
      </c>
      <c r="L57" s="1"/>
      <c r="M57" s="153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678" t="s">
        <v>54</v>
      </c>
      <c r="J58" s="678"/>
      <c r="K58" s="376">
        <v>4</v>
      </c>
      <c r="L58" s="1"/>
      <c r="M58" s="153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678" t="s">
        <v>49</v>
      </c>
      <c r="J59" s="678"/>
      <c r="K59" s="376">
        <v>332.56</v>
      </c>
      <c r="L59" s="1" t="s">
        <v>110</v>
      </c>
      <c r="M59" s="153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712" t="s">
        <v>48</v>
      </c>
      <c r="J60" s="713"/>
      <c r="K60" s="376">
        <v>458.46</v>
      </c>
      <c r="L60" s="153"/>
      <c r="M60" s="153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712" t="s">
        <v>57</v>
      </c>
      <c r="J61" s="713"/>
      <c r="K61" s="376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675" t="s">
        <v>59</v>
      </c>
      <c r="J62" s="675"/>
      <c r="K62" s="376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679" t="s">
        <v>68</v>
      </c>
      <c r="J63" s="680"/>
      <c r="K63" s="376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3"/>
      <c r="F64" s="1"/>
      <c r="G64" s="1"/>
      <c r="H64" s="1">
        <v>11</v>
      </c>
      <c r="I64" s="679" t="s">
        <v>81</v>
      </c>
      <c r="J64" s="680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725" t="s">
        <v>28</v>
      </c>
      <c r="B67" s="726"/>
      <c r="C67" s="726"/>
      <c r="D67" s="726"/>
      <c r="E67" s="726"/>
      <c r="F67" s="726"/>
      <c r="G67" s="726"/>
      <c r="H67" s="109"/>
      <c r="I67" s="726" t="s">
        <v>136</v>
      </c>
      <c r="J67" s="726"/>
      <c r="K67" s="726"/>
      <c r="L67" s="726"/>
      <c r="M67" s="726"/>
      <c r="N67" s="722" t="s">
        <v>60</v>
      </c>
      <c r="O67" s="722"/>
      <c r="P67" s="1"/>
      <c r="Q67" s="1"/>
      <c r="R67" s="1"/>
      <c r="S67" s="112"/>
    </row>
    <row r="68" spans="1:19" x14ac:dyDescent="0.25">
      <c r="A68" s="412" t="s">
        <v>2</v>
      </c>
      <c r="B68" s="379" t="s">
        <v>34</v>
      </c>
      <c r="C68" s="36" t="s">
        <v>35</v>
      </c>
      <c r="D68" s="36" t="s">
        <v>38</v>
      </c>
      <c r="E68" s="36" t="s">
        <v>42</v>
      </c>
      <c r="F68" s="379" t="s">
        <v>36</v>
      </c>
      <c r="G68" s="376" t="s">
        <v>37</v>
      </c>
      <c r="H68" s="1"/>
      <c r="I68" s="40"/>
      <c r="J68" s="376" t="s">
        <v>104</v>
      </c>
      <c r="K68" s="376" t="s">
        <v>38</v>
      </c>
      <c r="L68" s="376" t="s">
        <v>42</v>
      </c>
      <c r="M68" s="376" t="s">
        <v>44</v>
      </c>
      <c r="N68" s="156" t="s">
        <v>2</v>
      </c>
      <c r="O68" s="53" t="s">
        <v>34</v>
      </c>
      <c r="P68" s="154" t="s">
        <v>58</v>
      </c>
      <c r="Q68" s="154" t="s">
        <v>65</v>
      </c>
      <c r="R68" s="373" t="s">
        <v>100</v>
      </c>
      <c r="S68" s="422" t="s">
        <v>40</v>
      </c>
    </row>
    <row r="69" spans="1:19" x14ac:dyDescent="0.25">
      <c r="A69" s="434">
        <v>43710</v>
      </c>
      <c r="B69" s="165" t="s">
        <v>115</v>
      </c>
      <c r="C69" s="99">
        <v>1980</v>
      </c>
      <c r="D69" s="231">
        <f>688+500+792</f>
        <v>1980</v>
      </c>
      <c r="E69" s="163">
        <f>C69-D69</f>
        <v>0</v>
      </c>
      <c r="F69" s="165" t="str">
        <f t="shared" ref="F69:F89" si="8">IF(C69=0,"",IF(C69-D69=0,"оплачено",""))</f>
        <v>оплачено</v>
      </c>
      <c r="G69" s="165">
        <v>3200</v>
      </c>
      <c r="H69" s="1"/>
      <c r="I69" s="376" t="s">
        <v>39</v>
      </c>
      <c r="J69" s="376">
        <v>547.82000000000005</v>
      </c>
      <c r="K69" s="376">
        <v>547.82000000000005</v>
      </c>
      <c r="L69" s="163">
        <f t="shared" ref="L69:L70" si="9">J69-K69</f>
        <v>0</v>
      </c>
      <c r="M69" s="3">
        <v>43727</v>
      </c>
      <c r="N69" s="211"/>
      <c r="O69" s="53" t="s">
        <v>118</v>
      </c>
      <c r="P69" s="164">
        <v>58.25</v>
      </c>
      <c r="Q69" s="53"/>
      <c r="R69" s="373"/>
      <c r="S69" s="422"/>
    </row>
    <row r="70" spans="1:19" x14ac:dyDescent="0.25">
      <c r="A70" s="434">
        <v>43711</v>
      </c>
      <c r="B70" s="165" t="s">
        <v>116</v>
      </c>
      <c r="C70" s="99">
        <v>775.2</v>
      </c>
      <c r="D70" s="99">
        <v>775.2</v>
      </c>
      <c r="E70" s="163">
        <f t="shared" ref="E70:E88" si="10">C70-D70</f>
        <v>0</v>
      </c>
      <c r="F70" s="165" t="str">
        <f t="shared" si="8"/>
        <v>оплачено</v>
      </c>
      <c r="G70" s="165">
        <v>1140</v>
      </c>
      <c r="H70" s="1"/>
      <c r="I70" s="376" t="s">
        <v>40</v>
      </c>
      <c r="J70" s="376">
        <v>632.44000000000005</v>
      </c>
      <c r="K70" s="376">
        <v>632.44000000000005</v>
      </c>
      <c r="L70" s="163">
        <f t="shared" si="9"/>
        <v>0</v>
      </c>
      <c r="M70" s="3">
        <v>43727</v>
      </c>
      <c r="N70" s="211"/>
      <c r="O70" s="53" t="s">
        <v>27</v>
      </c>
      <c r="P70" s="53">
        <v>1250</v>
      </c>
      <c r="Q70" s="53">
        <v>3044</v>
      </c>
      <c r="R70" s="373"/>
      <c r="S70" s="422"/>
    </row>
    <row r="71" spans="1:19" x14ac:dyDescent="0.25">
      <c r="A71" s="434">
        <v>43711</v>
      </c>
      <c r="B71" s="165" t="s">
        <v>117</v>
      </c>
      <c r="C71" s="99">
        <v>231.68</v>
      </c>
      <c r="D71" s="99">
        <v>231.68</v>
      </c>
      <c r="E71" s="163">
        <f t="shared" si="10"/>
        <v>0</v>
      </c>
      <c r="F71" s="165" t="str">
        <f t="shared" si="8"/>
        <v>оплачено</v>
      </c>
      <c r="G71" s="165"/>
      <c r="H71" s="1"/>
      <c r="I71" s="1"/>
      <c r="J71" s="93">
        <f>SUM(J69:J70)</f>
        <v>1180.2600000000002</v>
      </c>
      <c r="K71" s="1"/>
      <c r="L71" s="1"/>
      <c r="M71" s="1"/>
      <c r="N71" s="274"/>
      <c r="O71" s="53" t="s">
        <v>128</v>
      </c>
      <c r="P71" s="376">
        <v>1355</v>
      </c>
      <c r="Q71" s="376">
        <v>2991</v>
      </c>
      <c r="R71" s="373"/>
      <c r="S71" s="422"/>
    </row>
    <row r="72" spans="1:19" x14ac:dyDescent="0.25">
      <c r="A72" s="434">
        <v>43711</v>
      </c>
      <c r="B72" s="53" t="s">
        <v>125</v>
      </c>
      <c r="C72" s="99">
        <v>43.8</v>
      </c>
      <c r="D72" s="99">
        <v>43.8</v>
      </c>
      <c r="E72" s="163">
        <f t="shared" si="10"/>
        <v>0</v>
      </c>
      <c r="F72" s="165" t="str">
        <f t="shared" si="8"/>
        <v>оплачено</v>
      </c>
      <c r="G72" s="165"/>
      <c r="H72" s="1"/>
      <c r="I72" s="153"/>
      <c r="J72" s="1"/>
      <c r="K72" s="1"/>
      <c r="L72" s="1"/>
      <c r="M72" s="1"/>
      <c r="N72" s="274"/>
      <c r="O72" s="53" t="s">
        <v>132</v>
      </c>
      <c r="P72" s="53"/>
      <c r="Q72" s="53">
        <v>2179</v>
      </c>
      <c r="R72" s="373"/>
      <c r="S72" s="422"/>
    </row>
    <row r="73" spans="1:19" x14ac:dyDescent="0.25">
      <c r="A73" s="435"/>
      <c r="B73" s="164" t="s">
        <v>119</v>
      </c>
      <c r="C73" s="164">
        <v>389.25</v>
      </c>
      <c r="D73" s="164">
        <v>389.25</v>
      </c>
      <c r="E73" s="163">
        <f t="shared" si="10"/>
        <v>0</v>
      </c>
      <c r="F73" s="165" t="str">
        <f t="shared" si="8"/>
        <v>оплачено</v>
      </c>
      <c r="G73" s="261">
        <v>621</v>
      </c>
      <c r="H73" s="714" t="s">
        <v>16</v>
      </c>
      <c r="I73" s="700" t="s">
        <v>17</v>
      </c>
      <c r="J73" s="700" t="s">
        <v>21</v>
      </c>
      <c r="K73" s="700"/>
      <c r="L73" s="702" t="s">
        <v>93</v>
      </c>
      <c r="M73" s="702" t="s">
        <v>95</v>
      </c>
      <c r="N73" s="274"/>
      <c r="O73" s="53" t="s">
        <v>133</v>
      </c>
      <c r="P73" s="53">
        <v>2288</v>
      </c>
      <c r="Q73" s="53"/>
      <c r="R73" s="373"/>
      <c r="S73" s="422"/>
    </row>
    <row r="74" spans="1:19" ht="24.75" thickBot="1" x14ac:dyDescent="0.3">
      <c r="A74" s="434"/>
      <c r="B74" s="164" t="s">
        <v>120</v>
      </c>
      <c r="C74" s="164">
        <v>429.83</v>
      </c>
      <c r="D74" s="164">
        <v>429.83</v>
      </c>
      <c r="E74" s="163">
        <f t="shared" si="10"/>
        <v>0</v>
      </c>
      <c r="F74" s="165" t="str">
        <f t="shared" si="8"/>
        <v>оплачено</v>
      </c>
      <c r="G74" s="165"/>
      <c r="H74" s="714"/>
      <c r="I74" s="700"/>
      <c r="J74" s="380" t="s">
        <v>21</v>
      </c>
      <c r="K74" s="380" t="s">
        <v>25</v>
      </c>
      <c r="L74" s="702"/>
      <c r="M74" s="702"/>
      <c r="N74" s="273"/>
      <c r="O74" s="373"/>
      <c r="P74" s="373"/>
      <c r="Q74" s="373"/>
      <c r="R74" s="373"/>
      <c r="S74" s="422"/>
    </row>
    <row r="75" spans="1:19" x14ac:dyDescent="0.25">
      <c r="A75" s="426"/>
      <c r="B75" s="164" t="s">
        <v>27</v>
      </c>
      <c r="C75" s="164">
        <v>453.8</v>
      </c>
      <c r="D75" s="164">
        <v>453.8</v>
      </c>
      <c r="E75" s="163">
        <f t="shared" si="10"/>
        <v>0</v>
      </c>
      <c r="F75" s="165" t="str">
        <f t="shared" si="8"/>
        <v>оплачено</v>
      </c>
      <c r="G75" s="165"/>
      <c r="H75" s="263" t="s">
        <v>18</v>
      </c>
      <c r="I75" s="264">
        <v>32809.9</v>
      </c>
      <c r="J75" s="264">
        <v>1675.7199999999998</v>
      </c>
      <c r="K75" s="265">
        <v>1047.01</v>
      </c>
      <c r="L75" s="266">
        <v>52152</v>
      </c>
      <c r="M75" s="266">
        <f>82159.79-I75-J75-K75+L75</f>
        <v>98779.159999999989</v>
      </c>
      <c r="N75" s="273"/>
      <c r="O75" s="730" t="s">
        <v>196</v>
      </c>
      <c r="P75" s="730"/>
      <c r="Q75" s="730"/>
      <c r="R75" s="373"/>
      <c r="S75" s="422"/>
    </row>
    <row r="76" spans="1:19" x14ac:dyDescent="0.25">
      <c r="A76" s="427"/>
      <c r="B76" s="210" t="s">
        <v>123</v>
      </c>
      <c r="C76" s="164">
        <v>22.8</v>
      </c>
      <c r="D76" s="164">
        <v>22.8</v>
      </c>
      <c r="E76" s="163">
        <f t="shared" si="10"/>
        <v>0</v>
      </c>
      <c r="F76" s="165" t="str">
        <f t="shared" si="8"/>
        <v>оплачено</v>
      </c>
      <c r="G76" s="165"/>
      <c r="H76" s="263" t="s">
        <v>19</v>
      </c>
      <c r="I76" s="264">
        <v>35259.579999999994</v>
      </c>
      <c r="J76" s="264">
        <v>1363.3000000000002</v>
      </c>
      <c r="K76" s="264">
        <v>1176.05</v>
      </c>
      <c r="L76" s="266">
        <v>40465.950000000004</v>
      </c>
      <c r="M76" s="266">
        <f>M75-I76-J76-K76+L76</f>
        <v>101446.18</v>
      </c>
      <c r="N76" s="373"/>
      <c r="O76" s="731"/>
      <c r="P76" s="731"/>
      <c r="Q76" s="731"/>
      <c r="R76" s="373"/>
      <c r="S76" s="422"/>
    </row>
    <row r="77" spans="1:19" x14ac:dyDescent="0.25">
      <c r="A77" s="428"/>
      <c r="B77" s="53" t="s">
        <v>64</v>
      </c>
      <c r="C77" s="164">
        <v>421.98</v>
      </c>
      <c r="D77" s="164">
        <v>421.98</v>
      </c>
      <c r="E77" s="163">
        <f t="shared" si="10"/>
        <v>0</v>
      </c>
      <c r="F77" s="165" t="str">
        <f t="shared" si="8"/>
        <v>оплачено</v>
      </c>
      <c r="G77" s="165"/>
      <c r="H77" s="263" t="s">
        <v>20</v>
      </c>
      <c r="I77" s="267" t="e">
        <f>#REF!</f>
        <v>#REF!</v>
      </c>
      <c r="J77" s="264">
        <v>1209.3000000000002</v>
      </c>
      <c r="K77" s="268">
        <v>1213.33</v>
      </c>
      <c r="L77" s="268">
        <v>19306</v>
      </c>
      <c r="M77" s="266" t="e">
        <f>M76-I77-J77-K77+L77</f>
        <v>#REF!</v>
      </c>
      <c r="O77" s="373"/>
      <c r="P77" s="373"/>
      <c r="Q77" s="1"/>
      <c r="R77" s="1"/>
      <c r="S77" s="112"/>
    </row>
    <row r="78" spans="1:19" x14ac:dyDescent="0.25">
      <c r="A78" s="428"/>
      <c r="B78" s="59" t="s">
        <v>124</v>
      </c>
      <c r="C78" s="282">
        <v>473.1</v>
      </c>
      <c r="D78" s="282">
        <v>473.1</v>
      </c>
      <c r="E78" s="284">
        <f t="shared" si="10"/>
        <v>0</v>
      </c>
      <c r="F78" s="282" t="str">
        <f t="shared" si="8"/>
        <v>оплачено</v>
      </c>
      <c r="G78" s="165"/>
      <c r="H78" s="263" t="s">
        <v>148</v>
      </c>
      <c r="I78" s="268">
        <v>30955.479999999996</v>
      </c>
      <c r="J78" s="269"/>
      <c r="K78" s="269">
        <v>1035.6600000000001</v>
      </c>
      <c r="L78" s="268">
        <v>59195.5</v>
      </c>
      <c r="M78" s="266" t="e">
        <f>M77-I78-J78-K78+L78</f>
        <v>#REF!</v>
      </c>
      <c r="O78" s="373"/>
      <c r="P78" s="373"/>
      <c r="Q78" s="1"/>
      <c r="R78" s="1"/>
      <c r="S78" s="112"/>
    </row>
    <row r="79" spans="1:19" ht="15.75" thickBot="1" x14ac:dyDescent="0.3">
      <c r="A79" s="427"/>
      <c r="B79" s="165" t="s">
        <v>32</v>
      </c>
      <c r="C79" s="164">
        <v>348.15</v>
      </c>
      <c r="D79" s="164">
        <v>348.15</v>
      </c>
      <c r="E79" s="163">
        <f t="shared" si="10"/>
        <v>0</v>
      </c>
      <c r="F79" s="165" t="str">
        <f t="shared" si="8"/>
        <v>оплачено</v>
      </c>
      <c r="G79" s="165"/>
      <c r="H79" s="1"/>
      <c r="I79" s="1"/>
      <c r="J79" s="153"/>
      <c r="K79" s="1"/>
      <c r="L79" s="153"/>
      <c r="M79" s="153"/>
      <c r="O79" s="373"/>
      <c r="P79" s="373"/>
      <c r="Q79" s="1"/>
      <c r="R79" s="1"/>
      <c r="S79" s="112"/>
    </row>
    <row r="80" spans="1:19" x14ac:dyDescent="0.25">
      <c r="A80" s="427"/>
      <c r="B80" s="164" t="s">
        <v>133</v>
      </c>
      <c r="C80" s="167">
        <f>592.8+54.6</f>
        <v>647.4</v>
      </c>
      <c r="D80" s="167">
        <f>592.8+54.6</f>
        <v>647.4</v>
      </c>
      <c r="E80" s="163">
        <f t="shared" si="10"/>
        <v>0</v>
      </c>
      <c r="F80" s="165" t="str">
        <f t="shared" si="8"/>
        <v>оплачено</v>
      </c>
      <c r="G80" s="165"/>
      <c r="H80" s="729" t="s">
        <v>122</v>
      </c>
      <c r="I80" s="719"/>
      <c r="J80" s="214" t="s">
        <v>121</v>
      </c>
      <c r="K80" s="153"/>
      <c r="L80" s="153"/>
      <c r="M80" s="1"/>
      <c r="O80" s="373"/>
      <c r="P80" s="1"/>
      <c r="Q80" s="1"/>
      <c r="R80" s="1"/>
      <c r="S80" s="112"/>
    </row>
    <row r="81" spans="1:19" ht="15.75" thickBot="1" x14ac:dyDescent="0.3">
      <c r="A81" s="427"/>
      <c r="B81" s="164" t="s">
        <v>139</v>
      </c>
      <c r="C81" s="164">
        <v>244.15</v>
      </c>
      <c r="D81" s="164">
        <v>244.15</v>
      </c>
      <c r="E81" s="163">
        <f t="shared" si="10"/>
        <v>0</v>
      </c>
      <c r="F81" s="165" t="str">
        <f t="shared" si="8"/>
        <v>оплачено</v>
      </c>
      <c r="G81" s="165"/>
      <c r="H81" s="93"/>
      <c r="I81" s="93">
        <v>39</v>
      </c>
      <c r="J81" s="215">
        <v>59195.5</v>
      </c>
      <c r="K81" s="1"/>
      <c r="L81" s="1"/>
      <c r="M81" s="153"/>
      <c r="O81" s="373"/>
      <c r="P81" s="1"/>
      <c r="Q81" s="1"/>
      <c r="R81" s="1"/>
      <c r="S81" s="112"/>
    </row>
    <row r="82" spans="1:19" x14ac:dyDescent="0.25">
      <c r="A82" s="427"/>
      <c r="B82" s="376" t="s">
        <v>71</v>
      </c>
      <c r="C82" s="241">
        <v>459.02</v>
      </c>
      <c r="D82" s="241">
        <v>459.02</v>
      </c>
      <c r="E82" s="163">
        <f t="shared" si="10"/>
        <v>0</v>
      </c>
      <c r="F82" s="165" t="str">
        <f t="shared" si="8"/>
        <v>оплачено</v>
      </c>
      <c r="G82" s="262"/>
      <c r="H82" s="1"/>
      <c r="I82" s="1"/>
      <c r="J82" s="1"/>
      <c r="K82" s="1"/>
      <c r="L82" s="1"/>
      <c r="M82" s="1"/>
      <c r="O82" s="373"/>
      <c r="P82" s="1"/>
      <c r="Q82" s="1"/>
      <c r="R82" s="1"/>
      <c r="S82" s="112"/>
    </row>
    <row r="83" spans="1:19" x14ac:dyDescent="0.25">
      <c r="A83" s="427">
        <v>43728</v>
      </c>
      <c r="B83" s="164" t="s">
        <v>138</v>
      </c>
      <c r="C83" s="164">
        <v>910.91</v>
      </c>
      <c r="D83" s="164">
        <v>910.91</v>
      </c>
      <c r="E83" s="163">
        <f t="shared" si="10"/>
        <v>0</v>
      </c>
      <c r="F83" s="165" t="str">
        <f t="shared" si="8"/>
        <v>оплачено</v>
      </c>
      <c r="G83" s="165"/>
      <c r="H83" s="1"/>
      <c r="I83" s="1"/>
      <c r="J83" s="1"/>
      <c r="K83" s="1"/>
      <c r="L83" s="1"/>
      <c r="M83" s="217"/>
      <c r="O83" s="373"/>
      <c r="P83" s="1"/>
      <c r="Q83" s="1"/>
      <c r="R83" s="1"/>
      <c r="S83" s="112"/>
    </row>
    <row r="84" spans="1:19" x14ac:dyDescent="0.25">
      <c r="A84" s="428"/>
      <c r="B84" s="164" t="s">
        <v>137</v>
      </c>
      <c r="C84" s="164">
        <v>92.82</v>
      </c>
      <c r="D84" s="164">
        <v>92.82</v>
      </c>
      <c r="E84" s="163">
        <f t="shared" si="10"/>
        <v>0</v>
      </c>
      <c r="F84" s="165" t="str">
        <f t="shared" si="8"/>
        <v>оплачено</v>
      </c>
      <c r="G84" s="165"/>
      <c r="H84" s="1"/>
      <c r="I84" s="240"/>
      <c r="J84" s="240"/>
      <c r="K84" s="1"/>
      <c r="L84" s="1"/>
      <c r="M84" s="1"/>
      <c r="N84" s="82"/>
      <c r="O84" s="129"/>
      <c r="P84" s="160"/>
      <c r="Q84" s="160"/>
      <c r="R84" s="1"/>
      <c r="S84" s="112"/>
    </row>
    <row r="85" spans="1:19" x14ac:dyDescent="0.25">
      <c r="A85" s="436"/>
      <c r="B85" s="164" t="s">
        <v>63</v>
      </c>
      <c r="C85" s="164">
        <v>252</v>
      </c>
      <c r="D85" s="164">
        <v>252</v>
      </c>
      <c r="E85" s="163">
        <f t="shared" si="10"/>
        <v>0</v>
      </c>
      <c r="F85" s="165" t="str">
        <f t="shared" si="8"/>
        <v>оплачено</v>
      </c>
      <c r="G85" s="165"/>
      <c r="H85" s="1"/>
      <c r="I85" s="240"/>
      <c r="J85" s="240"/>
      <c r="K85" s="1"/>
      <c r="L85" s="1"/>
      <c r="M85" s="1"/>
      <c r="O85" s="1"/>
      <c r="P85" s="373"/>
      <c r="Q85" s="1"/>
      <c r="R85" s="1"/>
      <c r="S85" s="112"/>
    </row>
    <row r="86" spans="1:19" x14ac:dyDescent="0.25">
      <c r="A86" s="437"/>
      <c r="B86" s="282" t="s">
        <v>124</v>
      </c>
      <c r="C86" s="283">
        <v>410.85</v>
      </c>
      <c r="D86" s="283">
        <v>410.85</v>
      </c>
      <c r="E86" s="284">
        <f t="shared" si="10"/>
        <v>0</v>
      </c>
      <c r="F86" s="282" t="str">
        <f t="shared" si="8"/>
        <v>оплачено</v>
      </c>
      <c r="G86" s="165" t="s">
        <v>151</v>
      </c>
      <c r="H86" s="1"/>
      <c r="I86" s="1"/>
      <c r="J86" s="1"/>
      <c r="K86" s="1"/>
      <c r="L86" s="1"/>
      <c r="M86" s="1"/>
      <c r="O86" s="1"/>
      <c r="P86" s="373"/>
      <c r="Q86" s="1"/>
      <c r="R86" s="1"/>
      <c r="S86" s="112"/>
    </row>
    <row r="87" spans="1:19" x14ac:dyDescent="0.25">
      <c r="A87" s="427">
        <v>43724</v>
      </c>
      <c r="B87" s="164" t="s">
        <v>119</v>
      </c>
      <c r="C87" s="164">
        <f>113.4+130.55</f>
        <v>243.95000000000002</v>
      </c>
      <c r="D87" s="164">
        <f>113.4+130.55</f>
        <v>243.95000000000002</v>
      </c>
      <c r="E87" s="163">
        <f t="shared" si="10"/>
        <v>0</v>
      </c>
      <c r="F87" s="165" t="str">
        <f t="shared" si="8"/>
        <v>оплачено</v>
      </c>
      <c r="G87" s="262"/>
      <c r="H87" s="1"/>
      <c r="I87" s="1"/>
      <c r="J87" s="1"/>
      <c r="K87" s="1"/>
      <c r="L87" s="1"/>
      <c r="M87" s="1"/>
      <c r="O87" s="1"/>
      <c r="P87" s="373"/>
      <c r="Q87" s="1"/>
      <c r="R87" s="1"/>
      <c r="S87" s="112"/>
    </row>
    <row r="88" spans="1:19" x14ac:dyDescent="0.25">
      <c r="A88" s="427">
        <v>43733</v>
      </c>
      <c r="B88" s="164" t="s">
        <v>62</v>
      </c>
      <c r="C88" s="167">
        <v>795.83</v>
      </c>
      <c r="D88" s="167">
        <v>795.83</v>
      </c>
      <c r="E88" s="163">
        <f t="shared" si="10"/>
        <v>0</v>
      </c>
      <c r="F88" s="165" t="str">
        <f t="shared" si="8"/>
        <v>оплачено</v>
      </c>
      <c r="G88" s="165"/>
      <c r="H88" s="1"/>
      <c r="I88" s="1"/>
      <c r="J88" s="1"/>
      <c r="K88" s="1"/>
      <c r="L88" s="1"/>
      <c r="M88" s="1"/>
      <c r="O88" s="1"/>
      <c r="P88" s="373"/>
      <c r="Q88" s="1"/>
      <c r="R88" s="1"/>
      <c r="S88" s="112"/>
    </row>
    <row r="89" spans="1:19" x14ac:dyDescent="0.25">
      <c r="A89" s="430"/>
      <c r="B89" s="207"/>
      <c r="C89" s="207"/>
      <c r="D89" s="207"/>
      <c r="E89" s="222"/>
      <c r="F89" s="223" t="str">
        <f t="shared" si="8"/>
        <v/>
      </c>
      <c r="G89" s="223"/>
      <c r="H89" s="1">
        <v>1</v>
      </c>
      <c r="I89" s="678" t="s">
        <v>47</v>
      </c>
      <c r="J89" s="678"/>
      <c r="K89" s="376">
        <v>288.75</v>
      </c>
      <c r="L89" s="1" t="s">
        <v>134</v>
      </c>
      <c r="M89" s="112"/>
      <c r="O89" s="1"/>
      <c r="P89" s="373"/>
      <c r="Q89" s="1"/>
      <c r="R89" s="1"/>
      <c r="S89" s="112"/>
    </row>
    <row r="90" spans="1:19" x14ac:dyDescent="0.25">
      <c r="A90" s="432"/>
      <c r="B90" s="205"/>
      <c r="C90" s="205"/>
      <c r="D90" s="238"/>
      <c r="E90" s="85"/>
      <c r="F90" s="205"/>
      <c r="G90" s="206"/>
      <c r="H90" s="1">
        <v>2</v>
      </c>
      <c r="I90" s="678" t="s">
        <v>51</v>
      </c>
      <c r="J90" s="678"/>
      <c r="K90" s="376">
        <v>64.349999999999994</v>
      </c>
      <c r="L90" s="1" t="s">
        <v>134</v>
      </c>
      <c r="M90" s="112"/>
      <c r="O90" s="1"/>
      <c r="P90" s="373"/>
      <c r="Q90" s="1"/>
      <c r="R90" s="1"/>
      <c r="S90" s="112"/>
    </row>
    <row r="91" spans="1:19" ht="36.75" x14ac:dyDescent="0.25">
      <c r="A91" s="438">
        <v>1</v>
      </c>
      <c r="B91" s="270" t="s">
        <v>126</v>
      </c>
      <c r="C91" s="271" t="s">
        <v>20</v>
      </c>
      <c r="D91" s="272" t="s">
        <v>24</v>
      </c>
      <c r="E91" s="383">
        <v>94.08</v>
      </c>
      <c r="F91" s="383">
        <v>184</v>
      </c>
      <c r="G91" s="383" t="s">
        <v>56</v>
      </c>
      <c r="H91" s="1">
        <v>3</v>
      </c>
      <c r="I91" s="678" t="s">
        <v>52</v>
      </c>
      <c r="J91" s="678"/>
      <c r="K91" s="376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39">
        <v>2</v>
      </c>
      <c r="B92" s="165" t="s">
        <v>115</v>
      </c>
      <c r="C92" s="225" t="s">
        <v>127</v>
      </c>
      <c r="D92" s="226" t="s">
        <v>24</v>
      </c>
      <c r="E92" s="163">
        <v>1980</v>
      </c>
      <c r="F92" s="376">
        <v>3200</v>
      </c>
      <c r="G92" s="376" t="s">
        <v>56</v>
      </c>
      <c r="H92" s="1">
        <v>4</v>
      </c>
      <c r="I92" s="678" t="s">
        <v>53</v>
      </c>
      <c r="J92" s="678"/>
      <c r="K92" s="376">
        <v>5</v>
      </c>
      <c r="L92" s="1"/>
      <c r="M92" s="159"/>
      <c r="O92" s="1"/>
      <c r="P92" s="1"/>
      <c r="Q92" s="1"/>
      <c r="R92" s="1"/>
      <c r="S92" s="112"/>
    </row>
    <row r="93" spans="1:19" x14ac:dyDescent="0.25">
      <c r="A93" s="439">
        <v>3</v>
      </c>
      <c r="B93" s="376" t="s">
        <v>119</v>
      </c>
      <c r="C93" s="225"/>
      <c r="D93" s="226" t="s">
        <v>24</v>
      </c>
      <c r="E93" s="376">
        <v>389.25</v>
      </c>
      <c r="F93" s="376">
        <v>621</v>
      </c>
      <c r="G93" s="376" t="s">
        <v>56</v>
      </c>
      <c r="H93" s="1">
        <v>5</v>
      </c>
      <c r="I93" s="678"/>
      <c r="J93" s="678"/>
      <c r="K93" s="376"/>
      <c r="L93" s="1"/>
      <c r="M93" s="159"/>
      <c r="O93" s="1"/>
      <c r="P93" s="1"/>
      <c r="Q93" s="1"/>
      <c r="R93" s="1"/>
      <c r="S93" s="112"/>
    </row>
    <row r="94" spans="1:19" x14ac:dyDescent="0.25">
      <c r="A94" s="440">
        <v>4</v>
      </c>
      <c r="B94" s="53" t="s">
        <v>128</v>
      </c>
      <c r="C94" s="225"/>
      <c r="D94" s="225" t="s">
        <v>23</v>
      </c>
      <c r="E94" s="376">
        <v>1355</v>
      </c>
      <c r="F94" s="376">
        <v>2991</v>
      </c>
      <c r="G94" s="376"/>
      <c r="H94" s="1">
        <v>6</v>
      </c>
      <c r="I94" s="678" t="s">
        <v>49</v>
      </c>
      <c r="J94" s="678"/>
      <c r="K94" s="376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41">
        <v>5</v>
      </c>
      <c r="B95" s="227" t="s">
        <v>29</v>
      </c>
      <c r="C95" s="228" t="s">
        <v>129</v>
      </c>
      <c r="D95" s="226" t="s">
        <v>24</v>
      </c>
      <c r="E95" s="230" t="s">
        <v>130</v>
      </c>
      <c r="F95" s="230">
        <v>453</v>
      </c>
      <c r="G95" s="376" t="s">
        <v>56</v>
      </c>
      <c r="H95" s="1">
        <v>7</v>
      </c>
      <c r="I95" s="712" t="s">
        <v>48</v>
      </c>
      <c r="J95" s="713"/>
      <c r="K95" s="376">
        <v>458.46</v>
      </c>
      <c r="L95" s="153"/>
      <c r="M95" s="159"/>
      <c r="O95" s="1"/>
      <c r="P95" s="1"/>
      <c r="Q95" s="1"/>
      <c r="R95" s="1"/>
      <c r="S95" s="112"/>
    </row>
    <row r="96" spans="1:19" x14ac:dyDescent="0.25">
      <c r="A96" s="440">
        <v>6</v>
      </c>
      <c r="B96" s="165" t="s">
        <v>116</v>
      </c>
      <c r="C96" s="225"/>
      <c r="D96" s="226" t="s">
        <v>24</v>
      </c>
      <c r="E96" s="53">
        <v>775.2</v>
      </c>
      <c r="F96" s="53">
        <v>1140</v>
      </c>
      <c r="G96" s="376" t="s">
        <v>56</v>
      </c>
      <c r="H96" s="1">
        <v>8</v>
      </c>
      <c r="I96" s="712" t="s">
        <v>57</v>
      </c>
      <c r="J96" s="713"/>
      <c r="K96" s="376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40">
        <v>7</v>
      </c>
      <c r="B97" s="164" t="s">
        <v>31</v>
      </c>
      <c r="C97" s="225"/>
      <c r="D97" s="226" t="s">
        <v>24</v>
      </c>
      <c r="E97" s="53">
        <v>979.98</v>
      </c>
      <c r="F97" s="53">
        <v>1518</v>
      </c>
      <c r="G97" s="376"/>
      <c r="H97" s="1">
        <v>9</v>
      </c>
      <c r="I97" s="675" t="s">
        <v>59</v>
      </c>
      <c r="J97" s="675"/>
      <c r="K97" s="376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40">
        <v>8</v>
      </c>
      <c r="B98" s="165" t="s">
        <v>117</v>
      </c>
      <c r="C98" s="225"/>
      <c r="D98" s="226" t="s">
        <v>24</v>
      </c>
      <c r="E98" s="53">
        <v>231.68</v>
      </c>
      <c r="F98" s="53">
        <v>367</v>
      </c>
      <c r="G98" s="376" t="s">
        <v>56</v>
      </c>
      <c r="H98" s="1">
        <v>10</v>
      </c>
      <c r="I98" s="679" t="s">
        <v>68</v>
      </c>
      <c r="J98" s="680"/>
      <c r="K98" s="376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40">
        <v>9</v>
      </c>
      <c r="B99" s="53" t="s">
        <v>55</v>
      </c>
      <c r="C99" s="53"/>
      <c r="D99" s="225" t="s">
        <v>23</v>
      </c>
      <c r="E99" s="53">
        <v>1250</v>
      </c>
      <c r="F99" s="53">
        <v>3044</v>
      </c>
      <c r="G99" s="376"/>
      <c r="H99" s="1">
        <v>11</v>
      </c>
      <c r="I99" s="679" t="s">
        <v>81</v>
      </c>
      <c r="J99" s="680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40">
        <v>10</v>
      </c>
      <c r="B100" s="164" t="s">
        <v>27</v>
      </c>
      <c r="C100" s="164"/>
      <c r="D100" s="226" t="s">
        <v>24</v>
      </c>
      <c r="E100" s="164">
        <v>453.8</v>
      </c>
      <c r="F100" s="376"/>
      <c r="G100" s="229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39">
        <v>11</v>
      </c>
      <c r="B101" s="164" t="s">
        <v>120</v>
      </c>
      <c r="C101" s="164"/>
      <c r="D101" s="226" t="s">
        <v>24</v>
      </c>
      <c r="E101" s="164">
        <v>429.83</v>
      </c>
      <c r="F101" s="376">
        <v>858.5</v>
      </c>
      <c r="G101" s="229" t="s">
        <v>131</v>
      </c>
      <c r="H101" s="1"/>
      <c r="I101" s="1"/>
      <c r="J101" s="1"/>
      <c r="K101" s="1"/>
      <c r="L101" s="1"/>
      <c r="M101" s="159"/>
      <c r="O101" s="1"/>
      <c r="P101" s="1"/>
      <c r="Q101" s="1"/>
      <c r="R101" s="1"/>
      <c r="S101" s="112"/>
    </row>
    <row r="102" spans="1:19" x14ac:dyDescent="0.25">
      <c r="A102" s="439">
        <v>12</v>
      </c>
      <c r="B102" s="53" t="s">
        <v>125</v>
      </c>
      <c r="C102" s="99"/>
      <c r="D102" s="226" t="s">
        <v>24</v>
      </c>
      <c r="E102" s="99">
        <v>43.8</v>
      </c>
      <c r="F102" s="376">
        <v>200</v>
      </c>
      <c r="G102" s="376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412">
        <v>13</v>
      </c>
      <c r="B103" s="53" t="s">
        <v>125</v>
      </c>
      <c r="C103" s="376"/>
      <c r="D103" s="225" t="s">
        <v>23</v>
      </c>
      <c r="E103" s="164">
        <v>58.25</v>
      </c>
      <c r="F103" s="376"/>
      <c r="G103" s="376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412">
        <v>14</v>
      </c>
      <c r="B104" s="53" t="s">
        <v>132</v>
      </c>
      <c r="C104" s="376"/>
      <c r="D104" s="225" t="s">
        <v>23</v>
      </c>
      <c r="E104" s="376"/>
      <c r="F104" s="53">
        <v>2179</v>
      </c>
      <c r="G104" s="376"/>
      <c r="H104" s="133"/>
      <c r="I104" s="133"/>
      <c r="J104" s="133"/>
      <c r="K104" s="133"/>
      <c r="L104" s="133"/>
      <c r="M104" s="135"/>
      <c r="O104" s="1"/>
      <c r="P104" s="1"/>
      <c r="Q104" s="1"/>
      <c r="R104" s="1"/>
      <c r="S104" s="112"/>
    </row>
    <row r="105" spans="1:19" x14ac:dyDescent="0.25">
      <c r="A105" s="412">
        <v>15</v>
      </c>
      <c r="B105" s="53" t="s">
        <v>87</v>
      </c>
      <c r="C105" s="376"/>
      <c r="D105" s="225" t="s">
        <v>23</v>
      </c>
      <c r="E105" s="376"/>
      <c r="F105" s="53">
        <v>614.5</v>
      </c>
      <c r="G105" s="376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412">
        <v>16</v>
      </c>
      <c r="B106" s="165" t="s">
        <v>32</v>
      </c>
      <c r="C106" s="164"/>
      <c r="D106" s="226" t="s">
        <v>24</v>
      </c>
      <c r="E106" s="164">
        <v>348.15</v>
      </c>
      <c r="F106" s="376"/>
      <c r="G106" s="376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412">
        <v>17</v>
      </c>
      <c r="B107" s="165" t="s">
        <v>32</v>
      </c>
      <c r="C107" s="376"/>
      <c r="D107" s="225" t="s">
        <v>23</v>
      </c>
      <c r="E107" s="164">
        <v>588.75</v>
      </c>
      <c r="F107" s="376"/>
      <c r="G107" s="376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412">
        <v>18</v>
      </c>
      <c r="B108" s="165" t="s">
        <v>32</v>
      </c>
      <c r="C108" s="376"/>
      <c r="D108" s="225" t="s">
        <v>23</v>
      </c>
      <c r="E108" s="164">
        <v>339.5</v>
      </c>
      <c r="F108" s="376"/>
      <c r="G108" s="376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412">
        <v>19</v>
      </c>
      <c r="B109" s="164" t="s">
        <v>133</v>
      </c>
      <c r="C109" s="376"/>
      <c r="D109" s="226" t="s">
        <v>24</v>
      </c>
      <c r="E109" s="167">
        <v>592.79999999999995</v>
      </c>
      <c r="F109" s="376"/>
      <c r="G109" s="376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412">
        <v>20</v>
      </c>
      <c r="B110" s="164" t="s">
        <v>133</v>
      </c>
      <c r="C110" s="376"/>
      <c r="D110" s="225" t="s">
        <v>23</v>
      </c>
      <c r="E110" s="164">
        <v>2288</v>
      </c>
      <c r="F110" s="376"/>
      <c r="G110" s="376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5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694" t="s">
        <v>28</v>
      </c>
      <c r="B113" s="695"/>
      <c r="C113" s="695"/>
      <c r="D113" s="695"/>
      <c r="E113" s="695"/>
      <c r="F113" s="695"/>
      <c r="G113" s="696"/>
      <c r="H113" s="329"/>
      <c r="I113" s="695" t="s">
        <v>158</v>
      </c>
      <c r="J113" s="695"/>
      <c r="K113" s="695"/>
      <c r="L113" s="695"/>
      <c r="M113" s="696"/>
      <c r="O113" s="1"/>
      <c r="P113" s="1"/>
      <c r="Q113" s="1"/>
      <c r="R113" s="1"/>
      <c r="S113" s="112"/>
    </row>
    <row r="114" spans="1:19" x14ac:dyDescent="0.25">
      <c r="A114" s="412" t="s">
        <v>2</v>
      </c>
      <c r="B114" s="379" t="s">
        <v>34</v>
      </c>
      <c r="C114" s="36" t="s">
        <v>35</v>
      </c>
      <c r="D114" s="36" t="s">
        <v>38</v>
      </c>
      <c r="E114" s="36" t="s">
        <v>42</v>
      </c>
      <c r="F114" s="379" t="s">
        <v>36</v>
      </c>
      <c r="G114" s="101" t="s">
        <v>173</v>
      </c>
      <c r="H114" s="1"/>
      <c r="I114" s="40"/>
      <c r="J114" s="376" t="s">
        <v>104</v>
      </c>
      <c r="K114" s="376" t="s">
        <v>38</v>
      </c>
      <c r="L114" s="376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42">
        <v>43740</v>
      </c>
      <c r="B115" s="295" t="s">
        <v>31</v>
      </c>
      <c r="C115" s="296">
        <v>527.41</v>
      </c>
      <c r="D115" s="296" t="s">
        <v>72</v>
      </c>
      <c r="E115" s="297" t="s">
        <v>72</v>
      </c>
      <c r="F115" s="295" t="s">
        <v>61</v>
      </c>
      <c r="G115" s="317"/>
      <c r="H115" s="1"/>
      <c r="I115" s="376" t="s">
        <v>39</v>
      </c>
      <c r="J115" s="381">
        <v>1157.48</v>
      </c>
      <c r="K115" s="381">
        <v>1157.48</v>
      </c>
      <c r="L115" s="163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26">
        <v>43746</v>
      </c>
      <c r="B116" s="165" t="s">
        <v>115</v>
      </c>
      <c r="C116" s="99">
        <v>248.72</v>
      </c>
      <c r="D116" s="99">
        <v>248.72</v>
      </c>
      <c r="E116" s="163">
        <f t="shared" ref="E116:E128" si="12">C116-D116</f>
        <v>0</v>
      </c>
      <c r="F116" s="165" t="str">
        <f t="shared" ref="F116:F130" si="13">IF(C116=0,"",IF(C116-D116=0,"оплачено",""))</f>
        <v>оплачено</v>
      </c>
      <c r="G116" s="318"/>
      <c r="H116" s="1"/>
      <c r="I116" s="376" t="s">
        <v>40</v>
      </c>
      <c r="J116" s="287">
        <v>868.92</v>
      </c>
      <c r="K116" s="287">
        <v>868.92</v>
      </c>
      <c r="L116" s="163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26">
        <v>43747</v>
      </c>
      <c r="B117" s="164" t="s">
        <v>155</v>
      </c>
      <c r="C117" s="99">
        <v>178.7</v>
      </c>
      <c r="D117" s="99">
        <v>178.7</v>
      </c>
      <c r="E117" s="163">
        <f t="shared" si="12"/>
        <v>0</v>
      </c>
      <c r="F117" s="165" t="str">
        <f t="shared" si="13"/>
        <v>оплачено</v>
      </c>
      <c r="G117" s="318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42">
        <v>43748</v>
      </c>
      <c r="B118" s="295" t="s">
        <v>31</v>
      </c>
      <c r="C118" s="296">
        <v>396.19</v>
      </c>
      <c r="D118" s="296" t="s">
        <v>72</v>
      </c>
      <c r="E118" s="297" t="s">
        <v>72</v>
      </c>
      <c r="F118" s="295" t="s">
        <v>61</v>
      </c>
      <c r="G118" s="317"/>
      <c r="H118" s="1"/>
      <c r="I118" s="153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34">
        <v>43743</v>
      </c>
      <c r="B119" s="165" t="s">
        <v>150</v>
      </c>
      <c r="C119" s="281">
        <v>564.70000000000005</v>
      </c>
      <c r="D119" s="281">
        <v>564.70000000000005</v>
      </c>
      <c r="E119" s="163">
        <f t="shared" si="12"/>
        <v>0</v>
      </c>
      <c r="F119" s="165" t="str">
        <f t="shared" si="13"/>
        <v>оплачено</v>
      </c>
      <c r="G119" s="318" t="s">
        <v>172</v>
      </c>
      <c r="H119" s="714" t="s">
        <v>16</v>
      </c>
      <c r="I119" s="700" t="s">
        <v>17</v>
      </c>
      <c r="J119" s="700" t="s">
        <v>21</v>
      </c>
      <c r="K119" s="700"/>
      <c r="L119" s="702" t="s">
        <v>93</v>
      </c>
      <c r="M119" s="704" t="s">
        <v>95</v>
      </c>
      <c r="O119" s="730" t="s">
        <v>197</v>
      </c>
      <c r="P119" s="730"/>
      <c r="Q119" s="730"/>
      <c r="R119" s="1"/>
      <c r="S119" s="112"/>
    </row>
    <row r="120" spans="1:19" ht="24" x14ac:dyDescent="0.25">
      <c r="A120" s="426">
        <v>43754</v>
      </c>
      <c r="B120" s="376" t="s">
        <v>71</v>
      </c>
      <c r="C120" s="281">
        <v>166.54</v>
      </c>
      <c r="D120" s="164">
        <v>166.54</v>
      </c>
      <c r="E120" s="163">
        <f t="shared" si="12"/>
        <v>0</v>
      </c>
      <c r="F120" s="165" t="str">
        <f t="shared" si="13"/>
        <v>оплачено</v>
      </c>
      <c r="G120" s="318"/>
      <c r="H120" s="714"/>
      <c r="I120" s="700"/>
      <c r="J120" s="380" t="s">
        <v>21</v>
      </c>
      <c r="K120" s="380" t="s">
        <v>25</v>
      </c>
      <c r="L120" s="702"/>
      <c r="M120" s="704"/>
      <c r="O120" s="731"/>
      <c r="P120" s="731"/>
      <c r="Q120" s="731"/>
      <c r="R120" s="1"/>
      <c r="S120" s="112"/>
    </row>
    <row r="121" spans="1:19" x14ac:dyDescent="0.25">
      <c r="A121" s="426">
        <v>43756</v>
      </c>
      <c r="B121" s="164" t="s">
        <v>155</v>
      </c>
      <c r="C121" s="281">
        <v>138</v>
      </c>
      <c r="D121" s="164">
        <v>138</v>
      </c>
      <c r="E121" s="163">
        <f t="shared" si="12"/>
        <v>0</v>
      </c>
      <c r="F121" s="165" t="str">
        <f t="shared" si="13"/>
        <v>оплачено</v>
      </c>
      <c r="G121" s="318"/>
      <c r="H121" s="263" t="s">
        <v>18</v>
      </c>
      <c r="I121" s="264">
        <v>32809.9</v>
      </c>
      <c r="J121" s="264">
        <v>1675.7199999999998</v>
      </c>
      <c r="K121" s="265">
        <v>1047.01</v>
      </c>
      <c r="L121" s="266">
        <v>52152</v>
      </c>
      <c r="M121" s="332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27">
        <v>43766</v>
      </c>
      <c r="B122" s="286" t="s">
        <v>154</v>
      </c>
      <c r="C122" s="164">
        <v>49.84</v>
      </c>
      <c r="D122" s="164">
        <v>49.84</v>
      </c>
      <c r="E122" s="163">
        <f t="shared" si="12"/>
        <v>0</v>
      </c>
      <c r="F122" s="165" t="str">
        <f t="shared" si="13"/>
        <v>оплачено</v>
      </c>
      <c r="G122" s="318"/>
      <c r="H122" s="263" t="s">
        <v>19</v>
      </c>
      <c r="I122" s="264">
        <v>35259.579999999994</v>
      </c>
      <c r="J122" s="264">
        <v>1363.3000000000002</v>
      </c>
      <c r="K122" s="264">
        <v>1176.05</v>
      </c>
      <c r="L122" s="266">
        <v>40465.950000000004</v>
      </c>
      <c r="M122" s="332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28">
        <v>43763</v>
      </c>
      <c r="B123" s="164" t="s">
        <v>119</v>
      </c>
      <c r="C123" s="164">
        <v>282.45</v>
      </c>
      <c r="D123" s="164">
        <v>282.45</v>
      </c>
      <c r="E123" s="163">
        <f t="shared" si="12"/>
        <v>0</v>
      </c>
      <c r="F123" s="165" t="str">
        <f t="shared" si="13"/>
        <v>оплачено</v>
      </c>
      <c r="G123" s="318"/>
      <c r="H123" s="263" t="s">
        <v>20</v>
      </c>
      <c r="I123" s="267" t="e">
        <f>#REF!</f>
        <v>#REF!</v>
      </c>
      <c r="J123" s="264">
        <v>1209.3000000000002</v>
      </c>
      <c r="K123" s="268">
        <v>1213.33</v>
      </c>
      <c r="L123" s="268">
        <v>19306</v>
      </c>
      <c r="M123" s="332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28">
        <v>43766</v>
      </c>
      <c r="B124" s="53" t="s">
        <v>29</v>
      </c>
      <c r="C124" s="164">
        <v>342.45</v>
      </c>
      <c r="D124" s="164">
        <v>342.45</v>
      </c>
      <c r="E124" s="163">
        <f t="shared" si="12"/>
        <v>0</v>
      </c>
      <c r="F124" s="165" t="str">
        <f t="shared" si="13"/>
        <v>оплачено</v>
      </c>
      <c r="G124" s="318"/>
      <c r="H124" s="263" t="s">
        <v>148</v>
      </c>
      <c r="I124" s="268">
        <v>30955.479999999996</v>
      </c>
      <c r="J124" s="269"/>
      <c r="K124" s="269">
        <v>1035.6600000000001</v>
      </c>
      <c r="L124" s="268">
        <v>59195.5</v>
      </c>
      <c r="M124" s="332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27">
        <v>43748</v>
      </c>
      <c r="B125" s="286" t="s">
        <v>156</v>
      </c>
      <c r="C125" s="164">
        <v>228.65</v>
      </c>
      <c r="D125" s="164">
        <v>228.65</v>
      </c>
      <c r="E125" s="163">
        <f t="shared" si="12"/>
        <v>0</v>
      </c>
      <c r="F125" s="165" t="str">
        <f t="shared" si="13"/>
        <v>оплачено</v>
      </c>
      <c r="G125" s="318"/>
      <c r="H125" s="316" t="s">
        <v>162</v>
      </c>
      <c r="I125" s="313">
        <v>31239.439999999995</v>
      </c>
      <c r="J125" s="314">
        <v>2443.4</v>
      </c>
      <c r="K125" s="313"/>
      <c r="L125" s="314">
        <v>40132</v>
      </c>
      <c r="M125" s="332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27">
        <v>43741</v>
      </c>
      <c r="B126" s="286" t="s">
        <v>157</v>
      </c>
      <c r="C126" s="167">
        <v>324.93</v>
      </c>
      <c r="D126" s="167">
        <v>324.93</v>
      </c>
      <c r="E126" s="163">
        <f t="shared" si="12"/>
        <v>0</v>
      </c>
      <c r="F126" s="165" t="str">
        <f t="shared" si="13"/>
        <v>оплачено</v>
      </c>
      <c r="G126" s="318"/>
      <c r="H126" s="729" t="s">
        <v>122</v>
      </c>
      <c r="I126" s="719"/>
      <c r="J126" s="312" t="s">
        <v>121</v>
      </c>
      <c r="K126" s="153"/>
      <c r="L126" s="153"/>
      <c r="M126" s="44"/>
      <c r="O126" s="1"/>
      <c r="P126" s="1"/>
      <c r="Q126" s="1"/>
      <c r="R126" s="1"/>
      <c r="S126" s="112"/>
    </row>
    <row r="127" spans="1:19" x14ac:dyDescent="0.25">
      <c r="A127" s="427">
        <v>43768</v>
      </c>
      <c r="B127" s="376" t="s">
        <v>71</v>
      </c>
      <c r="C127" s="164">
        <v>632.77</v>
      </c>
      <c r="D127" s="164">
        <v>632.77</v>
      </c>
      <c r="E127" s="163">
        <f t="shared" si="12"/>
        <v>0</v>
      </c>
      <c r="F127" s="165" t="str">
        <f t="shared" si="13"/>
        <v>оплачено</v>
      </c>
      <c r="G127" s="318"/>
      <c r="H127" s="93"/>
      <c r="I127" s="93">
        <v>28</v>
      </c>
      <c r="J127" s="315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43">
        <v>43768</v>
      </c>
      <c r="B128" s="323" t="s">
        <v>63</v>
      </c>
      <c r="C128" s="324">
        <v>340.96</v>
      </c>
      <c r="D128" s="324">
        <v>340.96</v>
      </c>
      <c r="E128" s="325">
        <f t="shared" si="12"/>
        <v>0</v>
      </c>
      <c r="F128" s="326" t="str">
        <f t="shared" si="13"/>
        <v>оплачено</v>
      </c>
      <c r="G128" s="327"/>
      <c r="H128" s="328"/>
      <c r="I128" s="328"/>
      <c r="J128" s="328"/>
      <c r="K128" s="328"/>
      <c r="L128" s="328"/>
      <c r="M128" s="336"/>
      <c r="O128" s="1"/>
      <c r="P128" s="1"/>
      <c r="Q128" s="1"/>
      <c r="R128" s="1"/>
      <c r="S128" s="112"/>
    </row>
    <row r="129" spans="1:19" ht="15.75" thickTop="1" x14ac:dyDescent="0.25">
      <c r="A129" s="444"/>
      <c r="B129" s="339"/>
      <c r="C129" s="340"/>
      <c r="D129" s="340"/>
      <c r="E129" s="341"/>
      <c r="F129" s="342" t="str">
        <f t="shared" si="13"/>
        <v/>
      </c>
      <c r="G129" s="343"/>
      <c r="H129" s="329"/>
      <c r="I129" s="329"/>
      <c r="J129" s="329"/>
      <c r="K129" s="329"/>
      <c r="L129" s="329" t="s">
        <v>159</v>
      </c>
      <c r="M129" s="344"/>
      <c r="O129" s="1"/>
      <c r="P129" s="1"/>
      <c r="Q129" s="1"/>
      <c r="R129" s="1"/>
      <c r="S129" s="112"/>
    </row>
    <row r="130" spans="1:19" x14ac:dyDescent="0.25">
      <c r="A130" s="431"/>
      <c r="B130" s="205"/>
      <c r="C130" s="205"/>
      <c r="D130" s="205"/>
      <c r="E130" s="373"/>
      <c r="F130" s="206" t="str">
        <f t="shared" si="13"/>
        <v/>
      </c>
      <c r="G130" s="319"/>
      <c r="H130" s="1">
        <v>1</v>
      </c>
      <c r="I130" s="678" t="s">
        <v>47</v>
      </c>
      <c r="J130" s="678"/>
      <c r="K130" s="376">
        <v>288.75</v>
      </c>
      <c r="L130" s="288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32"/>
      <c r="B131" s="205"/>
      <c r="C131" s="294"/>
      <c r="D131" s="238"/>
      <c r="E131" s="85"/>
      <c r="F131" s="205"/>
      <c r="G131" s="319"/>
      <c r="H131" s="1">
        <v>2</v>
      </c>
      <c r="I131" s="678" t="s">
        <v>51</v>
      </c>
      <c r="J131" s="678"/>
      <c r="K131" s="376">
        <v>60.29</v>
      </c>
      <c r="L131" s="288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45"/>
      <c r="B132" s="205"/>
      <c r="C132" s="205"/>
      <c r="D132" s="279"/>
      <c r="E132" s="373"/>
      <c r="F132" s="85"/>
      <c r="G132" s="320"/>
      <c r="H132" s="1">
        <v>3</v>
      </c>
      <c r="I132" s="678" t="s">
        <v>52</v>
      </c>
      <c r="J132" s="678"/>
      <c r="K132" s="376">
        <v>4.95</v>
      </c>
      <c r="L132" s="288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45"/>
      <c r="B133" s="373"/>
      <c r="C133" s="205"/>
      <c r="D133" s="279"/>
      <c r="E133" s="373"/>
      <c r="F133" s="373"/>
      <c r="G133" s="320"/>
      <c r="H133" s="1">
        <v>6</v>
      </c>
      <c r="I133" s="678" t="s">
        <v>49</v>
      </c>
      <c r="J133" s="678"/>
      <c r="K133" s="376">
        <v>234.75</v>
      </c>
      <c r="L133" s="288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45"/>
      <c r="B134" s="1"/>
      <c r="C134" s="205"/>
      <c r="D134" s="279"/>
      <c r="E134" s="85"/>
      <c r="F134" s="373"/>
      <c r="G134" s="320"/>
      <c r="H134" s="1">
        <v>8</v>
      </c>
      <c r="I134" s="712" t="s">
        <v>53</v>
      </c>
      <c r="J134" s="713"/>
      <c r="K134" s="376">
        <v>7.01</v>
      </c>
      <c r="L134" s="288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45"/>
      <c r="B135" s="1"/>
      <c r="C135" s="290"/>
      <c r="D135" s="279"/>
      <c r="E135" s="373"/>
      <c r="F135" s="373"/>
      <c r="G135" s="321"/>
      <c r="H135" s="1">
        <v>9</v>
      </c>
      <c r="I135" s="675" t="s">
        <v>59</v>
      </c>
      <c r="J135" s="675"/>
      <c r="K135" s="376">
        <v>1045.72</v>
      </c>
      <c r="L135" s="376">
        <v>1045.72</v>
      </c>
      <c r="M135" s="320" t="s">
        <v>160</v>
      </c>
      <c r="O135" s="1"/>
      <c r="P135" s="1"/>
      <c r="Q135" s="1"/>
      <c r="R135" s="1"/>
      <c r="S135" s="112"/>
    </row>
    <row r="136" spans="1:19" x14ac:dyDescent="0.25">
      <c r="A136" s="445"/>
      <c r="B136" s="205"/>
      <c r="C136" s="1"/>
      <c r="D136" s="279"/>
      <c r="E136" s="373"/>
      <c r="F136" s="373"/>
      <c r="G136" s="320"/>
      <c r="H136" s="1">
        <v>10</v>
      </c>
      <c r="I136" s="679" t="s">
        <v>68</v>
      </c>
      <c r="J136" s="680"/>
      <c r="K136" s="376">
        <v>176.72</v>
      </c>
      <c r="L136" s="288">
        <v>43759</v>
      </c>
      <c r="M136" s="320" t="s">
        <v>160</v>
      </c>
      <c r="O136" s="1"/>
      <c r="P136" s="1"/>
      <c r="Q136" s="1"/>
      <c r="R136" s="1"/>
      <c r="S136" s="112"/>
    </row>
    <row r="137" spans="1:19" x14ac:dyDescent="0.25">
      <c r="A137" s="445"/>
      <c r="B137" s="205"/>
      <c r="C137" s="1"/>
      <c r="D137" s="279"/>
      <c r="E137" s="85"/>
      <c r="F137" s="373"/>
      <c r="G137" s="320"/>
      <c r="H137" s="1">
        <v>11</v>
      </c>
      <c r="I137" s="679" t="s">
        <v>81</v>
      </c>
      <c r="J137" s="680"/>
      <c r="K137" s="53">
        <v>1730.7</v>
      </c>
      <c r="L137" s="288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45"/>
      <c r="B138" s="205"/>
      <c r="C138" s="290"/>
      <c r="D138" s="279"/>
      <c r="E138" s="290"/>
      <c r="F138" s="373"/>
      <c r="G138" s="322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45"/>
      <c r="B139" s="205"/>
      <c r="C139" s="205"/>
      <c r="D139" s="279"/>
      <c r="E139" s="205"/>
      <c r="F139" s="373"/>
      <c r="G139" s="322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45"/>
      <c r="B140" s="373"/>
      <c r="C140" s="280"/>
      <c r="D140" s="279"/>
      <c r="E140" s="280"/>
      <c r="F140" s="373"/>
      <c r="G140" s="320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23"/>
      <c r="B141" s="373"/>
      <c r="C141" s="373"/>
      <c r="D141" s="279"/>
      <c r="E141" s="205"/>
      <c r="F141" s="373"/>
      <c r="G141" s="320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23"/>
      <c r="B142" s="373"/>
      <c r="C142" s="373"/>
      <c r="D142" s="279"/>
      <c r="E142" s="373"/>
      <c r="F142" s="373"/>
      <c r="G142" s="320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23"/>
      <c r="B143" s="373"/>
      <c r="C143" s="373"/>
      <c r="D143" s="279"/>
      <c r="E143" s="373"/>
      <c r="F143" s="373"/>
      <c r="G143" s="320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23"/>
      <c r="B144" s="205"/>
      <c r="C144" s="205"/>
      <c r="D144" s="279"/>
      <c r="E144" s="205"/>
      <c r="F144" s="373"/>
      <c r="G144" s="320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46"/>
      <c r="B145" s="337"/>
      <c r="C145" s="338"/>
      <c r="D145" s="349"/>
      <c r="E145" s="337"/>
      <c r="F145" s="338"/>
      <c r="G145" s="350"/>
      <c r="H145" s="328"/>
      <c r="I145" s="328"/>
      <c r="J145" s="328"/>
      <c r="K145" s="328"/>
      <c r="L145" s="328"/>
      <c r="M145" s="336"/>
      <c r="O145" s="1"/>
      <c r="P145" s="1"/>
      <c r="Q145" s="1"/>
      <c r="R145" s="1"/>
      <c r="S145" s="112"/>
    </row>
    <row r="146" spans="1:19" ht="16.5" thickTop="1" thickBot="1" x14ac:dyDescent="0.3">
      <c r="A146" s="132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5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694" t="s">
        <v>28</v>
      </c>
      <c r="B148" s="695"/>
      <c r="C148" s="695"/>
      <c r="D148" s="695"/>
      <c r="E148" s="695"/>
      <c r="F148" s="695"/>
      <c r="G148" s="696"/>
      <c r="H148" s="352"/>
      <c r="I148" s="695" t="s">
        <v>165</v>
      </c>
      <c r="J148" s="695"/>
      <c r="K148" s="695"/>
      <c r="L148" s="695"/>
      <c r="M148" s="696"/>
      <c r="O148" s="1"/>
      <c r="P148" s="1"/>
      <c r="Q148" s="1"/>
      <c r="R148" s="1"/>
      <c r="S148" s="112"/>
    </row>
    <row r="149" spans="1:19" x14ac:dyDescent="0.25">
      <c r="A149" s="412" t="s">
        <v>2</v>
      </c>
      <c r="B149" s="611" t="s">
        <v>34</v>
      </c>
      <c r="C149" s="36" t="s">
        <v>35</v>
      </c>
      <c r="D149" s="36" t="s">
        <v>38</v>
      </c>
      <c r="E149" s="36" t="s">
        <v>42</v>
      </c>
      <c r="F149" s="611" t="s">
        <v>36</v>
      </c>
      <c r="G149" s="101" t="s">
        <v>173</v>
      </c>
      <c r="H149" s="43"/>
      <c r="I149" s="40"/>
      <c r="J149" s="606" t="s">
        <v>35</v>
      </c>
      <c r="K149" s="606" t="s">
        <v>38</v>
      </c>
      <c r="L149" s="606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26">
        <v>43773</v>
      </c>
      <c r="B150" s="164" t="s">
        <v>29</v>
      </c>
      <c r="C150" s="99">
        <v>113.8</v>
      </c>
      <c r="D150" s="99">
        <v>113.8</v>
      </c>
      <c r="E150" s="163"/>
      <c r="F150" s="165" t="str">
        <f t="shared" ref="F150:F166" si="14">IF(C150=0,"",IF(C150-D150=0,"оплачено",""))</f>
        <v>оплачено</v>
      </c>
      <c r="G150" s="363"/>
      <c r="H150" s="43"/>
      <c r="I150" s="606" t="s">
        <v>39</v>
      </c>
      <c r="J150" s="613">
        <v>1780.71</v>
      </c>
      <c r="K150" s="613">
        <v>1780.71</v>
      </c>
      <c r="L150" s="163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26">
        <v>43773</v>
      </c>
      <c r="B151" s="164" t="s">
        <v>101</v>
      </c>
      <c r="C151" s="99">
        <v>283.68</v>
      </c>
      <c r="D151" s="99">
        <v>283.68</v>
      </c>
      <c r="E151" s="163"/>
      <c r="F151" s="165" t="str">
        <f t="shared" si="14"/>
        <v>оплачено</v>
      </c>
      <c r="G151" s="363"/>
      <c r="H151" s="43"/>
      <c r="I151" s="606" t="s">
        <v>40</v>
      </c>
      <c r="J151" s="287">
        <v>1147.08</v>
      </c>
      <c r="K151" s="287">
        <v>1147.08</v>
      </c>
      <c r="L151" s="163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26">
        <v>43775</v>
      </c>
      <c r="B152" s="164" t="s">
        <v>175</v>
      </c>
      <c r="C152" s="99">
        <v>252.6</v>
      </c>
      <c r="D152" s="99">
        <v>252.6</v>
      </c>
      <c r="E152" s="163"/>
      <c r="F152" s="165" t="str">
        <f t="shared" si="14"/>
        <v>оплачено</v>
      </c>
      <c r="G152" s="363"/>
      <c r="H152" s="43"/>
      <c r="I152" s="1"/>
      <c r="J152" s="302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26">
        <v>43796</v>
      </c>
      <c r="B153" s="164" t="s">
        <v>183</v>
      </c>
      <c r="C153" s="99">
        <v>422.22</v>
      </c>
      <c r="D153" s="99">
        <v>422.22</v>
      </c>
      <c r="E153" s="163"/>
      <c r="F153" s="165" t="str">
        <f t="shared" si="14"/>
        <v>оплачено</v>
      </c>
      <c r="G153" s="363"/>
      <c r="H153" s="43"/>
      <c r="I153" s="1"/>
      <c r="J153" s="373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26">
        <v>43795</v>
      </c>
      <c r="B154" s="164" t="s">
        <v>29</v>
      </c>
      <c r="C154" s="99">
        <v>313.76</v>
      </c>
      <c r="D154" s="99">
        <v>313.76</v>
      </c>
      <c r="E154" s="163"/>
      <c r="F154" s="165" t="str">
        <f t="shared" si="14"/>
        <v>оплачено</v>
      </c>
      <c r="G154" s="363"/>
      <c r="H154" s="43"/>
      <c r="I154" s="1"/>
      <c r="J154" s="373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26">
        <v>43794</v>
      </c>
      <c r="B155" s="164" t="s">
        <v>119</v>
      </c>
      <c r="C155" s="281">
        <v>116.9</v>
      </c>
      <c r="D155" s="281">
        <v>116.9</v>
      </c>
      <c r="E155" s="163"/>
      <c r="F155" s="165" t="str">
        <f t="shared" si="14"/>
        <v>оплачено</v>
      </c>
      <c r="G155" s="363"/>
      <c r="H155" s="43"/>
      <c r="I155" s="1"/>
      <c r="J155" s="373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26"/>
      <c r="B156" s="164"/>
      <c r="C156" s="281"/>
      <c r="D156" s="164"/>
      <c r="E156" s="163" t="str">
        <f t="shared" ref="E156:E166" si="16">IF(C156-D156=0,"",C156-D156)</f>
        <v/>
      </c>
      <c r="F156" s="165" t="str">
        <f t="shared" si="14"/>
        <v/>
      </c>
      <c r="G156" s="363"/>
      <c r="H156" s="43"/>
      <c r="I156" s="1"/>
      <c r="J156" s="373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26"/>
      <c r="B157" s="164"/>
      <c r="C157" s="281"/>
      <c r="D157" s="164"/>
      <c r="E157" s="163" t="str">
        <f t="shared" si="16"/>
        <v/>
      </c>
      <c r="F157" s="165" t="str">
        <f t="shared" si="14"/>
        <v/>
      </c>
      <c r="G157" s="363"/>
      <c r="H157" s="43"/>
      <c r="I157" s="1"/>
      <c r="J157" s="373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26"/>
      <c r="B158" s="164"/>
      <c r="C158" s="281"/>
      <c r="D158" s="164"/>
      <c r="E158" s="163" t="str">
        <f t="shared" si="16"/>
        <v/>
      </c>
      <c r="F158" s="165" t="str">
        <f t="shared" si="14"/>
        <v/>
      </c>
      <c r="G158" s="363"/>
      <c r="H158" s="43"/>
      <c r="I158" s="1"/>
      <c r="J158" s="373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26"/>
      <c r="B159" s="164"/>
      <c r="C159" s="281"/>
      <c r="D159" s="164"/>
      <c r="E159" s="163" t="str">
        <f t="shared" si="16"/>
        <v/>
      </c>
      <c r="F159" s="165" t="str">
        <f t="shared" si="14"/>
        <v/>
      </c>
      <c r="G159" s="363"/>
      <c r="H159" s="43"/>
      <c r="I159" s="1"/>
      <c r="J159" s="373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26"/>
      <c r="B160" s="164"/>
      <c r="C160" s="281"/>
      <c r="D160" s="164"/>
      <c r="E160" s="163" t="str">
        <f t="shared" si="16"/>
        <v/>
      </c>
      <c r="F160" s="165" t="str">
        <f t="shared" si="14"/>
        <v/>
      </c>
      <c r="G160" s="363"/>
      <c r="H160" s="43"/>
      <c r="I160" s="1"/>
      <c r="J160" s="373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26"/>
      <c r="B161" s="164"/>
      <c r="C161" s="281"/>
      <c r="D161" s="164"/>
      <c r="E161" s="163" t="str">
        <f t="shared" si="16"/>
        <v/>
      </c>
      <c r="F161" s="165" t="str">
        <f t="shared" si="14"/>
        <v/>
      </c>
      <c r="G161" s="363"/>
      <c r="H161" s="43"/>
      <c r="I161" s="1"/>
      <c r="J161" s="373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27"/>
      <c r="B162" s="164"/>
      <c r="C162" s="164"/>
      <c r="D162" s="164"/>
      <c r="E162" s="163" t="str">
        <f t="shared" si="16"/>
        <v/>
      </c>
      <c r="F162" s="165" t="str">
        <f t="shared" si="14"/>
        <v/>
      </c>
      <c r="G162" s="363"/>
      <c r="H162" s="43"/>
      <c r="I162" s="1"/>
      <c r="J162" s="373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28"/>
      <c r="B163" s="164"/>
      <c r="C163" s="164"/>
      <c r="D163" s="164"/>
      <c r="E163" s="163" t="str">
        <f t="shared" si="16"/>
        <v/>
      </c>
      <c r="F163" s="165" t="str">
        <f t="shared" si="14"/>
        <v/>
      </c>
      <c r="G163" s="363"/>
      <c r="H163" s="43"/>
      <c r="I163" s="1"/>
      <c r="J163" s="373"/>
      <c r="K163" s="1"/>
      <c r="L163" s="1"/>
      <c r="M163" s="44"/>
      <c r="O163" s="1"/>
      <c r="P163" s="677" t="s">
        <v>283</v>
      </c>
      <c r="Q163" s="677"/>
      <c r="R163" s="677"/>
      <c r="S163" s="112"/>
    </row>
    <row r="164" spans="1:19" x14ac:dyDescent="0.25">
      <c r="A164" s="428"/>
      <c r="B164" s="164"/>
      <c r="C164" s="164"/>
      <c r="D164" s="164"/>
      <c r="E164" s="163" t="str">
        <f t="shared" si="16"/>
        <v/>
      </c>
      <c r="F164" s="165" t="str">
        <f t="shared" si="14"/>
        <v/>
      </c>
      <c r="G164" s="363"/>
      <c r="H164" s="43"/>
      <c r="I164" s="1"/>
      <c r="J164" s="373"/>
      <c r="K164" s="1"/>
      <c r="L164" s="1"/>
      <c r="M164" s="44"/>
      <c r="O164" s="1"/>
      <c r="P164" s="677"/>
      <c r="Q164" s="677"/>
      <c r="R164" s="677"/>
      <c r="S164" s="112"/>
    </row>
    <row r="165" spans="1:19" x14ac:dyDescent="0.25">
      <c r="A165" s="427"/>
      <c r="B165" s="164"/>
      <c r="C165" s="164"/>
      <c r="D165" s="164"/>
      <c r="E165" s="163" t="str">
        <f t="shared" si="16"/>
        <v/>
      </c>
      <c r="F165" s="165" t="str">
        <f t="shared" si="14"/>
        <v/>
      </c>
      <c r="G165" s="363"/>
      <c r="H165" s="43"/>
      <c r="I165" s="1"/>
      <c r="J165" s="373"/>
      <c r="K165" s="1"/>
      <c r="L165" s="1"/>
      <c r="M165" s="44"/>
      <c r="O165" s="1"/>
      <c r="P165" s="677"/>
      <c r="Q165" s="677"/>
      <c r="R165" s="677"/>
      <c r="S165" s="112"/>
    </row>
    <row r="166" spans="1:19" ht="15.75" thickBot="1" x14ac:dyDescent="0.3">
      <c r="A166" s="443"/>
      <c r="B166" s="364"/>
      <c r="C166" s="365"/>
      <c r="D166" s="365"/>
      <c r="E166" s="163" t="str">
        <f t="shared" si="16"/>
        <v/>
      </c>
      <c r="F166" s="165" t="str">
        <f t="shared" si="14"/>
        <v/>
      </c>
      <c r="G166" s="366"/>
      <c r="H166" s="43"/>
      <c r="I166" s="1"/>
      <c r="J166" s="373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626"/>
      <c r="B167" s="359"/>
      <c r="C167" s="360"/>
      <c r="D167" s="360"/>
      <c r="E167" s="361"/>
      <c r="F167" s="359"/>
      <c r="G167" s="392"/>
      <c r="H167" s="697" t="s">
        <v>16</v>
      </c>
      <c r="I167" s="699" t="s">
        <v>17</v>
      </c>
      <c r="J167" s="699" t="s">
        <v>21</v>
      </c>
      <c r="K167" s="699"/>
      <c r="L167" s="701" t="s">
        <v>93</v>
      </c>
      <c r="M167" s="703" t="s">
        <v>95</v>
      </c>
      <c r="O167" s="1"/>
      <c r="P167" s="1"/>
      <c r="Q167" s="1"/>
      <c r="R167" s="1"/>
      <c r="S167" s="112"/>
    </row>
    <row r="168" spans="1:19" ht="24" x14ac:dyDescent="0.25">
      <c r="A168" s="430"/>
      <c r="B168" s="207"/>
      <c r="C168" s="207"/>
      <c r="D168" s="207"/>
      <c r="E168" s="222"/>
      <c r="F168" s="207"/>
      <c r="G168" s="207"/>
      <c r="H168" s="698"/>
      <c r="I168" s="700"/>
      <c r="J168" s="607" t="s">
        <v>21</v>
      </c>
      <c r="K168" s="607" t="s">
        <v>25</v>
      </c>
      <c r="L168" s="702"/>
      <c r="M168" s="704"/>
      <c r="O168" s="1"/>
      <c r="P168" s="1"/>
      <c r="Q168" s="1"/>
      <c r="R168" s="1"/>
      <c r="S168" s="112"/>
    </row>
    <row r="169" spans="1:19" x14ac:dyDescent="0.25">
      <c r="A169" s="432"/>
      <c r="B169" s="205"/>
      <c r="C169" s="294"/>
      <c r="D169" s="238"/>
      <c r="E169" s="85"/>
      <c r="F169" s="205"/>
      <c r="G169" s="205"/>
      <c r="H169" s="354" t="s">
        <v>18</v>
      </c>
      <c r="I169" s="95">
        <v>32809.9</v>
      </c>
      <c r="J169" s="95">
        <v>1675.7199999999998</v>
      </c>
      <c r="K169" s="303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45"/>
      <c r="B170" s="205"/>
      <c r="C170" s="205"/>
      <c r="D170" s="279"/>
      <c r="E170" s="373"/>
      <c r="F170" s="85"/>
      <c r="G170" s="373"/>
      <c r="H170" s="354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45"/>
      <c r="B171" s="373"/>
      <c r="C171" s="205"/>
      <c r="D171" s="279"/>
      <c r="E171" s="373"/>
      <c r="F171" s="373"/>
      <c r="G171" s="373"/>
      <c r="H171" s="354" t="s">
        <v>20</v>
      </c>
      <c r="I171" s="304">
        <v>34690.219999999994</v>
      </c>
      <c r="J171" s="95">
        <v>1209.3000000000002</v>
      </c>
      <c r="K171" s="305">
        <v>1213.33</v>
      </c>
      <c r="L171" s="305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45"/>
      <c r="B172" s="1"/>
      <c r="C172" s="290"/>
      <c r="D172" s="279"/>
      <c r="E172" s="373"/>
      <c r="F172" s="373"/>
      <c r="G172" s="85"/>
      <c r="H172" s="354" t="s">
        <v>148</v>
      </c>
      <c r="I172" s="305">
        <v>30955.479999999996</v>
      </c>
      <c r="J172" s="306"/>
      <c r="K172" s="306">
        <v>1035.6600000000001</v>
      </c>
      <c r="L172" s="305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45"/>
      <c r="B173" s="205"/>
      <c r="C173" s="1"/>
      <c r="D173" s="279"/>
      <c r="E173" s="373"/>
      <c r="F173" s="373"/>
      <c r="G173" s="373"/>
      <c r="H173" s="355" t="s">
        <v>162</v>
      </c>
      <c r="I173" s="306">
        <v>31239.439999999995</v>
      </c>
      <c r="J173" s="305">
        <v>2443.4</v>
      </c>
      <c r="K173" s="306">
        <v>1496.52</v>
      </c>
      <c r="L173" s="305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45"/>
      <c r="B174" s="205"/>
      <c r="C174" s="1"/>
      <c r="D174" s="279"/>
      <c r="E174" s="373"/>
      <c r="F174" s="373"/>
      <c r="G174" s="373"/>
      <c r="H174" s="395" t="s">
        <v>163</v>
      </c>
      <c r="I174" s="396">
        <v>28986.99</v>
      </c>
      <c r="J174" s="449">
        <v>6271.4999999999991</v>
      </c>
      <c r="K174" s="450">
        <v>1179.17</v>
      </c>
      <c r="L174" s="450">
        <v>22678.1</v>
      </c>
      <c r="M174" s="398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45"/>
      <c r="B175" s="205"/>
      <c r="C175" s="1"/>
      <c r="D175" s="279"/>
      <c r="E175" s="85"/>
      <c r="F175" s="373"/>
      <c r="G175" s="373"/>
      <c r="H175" s="681" t="s">
        <v>36</v>
      </c>
      <c r="I175" s="683" t="s">
        <v>178</v>
      </c>
      <c r="J175" s="684"/>
      <c r="K175" s="685"/>
      <c r="L175" s="689" t="s">
        <v>159</v>
      </c>
      <c r="M175" s="690"/>
      <c r="O175" s="1"/>
      <c r="P175" s="1"/>
      <c r="Q175" s="1"/>
      <c r="R175" s="1"/>
      <c r="S175" s="112"/>
    </row>
    <row r="176" spans="1:19" x14ac:dyDescent="0.25">
      <c r="A176" s="445"/>
      <c r="B176" s="205"/>
      <c r="C176" s="290"/>
      <c r="D176" s="279"/>
      <c r="E176" s="290"/>
      <c r="F176" s="373"/>
      <c r="G176" s="394"/>
      <c r="H176" s="682"/>
      <c r="I176" s="686"/>
      <c r="J176" s="687"/>
      <c r="K176" s="688"/>
      <c r="L176" s="691"/>
      <c r="M176" s="692"/>
      <c r="O176" s="1"/>
      <c r="P176" s="1"/>
      <c r="Q176" s="1"/>
      <c r="R176" s="1"/>
      <c r="S176" s="112"/>
    </row>
    <row r="177" spans="1:19" x14ac:dyDescent="0.25">
      <c r="A177" s="445"/>
      <c r="B177" s="205"/>
      <c r="C177" s="205"/>
      <c r="D177" s="279"/>
      <c r="E177" s="205"/>
      <c r="F177" s="373"/>
      <c r="G177" s="394"/>
      <c r="H177" s="393" t="s">
        <v>91</v>
      </c>
      <c r="I177" s="693" t="s">
        <v>47</v>
      </c>
      <c r="J177" s="693"/>
      <c r="K177" s="616">
        <v>288.75</v>
      </c>
      <c r="L177" s="288">
        <v>43783</v>
      </c>
      <c r="M177" s="44" t="s">
        <v>170</v>
      </c>
      <c r="N177" s="373"/>
      <c r="O177" s="1"/>
      <c r="P177" s="1"/>
      <c r="Q177" s="1"/>
      <c r="R177" s="1" t="s">
        <v>159</v>
      </c>
      <c r="S177" s="112"/>
    </row>
    <row r="178" spans="1:19" x14ac:dyDescent="0.25">
      <c r="A178" s="445"/>
      <c r="B178" s="373"/>
      <c r="C178" s="280"/>
      <c r="D178" s="279"/>
      <c r="E178" s="280"/>
      <c r="F178" s="373"/>
      <c r="G178" s="373"/>
      <c r="H178" s="356" t="s">
        <v>91</v>
      </c>
      <c r="I178" s="678" t="s">
        <v>51</v>
      </c>
      <c r="J178" s="678"/>
      <c r="K178" s="606">
        <v>60.19</v>
      </c>
      <c r="L178" s="288">
        <v>43783</v>
      </c>
      <c r="M178" s="44" t="s">
        <v>170</v>
      </c>
      <c r="N178" s="369" t="s">
        <v>56</v>
      </c>
      <c r="O178" s="678" t="s">
        <v>47</v>
      </c>
      <c r="P178" s="678"/>
      <c r="Q178" s="606">
        <v>28.88</v>
      </c>
      <c r="R178" s="288">
        <v>43783</v>
      </c>
      <c r="S178" s="112" t="s">
        <v>170</v>
      </c>
    </row>
    <row r="179" spans="1:19" x14ac:dyDescent="0.25">
      <c r="A179" s="423"/>
      <c r="B179" s="373"/>
      <c r="C179" s="373"/>
      <c r="D179" s="279"/>
      <c r="E179" s="205"/>
      <c r="F179" s="373"/>
      <c r="G179" s="373"/>
      <c r="H179" s="356" t="s">
        <v>91</v>
      </c>
      <c r="I179" s="678" t="s">
        <v>52</v>
      </c>
      <c r="J179" s="678"/>
      <c r="K179" s="606">
        <v>4.95</v>
      </c>
      <c r="L179" s="288">
        <v>43783</v>
      </c>
      <c r="M179" s="44" t="s">
        <v>170</v>
      </c>
      <c r="O179" s="678" t="s">
        <v>51</v>
      </c>
      <c r="P179" s="678"/>
      <c r="Q179" s="606"/>
      <c r="R179" s="288">
        <v>43783</v>
      </c>
      <c r="S179" s="112" t="s">
        <v>170</v>
      </c>
    </row>
    <row r="180" spans="1:19" x14ac:dyDescent="0.25">
      <c r="A180" s="423"/>
      <c r="B180" s="373"/>
      <c r="C180" s="373"/>
      <c r="D180" s="279"/>
      <c r="E180" s="373"/>
      <c r="F180" s="373"/>
      <c r="G180" s="373"/>
      <c r="H180" s="356" t="s">
        <v>91</v>
      </c>
      <c r="I180" s="678" t="s">
        <v>49</v>
      </c>
      <c r="J180" s="678"/>
      <c r="K180" s="606">
        <v>234.75</v>
      </c>
      <c r="L180" s="288">
        <v>43791</v>
      </c>
      <c r="M180" s="44" t="s">
        <v>171</v>
      </c>
      <c r="N180" s="351" t="s">
        <v>56</v>
      </c>
      <c r="O180" s="678" t="s">
        <v>52</v>
      </c>
      <c r="P180" s="678"/>
      <c r="Q180" s="606">
        <v>0.5</v>
      </c>
      <c r="R180" s="288">
        <v>43783</v>
      </c>
      <c r="S180" s="112" t="s">
        <v>170</v>
      </c>
    </row>
    <row r="181" spans="1:19" x14ac:dyDescent="0.25">
      <c r="A181" s="423"/>
      <c r="B181" s="373"/>
      <c r="C181" s="373"/>
      <c r="D181" s="279"/>
      <c r="E181" s="373"/>
      <c r="F181" s="373"/>
      <c r="G181" s="373"/>
      <c r="H181" s="356" t="s">
        <v>91</v>
      </c>
      <c r="I181" s="675" t="s">
        <v>59</v>
      </c>
      <c r="J181" s="675"/>
      <c r="K181" s="610">
        <v>1147.99</v>
      </c>
      <c r="L181" s="308" t="s">
        <v>177</v>
      </c>
      <c r="M181" s="44" t="s">
        <v>170</v>
      </c>
      <c r="N181" s="351" t="s">
        <v>56</v>
      </c>
      <c r="O181" s="678" t="s">
        <v>49</v>
      </c>
      <c r="P181" s="678"/>
      <c r="Q181" s="606">
        <v>66.75</v>
      </c>
      <c r="R181" s="288">
        <v>43796</v>
      </c>
      <c r="S181" s="112" t="s">
        <v>171</v>
      </c>
    </row>
    <row r="182" spans="1:19" x14ac:dyDescent="0.25">
      <c r="A182" s="423"/>
      <c r="B182" s="205"/>
      <c r="C182" s="205"/>
      <c r="D182" s="279"/>
      <c r="E182" s="205"/>
      <c r="F182" s="373"/>
      <c r="G182" s="373"/>
      <c r="H182" s="357" t="s">
        <v>91</v>
      </c>
      <c r="I182" s="679" t="s">
        <v>68</v>
      </c>
      <c r="J182" s="680"/>
      <c r="K182" s="606">
        <v>176.72</v>
      </c>
      <c r="L182" s="288">
        <v>43791</v>
      </c>
      <c r="M182" s="44" t="s">
        <v>170</v>
      </c>
      <c r="N182" s="351"/>
      <c r="O182" s="675" t="s">
        <v>59</v>
      </c>
      <c r="P182" s="675"/>
      <c r="Q182" s="610"/>
      <c r="R182" s="308" t="s">
        <v>177</v>
      </c>
      <c r="S182" s="112" t="s">
        <v>170</v>
      </c>
    </row>
    <row r="183" spans="1:19" x14ac:dyDescent="0.25">
      <c r="A183" s="423"/>
      <c r="B183" s="205"/>
      <c r="C183" s="373"/>
      <c r="D183" s="279"/>
      <c r="E183" s="205"/>
      <c r="F183" s="373"/>
      <c r="G183" s="373"/>
      <c r="H183" s="356" t="s">
        <v>91</v>
      </c>
      <c r="I183" s="608" t="s">
        <v>174</v>
      </c>
      <c r="J183" s="609"/>
      <c r="K183" s="606">
        <f>298.1+160.36</f>
        <v>458.46000000000004</v>
      </c>
      <c r="L183" s="288">
        <v>43783</v>
      </c>
      <c r="M183" s="320" t="s">
        <v>170</v>
      </c>
      <c r="N183" s="351"/>
      <c r="O183" s="679" t="s">
        <v>68</v>
      </c>
      <c r="P183" s="680"/>
      <c r="Q183" s="606"/>
      <c r="R183" s="288">
        <v>43790</v>
      </c>
      <c r="S183" s="112" t="s">
        <v>170</v>
      </c>
    </row>
    <row r="184" spans="1:19" x14ac:dyDescent="0.25">
      <c r="A184" s="423"/>
      <c r="B184" s="205"/>
      <c r="C184" s="373"/>
      <c r="D184" s="279"/>
      <c r="E184" s="205"/>
      <c r="F184" s="373"/>
      <c r="G184" s="373"/>
      <c r="H184" s="356" t="s">
        <v>91</v>
      </c>
      <c r="I184" s="608" t="s">
        <v>176</v>
      </c>
      <c r="J184" s="609"/>
      <c r="K184" s="606">
        <v>113.15</v>
      </c>
      <c r="L184" s="288">
        <v>43789</v>
      </c>
      <c r="M184" s="320" t="s">
        <v>170</v>
      </c>
      <c r="O184" s="608" t="s">
        <v>174</v>
      </c>
      <c r="P184" s="609"/>
      <c r="Q184" s="606"/>
      <c r="R184" s="288">
        <v>43783</v>
      </c>
      <c r="S184" s="422" t="s">
        <v>170</v>
      </c>
    </row>
    <row r="185" spans="1:19" x14ac:dyDescent="0.25">
      <c r="A185" s="423"/>
      <c r="B185" s="205"/>
      <c r="C185" s="373"/>
      <c r="D185" s="279"/>
      <c r="E185" s="238"/>
      <c r="F185" s="373"/>
      <c r="G185" s="373"/>
      <c r="H185" s="356" t="s">
        <v>91</v>
      </c>
      <c r="I185" s="679" t="s">
        <v>81</v>
      </c>
      <c r="J185" s="680"/>
      <c r="K185" s="619">
        <v>1446.11</v>
      </c>
      <c r="L185" s="288">
        <v>43783</v>
      </c>
      <c r="M185" s="44" t="s">
        <v>170</v>
      </c>
      <c r="O185" s="608" t="s">
        <v>176</v>
      </c>
      <c r="P185" s="609"/>
      <c r="Q185" s="606"/>
      <c r="R185" s="288">
        <v>43789</v>
      </c>
      <c r="S185" s="422" t="s">
        <v>170</v>
      </c>
    </row>
    <row r="186" spans="1:19" x14ac:dyDescent="0.25">
      <c r="A186" s="423"/>
      <c r="B186" s="205"/>
      <c r="C186" s="373"/>
      <c r="D186" s="279"/>
      <c r="E186" s="238"/>
      <c r="F186" s="373"/>
      <c r="G186" s="373"/>
      <c r="H186" s="356" t="s">
        <v>193</v>
      </c>
      <c r="I186" s="673" t="s">
        <v>181</v>
      </c>
      <c r="J186" s="674"/>
      <c r="K186" s="619"/>
      <c r="L186" s="288" t="s">
        <v>182</v>
      </c>
      <c r="M186" s="44"/>
      <c r="N186" s="373"/>
      <c r="O186" s="679" t="s">
        <v>81</v>
      </c>
      <c r="P186" s="680"/>
      <c r="Q186" s="619"/>
      <c r="R186" s="288">
        <v>43783</v>
      </c>
      <c r="S186" s="112" t="s">
        <v>170</v>
      </c>
    </row>
    <row r="187" spans="1:19" x14ac:dyDescent="0.25">
      <c r="A187" s="423"/>
      <c r="B187" s="205"/>
      <c r="C187" s="373"/>
      <c r="D187" s="279"/>
      <c r="E187" s="238"/>
      <c r="F187" s="373"/>
      <c r="G187" s="373"/>
      <c r="H187" s="357" t="s">
        <v>91</v>
      </c>
      <c r="I187" s="675" t="s">
        <v>61</v>
      </c>
      <c r="J187" s="675"/>
      <c r="K187" s="619">
        <f>J152</f>
        <v>2927.79</v>
      </c>
      <c r="L187" s="288">
        <v>43791</v>
      </c>
      <c r="M187" s="44" t="s">
        <v>170</v>
      </c>
      <c r="N187" s="373"/>
      <c r="O187" s="217" t="s">
        <v>181</v>
      </c>
      <c r="P187" s="217"/>
      <c r="Q187" s="373"/>
      <c r="R187" s="288" t="s">
        <v>188</v>
      </c>
      <c r="S187" s="112"/>
    </row>
    <row r="188" spans="1:19" ht="15.75" thickBot="1" x14ac:dyDescent="0.3">
      <c r="A188" s="446"/>
      <c r="B188" s="337"/>
      <c r="C188" s="338"/>
      <c r="D188" s="349"/>
      <c r="E188" s="337"/>
      <c r="F188" s="338"/>
      <c r="G188" s="338"/>
      <c r="H188" s="353"/>
      <c r="I188" s="368" t="s">
        <v>179</v>
      </c>
      <c r="J188" s="368">
        <f>SUM(K177:K187)</f>
        <v>6858.8600000000006</v>
      </c>
      <c r="K188" s="676" t="s">
        <v>180</v>
      </c>
      <c r="L188" s="676"/>
      <c r="M188" s="367">
        <v>0</v>
      </c>
      <c r="N188" s="373"/>
      <c r="O188" s="217"/>
      <c r="P188" s="217"/>
      <c r="Q188" s="373"/>
      <c r="R188" s="288"/>
      <c r="S188" s="112"/>
    </row>
    <row r="189" spans="1:19" ht="16.5" thickTop="1" thickBot="1" x14ac:dyDescent="0.3">
      <c r="A189" s="132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O189" s="1" t="s">
        <v>50</v>
      </c>
      <c r="P189" s="1"/>
      <c r="Q189" s="302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30" t="s">
        <v>2</v>
      </c>
      <c r="P192" s="611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31">
        <v>43791</v>
      </c>
      <c r="P193" s="164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31">
        <v>43789</v>
      </c>
      <c r="P194" s="164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32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5"/>
    </row>
  </sheetData>
  <mergeCells count="109"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showWhiteSpace="0" topLeftCell="A46" zoomScaleNormal="10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7.28515625" style="35" customWidth="1"/>
    <col min="7" max="7" width="14.28515625" style="35" customWidth="1"/>
    <col min="8" max="8" width="9.570312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2" t="s">
        <v>28</v>
      </c>
      <c r="B1" s="695"/>
      <c r="C1" s="695"/>
      <c r="D1" s="695"/>
      <c r="E1" s="695"/>
      <c r="F1" s="695"/>
      <c r="G1" s="696"/>
      <c r="H1" s="741" t="s">
        <v>222</v>
      </c>
      <c r="I1" s="742"/>
      <c r="J1" s="742"/>
      <c r="K1" s="742"/>
      <c r="L1" s="742"/>
      <c r="M1" s="743"/>
      <c r="N1" s="389"/>
      <c r="O1" s="722" t="s">
        <v>60</v>
      </c>
      <c r="P1" s="722"/>
    </row>
    <row r="2" spans="1:20" ht="21.75" customHeight="1" x14ac:dyDescent="0.25">
      <c r="A2" s="330" t="s">
        <v>2</v>
      </c>
      <c r="B2" s="388" t="s">
        <v>34</v>
      </c>
      <c r="C2" s="36" t="s">
        <v>35</v>
      </c>
      <c r="D2" s="36" t="s">
        <v>38</v>
      </c>
      <c r="E2" s="36" t="s">
        <v>42</v>
      </c>
      <c r="F2" s="388" t="s">
        <v>36</v>
      </c>
      <c r="G2" s="101" t="s">
        <v>173</v>
      </c>
      <c r="H2" s="739"/>
      <c r="I2" s="740"/>
      <c r="J2" s="384" t="s">
        <v>35</v>
      </c>
      <c r="K2" s="384" t="s">
        <v>38</v>
      </c>
      <c r="L2" s="38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43798</v>
      </c>
      <c r="B3" s="164" t="s">
        <v>217</v>
      </c>
      <c r="C3" s="99">
        <v>309.82</v>
      </c>
      <c r="D3" s="99">
        <v>309.82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4" t="s">
        <v>39</v>
      </c>
      <c r="I3" s="713"/>
      <c r="J3" s="390">
        <v>1458.67</v>
      </c>
      <c r="K3" s="476">
        <v>1458.67</v>
      </c>
      <c r="L3" s="163">
        <f t="shared" ref="L3" si="0">J3-K3</f>
        <v>0</v>
      </c>
      <c r="M3" s="102">
        <v>43822</v>
      </c>
      <c r="N3" s="147"/>
      <c r="O3" s="274"/>
      <c r="P3" s="53" t="s">
        <v>218</v>
      </c>
      <c r="Q3" s="164">
        <v>2390</v>
      </c>
      <c r="R3" s="53">
        <f>S3-Q3</f>
        <v>0</v>
      </c>
      <c r="S3" s="164">
        <v>2390</v>
      </c>
      <c r="T3" s="373"/>
    </row>
    <row r="4" spans="1:20" ht="16.5" customHeight="1" x14ac:dyDescent="0.25">
      <c r="A4" s="331">
        <v>43810</v>
      </c>
      <c r="B4" s="164" t="s">
        <v>212</v>
      </c>
      <c r="C4" s="99">
        <v>294.48</v>
      </c>
      <c r="D4" s="99">
        <v>294.48</v>
      </c>
      <c r="E4" s="163" t="str">
        <f t="shared" ref="E4:E19" si="1">IF(C4-D4=0,"",C4-D4)</f>
        <v/>
      </c>
      <c r="F4" s="165" t="str">
        <f t="shared" ref="F4:F19" si="2">IF(C4=0,"",IF(C4-D4=0,"оплачено","ожидается оплата"))</f>
        <v>оплачено</v>
      </c>
      <c r="G4" s="469"/>
      <c r="H4" s="744" t="s">
        <v>40</v>
      </c>
      <c r="I4" s="713"/>
      <c r="J4" s="287">
        <v>1035.6500000000001</v>
      </c>
      <c r="K4" s="287">
        <v>1035.6500000000001</v>
      </c>
      <c r="L4" s="163">
        <f>J4-K4</f>
        <v>0</v>
      </c>
      <c r="M4" s="102">
        <v>43822</v>
      </c>
      <c r="N4" s="147"/>
      <c r="O4" s="274"/>
      <c r="P4" s="53" t="s">
        <v>219</v>
      </c>
      <c r="Q4" s="53">
        <v>1000</v>
      </c>
      <c r="R4" s="53">
        <f>S4-Q4</f>
        <v>1559</v>
      </c>
      <c r="S4" s="53">
        <v>2559</v>
      </c>
      <c r="T4" s="87"/>
    </row>
    <row r="5" spans="1:20" x14ac:dyDescent="0.25">
      <c r="A5" s="331">
        <v>43808</v>
      </c>
      <c r="B5" s="164" t="s">
        <v>213</v>
      </c>
      <c r="C5" s="99">
        <v>56.7</v>
      </c>
      <c r="D5" s="99">
        <v>56.7</v>
      </c>
      <c r="E5" s="163" t="str">
        <f t="shared" si="1"/>
        <v/>
      </c>
      <c r="F5" s="165" t="str">
        <f t="shared" si="2"/>
        <v>оплачено</v>
      </c>
      <c r="G5" s="469"/>
      <c r="H5" s="43"/>
      <c r="I5" s="1"/>
      <c r="J5" s="302">
        <f>SUM(J3:J4)</f>
        <v>2494.3200000000002</v>
      </c>
      <c r="K5" s="1"/>
      <c r="L5" s="1"/>
      <c r="M5" s="44"/>
      <c r="N5" s="373"/>
      <c r="O5" s="274"/>
      <c r="P5" s="53"/>
      <c r="Q5" s="384"/>
      <c r="R5" s="471"/>
      <c r="S5" s="53">
        <v>558</v>
      </c>
      <c r="T5" s="87"/>
    </row>
    <row r="6" spans="1:20" x14ac:dyDescent="0.25">
      <c r="A6" s="331">
        <v>43803</v>
      </c>
      <c r="B6" s="164" t="s">
        <v>213</v>
      </c>
      <c r="C6" s="99">
        <v>187.25</v>
      </c>
      <c r="D6" s="99">
        <v>187.25</v>
      </c>
      <c r="E6" s="163" t="str">
        <f t="shared" si="1"/>
        <v/>
      </c>
      <c r="F6" s="165" t="str">
        <f t="shared" si="2"/>
        <v>оплачено</v>
      </c>
      <c r="G6" s="469"/>
      <c r="H6" s="43"/>
      <c r="I6" s="1"/>
      <c r="J6" s="373"/>
      <c r="K6" s="1"/>
      <c r="L6" s="1"/>
      <c r="M6" s="44"/>
      <c r="N6" s="373"/>
      <c r="O6" s="274"/>
      <c r="P6" s="53"/>
      <c r="Q6" s="384"/>
      <c r="R6" s="471"/>
      <c r="S6" s="53">
        <f>R4+S5</f>
        <v>2117</v>
      </c>
      <c r="T6" s="87"/>
    </row>
    <row r="7" spans="1:20" x14ac:dyDescent="0.25">
      <c r="A7" s="331">
        <v>43802</v>
      </c>
      <c r="B7" s="164" t="s">
        <v>155</v>
      </c>
      <c r="C7" s="99">
        <v>280.98</v>
      </c>
      <c r="D7" s="99">
        <v>280.98</v>
      </c>
      <c r="E7" s="163" t="str">
        <f t="shared" si="1"/>
        <v/>
      </c>
      <c r="F7" s="165" t="str">
        <f t="shared" si="2"/>
        <v>оплачено</v>
      </c>
      <c r="G7" s="469"/>
      <c r="H7" s="43"/>
      <c r="I7" s="1"/>
      <c r="J7" s="373"/>
      <c r="K7" s="1"/>
      <c r="L7" s="1"/>
      <c r="M7" s="44"/>
      <c r="N7" s="373"/>
      <c r="O7" s="274"/>
      <c r="P7" s="53"/>
      <c r="Q7" s="53"/>
      <c r="R7" s="53"/>
      <c r="S7" s="53"/>
      <c r="T7" s="87"/>
    </row>
    <row r="8" spans="1:20" ht="15" customHeight="1" x14ac:dyDescent="0.25">
      <c r="A8" s="331">
        <v>43804</v>
      </c>
      <c r="B8" s="164" t="s">
        <v>214</v>
      </c>
      <c r="C8" s="281">
        <v>1754</v>
      </c>
      <c r="D8" s="281">
        <v>1754</v>
      </c>
      <c r="E8" s="163" t="str">
        <f t="shared" si="1"/>
        <v/>
      </c>
      <c r="F8" s="165" t="str">
        <f t="shared" si="2"/>
        <v>оплачено</v>
      </c>
      <c r="G8" s="469"/>
      <c r="H8" s="43"/>
      <c r="I8" s="1"/>
      <c r="J8" s="373"/>
      <c r="K8" s="1"/>
      <c r="L8" s="1"/>
      <c r="M8" s="44"/>
      <c r="N8" s="374"/>
      <c r="O8" s="274"/>
      <c r="P8" s="53"/>
      <c r="Q8" s="53"/>
      <c r="R8" s="53"/>
      <c r="S8" s="53"/>
      <c r="T8" s="87"/>
    </row>
    <row r="9" spans="1:20" ht="18.75" customHeight="1" x14ac:dyDescent="0.25">
      <c r="A9" s="331">
        <v>43797</v>
      </c>
      <c r="B9" s="164" t="s">
        <v>216</v>
      </c>
      <c r="C9" s="281">
        <v>469.32</v>
      </c>
      <c r="D9" s="281">
        <v>469.32</v>
      </c>
      <c r="E9" s="163"/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374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43808</v>
      </c>
      <c r="B10" s="164" t="s">
        <v>29</v>
      </c>
      <c r="C10" s="281">
        <v>101.7</v>
      </c>
      <c r="D10" s="281">
        <v>101.7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374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43825</v>
      </c>
      <c r="B11" s="164" t="s">
        <v>205</v>
      </c>
      <c r="C11" s="281">
        <v>444.15</v>
      </c>
      <c r="D11" s="281">
        <v>444.15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374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>
        <v>43823</v>
      </c>
      <c r="B12" s="164" t="s">
        <v>224</v>
      </c>
      <c r="C12" s="281">
        <v>329.46</v>
      </c>
      <c r="D12" s="281">
        <v>329.46</v>
      </c>
      <c r="E12" s="163" t="str">
        <f t="shared" si="1"/>
        <v/>
      </c>
      <c r="F12" s="165" t="str">
        <f t="shared" si="2"/>
        <v>оплачено</v>
      </c>
      <c r="G12" s="469"/>
      <c r="H12" s="43"/>
      <c r="I12" s="1"/>
      <c r="J12" s="373"/>
      <c r="K12" s="1"/>
      <c r="L12" s="1"/>
      <c r="M12" s="44"/>
      <c r="N12" s="374"/>
      <c r="O12" s="467"/>
      <c r="P12" s="468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/>
      <c r="F13" s="165"/>
      <c r="G13" s="469"/>
      <c r="H13" s="43"/>
      <c r="I13" s="1"/>
      <c r="J13" s="373"/>
      <c r="K13" s="1"/>
      <c r="L13" s="1"/>
      <c r="M13" s="44"/>
      <c r="N13" s="374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1"/>
        <v/>
      </c>
      <c r="F14" s="165"/>
      <c r="G14" s="469"/>
      <c r="H14" s="43"/>
      <c r="I14" s="1"/>
      <c r="J14" s="373"/>
      <c r="K14" s="1"/>
      <c r="L14" s="1"/>
      <c r="M14" s="44"/>
      <c r="N14" s="301"/>
      <c r="O14" s="467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1"/>
        <v/>
      </c>
      <c r="F15" s="165" t="str">
        <f t="shared" si="2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1"/>
        <v/>
      </c>
      <c r="F16" s="165" t="str">
        <f t="shared" si="2"/>
        <v/>
      </c>
      <c r="G16" s="469"/>
      <c r="H16" s="43"/>
      <c r="I16" s="1"/>
      <c r="J16" s="373"/>
      <c r="K16" s="1"/>
      <c r="L16" s="1"/>
      <c r="M16" s="44"/>
      <c r="N16" s="301"/>
      <c r="O16" s="128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1"/>
        <v/>
      </c>
      <c r="F17" s="165" t="str">
        <f t="shared" si="2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1"/>
        <v/>
      </c>
      <c r="F18" s="165" t="str">
        <f t="shared" si="2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1"/>
        <v/>
      </c>
      <c r="F19" s="165" t="str">
        <f t="shared" si="2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7" t="s">
        <v>16</v>
      </c>
      <c r="I20" s="699" t="s">
        <v>17</v>
      </c>
      <c r="J20" s="699" t="s">
        <v>21</v>
      </c>
      <c r="K20" s="699"/>
      <c r="L20" s="701" t="s">
        <v>93</v>
      </c>
      <c r="M20" s="703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698"/>
      <c r="I21" s="700"/>
      <c r="J21" s="385" t="s">
        <v>21</v>
      </c>
      <c r="K21" s="385" t="s">
        <v>25</v>
      </c>
      <c r="L21" s="702"/>
      <c r="M21" s="704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373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373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>M23-I24-J24-K24+L24</f>
        <v>83639.329999999987</v>
      </c>
      <c r="N24" s="1"/>
      <c r="P24" s="373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/>
      <c r="K25" s="306">
        <v>1035.6600000000001</v>
      </c>
      <c r="L25" s="305">
        <v>59195.5</v>
      </c>
      <c r="M25" s="105">
        <f>M24-I25-J25-K25+L25</f>
        <v>110843.68999999999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>M25-I26-J26-K26+L26</f>
        <v>115796.33</v>
      </c>
      <c r="N26" s="373"/>
      <c r="P26" s="373"/>
      <c r="Q26" s="373"/>
      <c r="R26" s="373"/>
      <c r="S26" s="87"/>
      <c r="T26" s="87"/>
      <c r="V26" s="373"/>
    </row>
    <row r="27" spans="1:22" ht="12.75" customHeight="1" thickBot="1" x14ac:dyDescent="0.3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1179.17</v>
      </c>
      <c r="L27" s="450">
        <v>22678.1</v>
      </c>
      <c r="M27" s="398">
        <f>M26-I27-J27-K27+L27</f>
        <v>102036.76999999999</v>
      </c>
      <c r="N27" s="373"/>
      <c r="P27" s="373"/>
      <c r="Q27" s="373"/>
      <c r="R27" s="373"/>
      <c r="S27" s="373"/>
      <c r="T27" s="373"/>
      <c r="U27" s="373"/>
      <c r="V27" s="373"/>
    </row>
    <row r="28" spans="1:22" ht="12.75" customHeight="1" thickTop="1" x14ac:dyDescent="0.25">
      <c r="A28" s="346"/>
      <c r="B28" s="205"/>
      <c r="C28" s="1"/>
      <c r="D28" s="279"/>
      <c r="E28" s="85"/>
      <c r="F28" s="373"/>
      <c r="G28" s="373"/>
      <c r="H28" s="681" t="s">
        <v>36</v>
      </c>
      <c r="I28" s="683" t="s">
        <v>178</v>
      </c>
      <c r="J28" s="684"/>
      <c r="K28" s="685"/>
      <c r="L28" s="689" t="s">
        <v>159</v>
      </c>
      <c r="M28" s="690"/>
      <c r="N28" s="1"/>
      <c r="P28" s="373"/>
      <c r="Q28" s="373"/>
      <c r="R28" s="373"/>
      <c r="S28" s="373"/>
      <c r="T28" s="373"/>
      <c r="U28" s="373"/>
    </row>
    <row r="29" spans="1:22" ht="13.5" customHeight="1" x14ac:dyDescent="0.25">
      <c r="A29" s="346"/>
      <c r="B29" s="205"/>
      <c r="C29" s="290"/>
      <c r="D29" s="279"/>
      <c r="E29" s="290"/>
      <c r="F29" s="373"/>
      <c r="G29" s="394"/>
      <c r="H29" s="682"/>
      <c r="I29" s="686"/>
      <c r="J29" s="687"/>
      <c r="K29" s="688"/>
      <c r="L29" s="691"/>
      <c r="M29" s="692"/>
      <c r="N29" s="1"/>
      <c r="P29" s="373"/>
      <c r="Q29" s="373"/>
      <c r="R29" s="373"/>
      <c r="S29" s="373"/>
      <c r="T29" s="373"/>
      <c r="U29" s="373"/>
    </row>
    <row r="30" spans="1:22" ht="15.75" customHeight="1" x14ac:dyDescent="0.25">
      <c r="A30" s="346"/>
      <c r="B30" s="205"/>
      <c r="C30" s="205"/>
      <c r="D30" s="279"/>
      <c r="E30" s="205"/>
      <c r="F30" s="373"/>
      <c r="G30" s="394"/>
      <c r="H30" s="393" t="s">
        <v>193</v>
      </c>
      <c r="I30" s="693" t="s">
        <v>47</v>
      </c>
      <c r="J30" s="693"/>
      <c r="K30" s="479">
        <v>288.75</v>
      </c>
      <c r="L30" s="288">
        <v>43813</v>
      </c>
      <c r="M30" s="44" t="s">
        <v>200</v>
      </c>
      <c r="N30" s="153"/>
      <c r="P30" s="369"/>
      <c r="Q30" s="391"/>
      <c r="R30" s="391"/>
      <c r="S30" s="373"/>
      <c r="T30" s="300"/>
      <c r="U30" s="373"/>
    </row>
    <row r="31" spans="1:22" x14ac:dyDescent="0.25">
      <c r="A31" s="346"/>
      <c r="B31" s="373"/>
      <c r="C31" s="280"/>
      <c r="D31" s="279"/>
      <c r="E31" s="280"/>
      <c r="F31" s="373"/>
      <c r="G31" s="373"/>
      <c r="H31" s="393" t="s">
        <v>193</v>
      </c>
      <c r="I31" s="678" t="s">
        <v>51</v>
      </c>
      <c r="J31" s="678"/>
      <c r="K31" s="53">
        <v>60.19</v>
      </c>
      <c r="L31" s="288">
        <v>43813</v>
      </c>
      <c r="M31" s="44" t="s">
        <v>200</v>
      </c>
      <c r="N31" s="1"/>
      <c r="P31" s="373"/>
      <c r="Q31" s="391"/>
      <c r="R31" s="391"/>
      <c r="S31" s="373"/>
      <c r="T31" s="300"/>
      <c r="U31" s="373"/>
    </row>
    <row r="32" spans="1:22" x14ac:dyDescent="0.25">
      <c r="A32" s="347"/>
      <c r="B32" s="373"/>
      <c r="C32" s="373"/>
      <c r="D32" s="279"/>
      <c r="E32" s="205"/>
      <c r="F32" s="373"/>
      <c r="G32" s="373"/>
      <c r="H32" s="393" t="s">
        <v>193</v>
      </c>
      <c r="I32" s="678" t="s">
        <v>52</v>
      </c>
      <c r="J32" s="678"/>
      <c r="K32" s="53">
        <v>4.95</v>
      </c>
      <c r="L32" s="288">
        <v>43813</v>
      </c>
      <c r="M32" s="44" t="s">
        <v>200</v>
      </c>
      <c r="N32" s="1"/>
      <c r="P32" s="369"/>
      <c r="Q32" s="391"/>
      <c r="R32" s="391"/>
      <c r="S32" s="373"/>
      <c r="T32" s="300"/>
      <c r="U32" s="373"/>
    </row>
    <row r="33" spans="1:21" x14ac:dyDescent="0.25">
      <c r="A33" s="347"/>
      <c r="B33" s="373"/>
      <c r="C33" s="373"/>
      <c r="D33" s="279"/>
      <c r="E33" s="373"/>
      <c r="F33" s="373"/>
      <c r="G33" s="373"/>
      <c r="H33" s="393" t="s">
        <v>193</v>
      </c>
      <c r="I33" s="678" t="s">
        <v>49</v>
      </c>
      <c r="J33" s="678"/>
      <c r="K33" s="53">
        <v>257</v>
      </c>
      <c r="L33" s="288">
        <v>43821</v>
      </c>
      <c r="M33" s="44" t="s">
        <v>207</v>
      </c>
      <c r="N33" s="153"/>
      <c r="P33" s="369"/>
      <c r="Q33" s="391"/>
      <c r="R33" s="391"/>
      <c r="S33" s="373"/>
      <c r="T33" s="300"/>
      <c r="U33" s="373"/>
    </row>
    <row r="34" spans="1:21" x14ac:dyDescent="0.25">
      <c r="A34" s="347"/>
      <c r="B34" s="373"/>
      <c r="C34" s="373"/>
      <c r="D34" s="279"/>
      <c r="E34" s="373"/>
      <c r="F34" s="373"/>
      <c r="G34" s="373"/>
      <c r="H34" s="393" t="s">
        <v>193</v>
      </c>
      <c r="I34" s="675" t="s">
        <v>59</v>
      </c>
      <c r="J34" s="675"/>
      <c r="K34" s="480">
        <v>922.03</v>
      </c>
      <c r="L34" s="308" t="s">
        <v>177</v>
      </c>
      <c r="M34" s="44" t="s">
        <v>200</v>
      </c>
      <c r="N34" s="1"/>
      <c r="P34" s="369"/>
      <c r="Q34" s="391"/>
      <c r="R34" s="391"/>
      <c r="S34" s="373"/>
      <c r="T34" s="373"/>
      <c r="U34" s="373"/>
    </row>
    <row r="35" spans="1:21" x14ac:dyDescent="0.25">
      <c r="A35" s="347"/>
      <c r="B35" s="205"/>
      <c r="C35" s="205"/>
      <c r="D35" s="279"/>
      <c r="E35" s="205"/>
      <c r="F35" s="373"/>
      <c r="G35" s="373"/>
      <c r="H35" s="393" t="s">
        <v>193</v>
      </c>
      <c r="I35" s="679" t="s">
        <v>68</v>
      </c>
      <c r="J35" s="680"/>
      <c r="K35" s="53">
        <v>315.07</v>
      </c>
      <c r="L35" s="288">
        <v>43825</v>
      </c>
      <c r="M35" s="44" t="s">
        <v>200</v>
      </c>
      <c r="N35" s="1"/>
      <c r="P35" s="369"/>
      <c r="Q35" s="391"/>
      <c r="R35" s="391"/>
      <c r="S35" s="373"/>
      <c r="T35" s="300"/>
      <c r="U35" s="373"/>
    </row>
    <row r="36" spans="1:21" x14ac:dyDescent="0.25">
      <c r="A36" s="347"/>
      <c r="B36" s="205"/>
      <c r="C36" s="373"/>
      <c r="D36" s="279"/>
      <c r="E36" s="205"/>
      <c r="F36" s="373"/>
      <c r="G36" s="373"/>
      <c r="H36" s="393" t="s">
        <v>193</v>
      </c>
      <c r="I36" s="386" t="s">
        <v>174</v>
      </c>
      <c r="J36" s="387"/>
      <c r="K36" s="53">
        <f>298.1+160.36</f>
        <v>458.46000000000004</v>
      </c>
      <c r="L36" s="288">
        <v>43813</v>
      </c>
      <c r="M36" s="44" t="s">
        <v>200</v>
      </c>
      <c r="N36" s="1"/>
      <c r="P36" s="373"/>
      <c r="Q36" s="372"/>
      <c r="R36" s="372"/>
      <c r="S36" s="373"/>
      <c r="T36" s="300"/>
      <c r="U36" s="373"/>
    </row>
    <row r="37" spans="1:21" x14ac:dyDescent="0.25">
      <c r="A37" s="347"/>
      <c r="B37" s="205"/>
      <c r="C37" s="373"/>
      <c r="D37" s="279"/>
      <c r="E37" s="205"/>
      <c r="F37" s="373"/>
      <c r="G37" s="373"/>
      <c r="H37" s="357" t="str">
        <f>IF(K37="","не нужно","оплачено")</f>
        <v>не нужно</v>
      </c>
      <c r="I37" s="386" t="s">
        <v>176</v>
      </c>
      <c r="J37" s="387"/>
      <c r="K37" s="53"/>
      <c r="L37" s="288"/>
      <c r="M37" s="44"/>
      <c r="N37" s="1"/>
      <c r="P37" s="373"/>
      <c r="Q37" s="372"/>
      <c r="R37" s="372"/>
      <c r="S37" s="373"/>
      <c r="T37" s="300"/>
      <c r="U37" s="373"/>
    </row>
    <row r="38" spans="1:21" x14ac:dyDescent="0.25">
      <c r="A38" s="347"/>
      <c r="B38" s="205"/>
      <c r="C38" s="373"/>
      <c r="D38" s="279"/>
      <c r="E38" s="238"/>
      <c r="F38" s="373"/>
      <c r="G38" s="373"/>
      <c r="H38" s="393" t="s">
        <v>193</v>
      </c>
      <c r="I38" s="679" t="s">
        <v>81</v>
      </c>
      <c r="J38" s="680"/>
      <c r="K38" s="53">
        <v>1483.76</v>
      </c>
      <c r="L38" s="288">
        <v>43813</v>
      </c>
      <c r="M38" s="44" t="s">
        <v>200</v>
      </c>
      <c r="N38" s="1"/>
      <c r="P38" s="373"/>
      <c r="Q38" s="391"/>
      <c r="R38" s="391"/>
      <c r="S38" s="373"/>
      <c r="T38" s="300"/>
      <c r="U38" s="373"/>
    </row>
    <row r="39" spans="1:21" x14ac:dyDescent="0.25">
      <c r="A39" s="347"/>
      <c r="B39" s="205"/>
      <c r="C39" s="373"/>
      <c r="D39" s="279"/>
      <c r="E39" s="238"/>
      <c r="F39" s="373"/>
      <c r="G39" s="373"/>
      <c r="H39" s="393" t="s">
        <v>193</v>
      </c>
      <c r="I39" s="679" t="s">
        <v>181</v>
      </c>
      <c r="J39" s="680"/>
      <c r="K39" s="53">
        <v>10</v>
      </c>
      <c r="L39" s="288" t="s">
        <v>182</v>
      </c>
      <c r="M39" s="44"/>
      <c r="N39" s="1"/>
      <c r="P39" s="373"/>
      <c r="Q39" s="372"/>
      <c r="R39" s="373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193</v>
      </c>
      <c r="I40" s="675" t="s">
        <v>61</v>
      </c>
      <c r="J40" s="675"/>
      <c r="K40" s="53">
        <f>J5</f>
        <v>2494.3200000000002</v>
      </c>
      <c r="L40" s="288">
        <v>43821</v>
      </c>
      <c r="M40" s="44" t="s">
        <v>200</v>
      </c>
      <c r="N40" s="1"/>
      <c r="P40" s="373"/>
      <c r="Q40" s="372"/>
      <c r="R40" s="372"/>
      <c r="S40" s="373"/>
      <c r="T40" s="300"/>
      <c r="U40" s="373"/>
    </row>
    <row r="41" spans="1:21" ht="15.75" thickBot="1" x14ac:dyDescent="0.3">
      <c r="A41" s="348"/>
      <c r="B41" s="337"/>
      <c r="C41" s="338"/>
      <c r="D41" s="349"/>
      <c r="E41" s="337"/>
      <c r="F41" s="338"/>
      <c r="G41" s="338"/>
      <c r="H41" s="353"/>
      <c r="I41" s="368" t="s">
        <v>179</v>
      </c>
      <c r="J41" s="368">
        <f>SUM(K30:K40)</f>
        <v>6294.5300000000007</v>
      </c>
      <c r="K41" s="676" t="s">
        <v>180</v>
      </c>
      <c r="L41" s="676"/>
      <c r="M41" s="367">
        <v>0</v>
      </c>
      <c r="N41" s="1"/>
      <c r="P41" s="373"/>
      <c r="Q41" s="373"/>
      <c r="R41" s="373"/>
      <c r="S41" s="373"/>
      <c r="T41" s="373"/>
      <c r="U41" s="373"/>
    </row>
    <row r="42" spans="1:21" ht="15.75" thickTop="1" x14ac:dyDescent="0.25">
      <c r="A42" s="373"/>
      <c r="B42" s="373"/>
      <c r="C42" s="373"/>
      <c r="D42" s="373"/>
      <c r="E42" s="373"/>
      <c r="F42" s="373"/>
      <c r="G42" s="373"/>
      <c r="H42" s="735"/>
      <c r="I42" s="735"/>
      <c r="J42" s="735"/>
      <c r="K42" s="735"/>
      <c r="L42" s="373"/>
      <c r="M42" s="460"/>
      <c r="N42" s="1"/>
      <c r="P42" s="373"/>
      <c r="Q42" s="373"/>
      <c r="R42" s="373"/>
      <c r="S42" s="373"/>
      <c r="T42" s="373"/>
      <c r="U42" s="373"/>
    </row>
    <row r="43" spans="1:21" x14ac:dyDescent="0.25">
      <c r="A43" s="373"/>
      <c r="B43" s="733" t="s">
        <v>208</v>
      </c>
      <c r="C43" s="733"/>
      <c r="D43" s="733"/>
      <c r="E43" s="733"/>
      <c r="F43" s="733"/>
      <c r="G43" s="733"/>
      <c r="H43" s="733"/>
      <c r="I43" s="733"/>
      <c r="J43" s="733"/>
      <c r="K43" s="733"/>
      <c r="L43" s="373"/>
      <c r="M43" s="460"/>
      <c r="N43" s="1"/>
      <c r="P43" s="1"/>
      <c r="Q43" s="373"/>
      <c r="R43" s="373"/>
      <c r="S43" s="373"/>
      <c r="T43" s="373"/>
    </row>
    <row r="44" spans="1:21" ht="15.75" thickBot="1" x14ac:dyDescent="0.3">
      <c r="B44" s="734"/>
      <c r="C44" s="734"/>
      <c r="D44" s="734"/>
      <c r="E44" s="734"/>
      <c r="F44" s="734"/>
      <c r="G44" s="734"/>
      <c r="H44" s="734"/>
      <c r="I44" s="734"/>
      <c r="J44" s="734"/>
      <c r="K44" s="734"/>
      <c r="L44" s="1"/>
      <c r="M44" s="1"/>
      <c r="N44" s="1"/>
      <c r="P44" s="1"/>
      <c r="Q44" s="373"/>
      <c r="R44" s="372"/>
      <c r="S44" s="391"/>
      <c r="T44" s="373"/>
    </row>
    <row r="45" spans="1:21" ht="15.75" thickTop="1" x14ac:dyDescent="0.25">
      <c r="A45" s="732" t="s">
        <v>28</v>
      </c>
      <c r="B45" s="695"/>
      <c r="C45" s="695"/>
      <c r="D45" s="695"/>
      <c r="E45" s="695"/>
      <c r="F45" s="695"/>
      <c r="G45" s="696"/>
      <c r="H45" s="736" t="s">
        <v>202</v>
      </c>
      <c r="I45" s="737"/>
      <c r="J45" s="737"/>
      <c r="K45" s="737"/>
      <c r="L45" s="737"/>
      <c r="M45" s="738"/>
      <c r="N45" s="1"/>
      <c r="P45" s="1"/>
      <c r="Q45" s="459"/>
      <c r="R45" s="205"/>
      <c r="S45" s="280"/>
      <c r="T45" s="373"/>
    </row>
    <row r="46" spans="1:21" x14ac:dyDescent="0.25">
      <c r="A46" s="330" t="s">
        <v>2</v>
      </c>
      <c r="B46" s="388" t="s">
        <v>34</v>
      </c>
      <c r="C46" s="36" t="s">
        <v>35</v>
      </c>
      <c r="D46" s="36" t="s">
        <v>38</v>
      </c>
      <c r="E46" s="36" t="s">
        <v>42</v>
      </c>
      <c r="F46" s="388" t="s">
        <v>36</v>
      </c>
      <c r="G46" s="101" t="s">
        <v>173</v>
      </c>
      <c r="H46" s="43"/>
      <c r="I46" s="384" t="s">
        <v>35</v>
      </c>
      <c r="J46" s="384" t="s">
        <v>38</v>
      </c>
      <c r="K46" s="384" t="s">
        <v>42</v>
      </c>
      <c r="L46" s="269" t="s">
        <v>44</v>
      </c>
      <c r="M46" s="461"/>
      <c r="N46" s="1"/>
      <c r="P46" s="1"/>
      <c r="Q46" s="459"/>
      <c r="R46" s="205"/>
      <c r="S46" s="280"/>
      <c r="T46" s="373"/>
    </row>
    <row r="47" spans="1:21" x14ac:dyDescent="0.25">
      <c r="A47" s="331">
        <v>43781</v>
      </c>
      <c r="B47" s="164" t="s">
        <v>205</v>
      </c>
      <c r="C47" s="99">
        <v>1403.06</v>
      </c>
      <c r="D47" s="99">
        <v>1403.06</v>
      </c>
      <c r="E47" s="163" t="str">
        <f>IF(C47-D47=0,"",C47-D47)</f>
        <v/>
      </c>
      <c r="F47" s="165" t="str">
        <f>IF(C47=0,"",IF(C47-D47=0,"оплачено","ожидается оплата"))</f>
        <v>оплачено</v>
      </c>
      <c r="G47" s="469"/>
      <c r="H47" s="43"/>
      <c r="I47" s="390">
        <v>199.36</v>
      </c>
      <c r="J47" s="472">
        <v>199.36</v>
      </c>
      <c r="K47" s="163">
        <f t="shared" ref="K47" si="3">I47-J47</f>
        <v>0</v>
      </c>
      <c r="L47" s="3">
        <v>43819</v>
      </c>
      <c r="M47" s="451"/>
      <c r="N47" s="1"/>
      <c r="P47" s="1"/>
      <c r="Q47" s="373"/>
      <c r="R47" s="373"/>
      <c r="S47" s="373"/>
      <c r="T47" s="373"/>
    </row>
    <row r="48" spans="1:21" x14ac:dyDescent="0.25">
      <c r="A48" s="331">
        <v>43789</v>
      </c>
      <c r="B48" s="164" t="s">
        <v>205</v>
      </c>
      <c r="C48" s="99">
        <v>269.26</v>
      </c>
      <c r="D48" s="99">
        <v>269.26</v>
      </c>
      <c r="E48" s="163" t="str">
        <f t="shared" ref="E48:E63" si="4">IF(C48-D48=0,"",C48-D48)</f>
        <v/>
      </c>
      <c r="F48" s="165" t="str">
        <f>IF(C48=0,"",IF(C48-D48=0,"оплачено","ожидается оплата"))</f>
        <v>оплачено</v>
      </c>
      <c r="G48" s="469"/>
      <c r="H48" s="43"/>
      <c r="I48" s="299"/>
      <c r="J48" s="299"/>
      <c r="K48" s="462"/>
      <c r="L48" s="147"/>
      <c r="M48" s="451"/>
      <c r="N48" s="1"/>
      <c r="P48" s="1"/>
      <c r="Q48" s="373"/>
      <c r="R48" s="373"/>
      <c r="S48" s="373"/>
      <c r="T48" s="373"/>
    </row>
    <row r="49" spans="1:17" x14ac:dyDescent="0.25">
      <c r="A49" s="331">
        <v>43787</v>
      </c>
      <c r="B49" s="53" t="s">
        <v>63</v>
      </c>
      <c r="C49" s="99">
        <v>395.55</v>
      </c>
      <c r="D49" s="99">
        <v>395.55</v>
      </c>
      <c r="E49" s="163" t="str">
        <f t="shared" si="4"/>
        <v/>
      </c>
      <c r="F49" s="165" t="str">
        <f t="shared" ref="F49:F63" si="5">IF(C49=0,"",IF(C49-D49=0,"оплачено","ожидается оплата"))</f>
        <v>оплачено</v>
      </c>
      <c r="G49" s="469"/>
      <c r="H49" s="43"/>
      <c r="I49" s="1"/>
      <c r="J49" s="373"/>
      <c r="K49" s="1"/>
      <c r="L49" s="1"/>
      <c r="M49" s="44"/>
      <c r="N49" s="1"/>
      <c r="O49" s="373"/>
      <c r="P49" s="12">
        <v>681</v>
      </c>
      <c r="Q49" s="8">
        <v>25</v>
      </c>
    </row>
    <row r="50" spans="1:17" x14ac:dyDescent="0.25">
      <c r="A50" s="331">
        <v>43788</v>
      </c>
      <c r="B50" s="53" t="s">
        <v>64</v>
      </c>
      <c r="C50" s="99">
        <v>597.02</v>
      </c>
      <c r="D50" s="99">
        <v>597.02</v>
      </c>
      <c r="E50" s="163" t="str">
        <f t="shared" si="4"/>
        <v/>
      </c>
      <c r="F50" s="165" t="str">
        <f t="shared" si="5"/>
        <v>оплачено</v>
      </c>
      <c r="G50" s="469"/>
      <c r="H50" s="43"/>
      <c r="I50" s="1"/>
      <c r="J50" s="373"/>
      <c r="K50" s="1"/>
      <c r="L50" s="1"/>
      <c r="M50" s="44"/>
      <c r="N50" s="1"/>
      <c r="P50" s="12">
        <v>2980</v>
      </c>
      <c r="Q50" s="8">
        <v>251.1</v>
      </c>
    </row>
    <row r="51" spans="1:17" x14ac:dyDescent="0.25">
      <c r="A51" s="331">
        <v>43791</v>
      </c>
      <c r="B51" s="164" t="s">
        <v>155</v>
      </c>
      <c r="C51" s="99">
        <v>343.12</v>
      </c>
      <c r="D51" s="99">
        <v>343.12</v>
      </c>
      <c r="E51" s="163" t="str">
        <f t="shared" si="4"/>
        <v/>
      </c>
      <c r="F51" s="165" t="str">
        <f t="shared" si="5"/>
        <v>оплачено</v>
      </c>
      <c r="G51" s="469"/>
      <c r="H51" s="43"/>
      <c r="I51" s="1"/>
      <c r="J51" s="373"/>
      <c r="K51" s="1"/>
      <c r="L51" s="1"/>
      <c r="M51" s="44"/>
      <c r="N51" s="1"/>
      <c r="P51" s="12">
        <v>2506.5</v>
      </c>
      <c r="Q51" s="8">
        <v>50</v>
      </c>
    </row>
    <row r="52" spans="1:17" x14ac:dyDescent="0.25">
      <c r="A52" s="331">
        <v>43802</v>
      </c>
      <c r="B52" s="164" t="s">
        <v>155</v>
      </c>
      <c r="C52" s="281">
        <v>130.5</v>
      </c>
      <c r="D52" s="281">
        <v>130.5</v>
      </c>
      <c r="E52" s="163" t="str">
        <f t="shared" si="4"/>
        <v/>
      </c>
      <c r="F52" s="165" t="str">
        <f t="shared" si="5"/>
        <v>оплачено</v>
      </c>
      <c r="G52" s="469"/>
      <c r="H52" s="43"/>
      <c r="I52" s="1"/>
      <c r="J52" s="373"/>
      <c r="K52" s="1"/>
      <c r="L52" s="1"/>
      <c r="M52" s="44"/>
      <c r="N52" s="1"/>
      <c r="P52" s="148">
        <v>7147</v>
      </c>
      <c r="Q52" s="8">
        <v>142</v>
      </c>
    </row>
    <row r="53" spans="1:17" x14ac:dyDescent="0.25">
      <c r="A53" s="331">
        <v>43803</v>
      </c>
      <c r="B53" s="164" t="s">
        <v>133</v>
      </c>
      <c r="C53" s="281">
        <v>327.60000000000002</v>
      </c>
      <c r="D53" s="281">
        <v>327.60000000000002</v>
      </c>
      <c r="E53" s="163" t="str">
        <f t="shared" si="4"/>
        <v/>
      </c>
      <c r="F53" s="165" t="str">
        <f t="shared" si="5"/>
        <v>оплачено</v>
      </c>
      <c r="G53" s="469"/>
      <c r="H53" s="43"/>
      <c r="I53" s="1"/>
      <c r="J53" s="373"/>
      <c r="K53" s="1"/>
      <c r="L53" s="1"/>
      <c r="M53" s="44"/>
      <c r="N53" s="1"/>
      <c r="P53" s="148">
        <v>732</v>
      </c>
      <c r="Q53" s="8">
        <v>15</v>
      </c>
    </row>
    <row r="54" spans="1:17" x14ac:dyDescent="0.25">
      <c r="A54" s="331">
        <v>43774</v>
      </c>
      <c r="B54" s="164" t="s">
        <v>215</v>
      </c>
      <c r="C54" s="281">
        <v>1439.29</v>
      </c>
      <c r="D54" s="281">
        <v>1439.29</v>
      </c>
      <c r="E54" s="163" t="str">
        <f t="shared" si="4"/>
        <v/>
      </c>
      <c r="F54" s="165" t="str">
        <f t="shared" si="5"/>
        <v>оплачено</v>
      </c>
      <c r="G54" s="469"/>
      <c r="H54" s="43"/>
      <c r="I54" s="1"/>
      <c r="J54" s="373"/>
      <c r="K54" s="1"/>
      <c r="L54" s="1"/>
      <c r="M54" s="44"/>
      <c r="N54" s="1"/>
      <c r="P54" s="148">
        <v>4281</v>
      </c>
      <c r="Q54" s="8">
        <v>117</v>
      </c>
    </row>
    <row r="55" spans="1:17" x14ac:dyDescent="0.25">
      <c r="A55" s="331">
        <v>43815</v>
      </c>
      <c r="B55" s="164" t="s">
        <v>223</v>
      </c>
      <c r="C55" s="281">
        <v>170.14</v>
      </c>
      <c r="D55" s="281">
        <v>170.14</v>
      </c>
      <c r="E55" s="163" t="str">
        <f t="shared" si="4"/>
        <v/>
      </c>
      <c r="F55" s="165" t="str">
        <f t="shared" si="5"/>
        <v>оплачено</v>
      </c>
      <c r="G55" s="469"/>
      <c r="H55" s="43"/>
      <c r="I55" s="1"/>
      <c r="J55" s="373"/>
      <c r="K55" s="1"/>
      <c r="L55" s="1"/>
      <c r="M55" s="44"/>
      <c r="N55" s="1"/>
      <c r="P55" s="148">
        <v>487.5</v>
      </c>
      <c r="Q55" s="8">
        <v>28</v>
      </c>
    </row>
    <row r="56" spans="1:17" x14ac:dyDescent="0.25">
      <c r="A56" s="331">
        <v>43823</v>
      </c>
      <c r="B56" s="164" t="s">
        <v>205</v>
      </c>
      <c r="C56" s="281">
        <v>170.83</v>
      </c>
      <c r="D56" s="164"/>
      <c r="E56" s="163">
        <f t="shared" si="4"/>
        <v>170.83</v>
      </c>
      <c r="F56" s="165" t="str">
        <f t="shared" si="5"/>
        <v>ожидается оплата</v>
      </c>
      <c r="G56" s="469" t="s">
        <v>220</v>
      </c>
      <c r="H56" s="43"/>
      <c r="I56" s="1"/>
      <c r="J56" s="373"/>
      <c r="K56" s="1"/>
      <c r="L56" s="1"/>
      <c r="M56" s="44"/>
      <c r="N56" s="1"/>
      <c r="P56" s="148">
        <v>625.4</v>
      </c>
      <c r="Q56" s="8">
        <v>99</v>
      </c>
    </row>
    <row r="57" spans="1:17" x14ac:dyDescent="0.25">
      <c r="A57" s="331">
        <v>43810</v>
      </c>
      <c r="B57" s="164" t="s">
        <v>227</v>
      </c>
      <c r="C57" s="281">
        <v>65</v>
      </c>
      <c r="D57" s="164">
        <v>65</v>
      </c>
      <c r="E57" s="163" t="str">
        <f t="shared" si="4"/>
        <v/>
      </c>
      <c r="F57" s="165" t="str">
        <f t="shared" si="5"/>
        <v>оплачено</v>
      </c>
      <c r="G57" s="469"/>
      <c r="H57" s="43"/>
      <c r="I57" s="1"/>
      <c r="J57" s="373"/>
      <c r="K57" s="1"/>
      <c r="L57" s="1"/>
      <c r="M57" s="44"/>
      <c r="N57" s="1"/>
      <c r="P57" s="148">
        <v>207</v>
      </c>
      <c r="Q57" s="8">
        <v>100</v>
      </c>
    </row>
    <row r="58" spans="1:17" x14ac:dyDescent="0.25">
      <c r="A58" s="331">
        <v>43825</v>
      </c>
      <c r="B58" s="164" t="s">
        <v>205</v>
      </c>
      <c r="C58" s="281">
        <v>159.16999999999999</v>
      </c>
      <c r="D58" s="281">
        <v>159.16999999999999</v>
      </c>
      <c r="E58" s="163" t="str">
        <f t="shared" si="4"/>
        <v/>
      </c>
      <c r="F58" s="165" t="str">
        <f t="shared" si="5"/>
        <v>оплачено</v>
      </c>
      <c r="G58" s="469"/>
      <c r="H58" s="43"/>
      <c r="I58" s="1"/>
      <c r="J58" s="373"/>
      <c r="K58" s="1"/>
      <c r="L58" s="1"/>
      <c r="M58" s="44"/>
      <c r="N58" s="1"/>
      <c r="P58" s="148">
        <v>52</v>
      </c>
      <c r="Q58" s="8">
        <v>9</v>
      </c>
    </row>
    <row r="59" spans="1:17" x14ac:dyDescent="0.25">
      <c r="A59" s="333"/>
      <c r="B59" s="164"/>
      <c r="C59" s="164"/>
      <c r="D59" s="164"/>
      <c r="E59" s="163" t="str">
        <f t="shared" si="4"/>
        <v/>
      </c>
      <c r="F59" s="165" t="str">
        <f t="shared" si="5"/>
        <v/>
      </c>
      <c r="G59" s="469"/>
      <c r="H59" s="43"/>
      <c r="I59" s="1"/>
      <c r="J59" s="373"/>
      <c r="K59" s="1"/>
      <c r="L59" s="1"/>
      <c r="M59" s="44"/>
      <c r="N59" s="1"/>
      <c r="P59" s="148">
        <v>17</v>
      </c>
      <c r="Q59" s="8">
        <v>21</v>
      </c>
    </row>
    <row r="60" spans="1:17" x14ac:dyDescent="0.25">
      <c r="A60" s="334"/>
      <c r="B60" s="164"/>
      <c r="C60" s="164"/>
      <c r="D60" s="164"/>
      <c r="E60" s="163" t="str">
        <f t="shared" si="4"/>
        <v/>
      </c>
      <c r="F60" s="165" t="str">
        <f t="shared" si="5"/>
        <v/>
      </c>
      <c r="G60" s="469"/>
      <c r="H60" s="43"/>
      <c r="I60" s="1"/>
      <c r="J60" s="373"/>
      <c r="K60" s="1"/>
      <c r="L60" s="1"/>
      <c r="M60" s="44"/>
      <c r="N60" s="1"/>
      <c r="P60" s="534">
        <v>26.5</v>
      </c>
      <c r="Q60" s="8">
        <v>152.5</v>
      </c>
    </row>
    <row r="61" spans="1:17" x14ac:dyDescent="0.25">
      <c r="A61" s="334"/>
      <c r="B61" s="164"/>
      <c r="C61" s="164"/>
      <c r="D61" s="164"/>
      <c r="E61" s="163" t="str">
        <f t="shared" si="4"/>
        <v/>
      </c>
      <c r="F61" s="165" t="str">
        <f t="shared" si="5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534">
        <v>10</v>
      </c>
      <c r="Q61" s="195">
        <v>508.5</v>
      </c>
    </row>
    <row r="62" spans="1:17" x14ac:dyDescent="0.25">
      <c r="A62" s="333"/>
      <c r="B62" s="164"/>
      <c r="C62" s="164"/>
      <c r="D62" s="164"/>
      <c r="E62" s="163" t="str">
        <f t="shared" si="4"/>
        <v/>
      </c>
      <c r="F62" s="165" t="str">
        <f t="shared" si="5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534">
        <v>302.5</v>
      </c>
      <c r="Q62" s="8">
        <v>46</v>
      </c>
    </row>
    <row r="63" spans="1:17" ht="15.75" thickBot="1" x14ac:dyDescent="0.3">
      <c r="A63" s="335"/>
      <c r="B63" s="364"/>
      <c r="C63" s="365"/>
      <c r="D63" s="365"/>
      <c r="E63" s="163" t="str">
        <f t="shared" si="4"/>
        <v/>
      </c>
      <c r="F63" s="165" t="str">
        <f t="shared" si="5"/>
        <v/>
      </c>
      <c r="G63" s="470"/>
      <c r="H63" s="43"/>
      <c r="I63" s="1"/>
      <c r="J63" s="373"/>
      <c r="K63" s="1"/>
      <c r="L63" s="1"/>
      <c r="M63" s="44"/>
      <c r="N63" s="1"/>
      <c r="O63" s="373"/>
      <c r="P63" s="534">
        <v>230</v>
      </c>
      <c r="Q63" s="8">
        <v>29.5</v>
      </c>
    </row>
    <row r="64" spans="1:17" ht="15.75" thickTop="1" x14ac:dyDescent="0.25">
      <c r="A64" s="358"/>
      <c r="B64" s="359"/>
      <c r="C64" s="360"/>
      <c r="D64" s="360"/>
      <c r="E64" s="361"/>
      <c r="F64" s="359"/>
      <c r="G64" s="392"/>
      <c r="H64" s="697" t="s">
        <v>16</v>
      </c>
      <c r="I64" s="699" t="s">
        <v>17</v>
      </c>
      <c r="J64" s="699" t="s">
        <v>21</v>
      </c>
      <c r="K64" s="699"/>
      <c r="L64" s="701" t="s">
        <v>93</v>
      </c>
      <c r="M64" s="703" t="s">
        <v>95</v>
      </c>
      <c r="N64" s="1"/>
      <c r="O64" s="373"/>
      <c r="P64" s="535">
        <v>1023.6</v>
      </c>
      <c r="Q64" s="8">
        <v>9</v>
      </c>
    </row>
    <row r="65" spans="1:23" ht="24" x14ac:dyDescent="0.25">
      <c r="A65" s="362"/>
      <c r="B65" s="207"/>
      <c r="C65" s="207"/>
      <c r="D65" s="207"/>
      <c r="E65" s="222"/>
      <c r="F65" s="207"/>
      <c r="G65" s="207"/>
      <c r="H65" s="698"/>
      <c r="I65" s="700"/>
      <c r="J65" s="385" t="s">
        <v>21</v>
      </c>
      <c r="K65" s="385" t="s">
        <v>25</v>
      </c>
      <c r="L65" s="702"/>
      <c r="M65" s="704"/>
      <c r="N65" s="1"/>
      <c r="O65" s="373"/>
      <c r="P65" s="535">
        <v>213</v>
      </c>
      <c r="Q65" s="8">
        <v>23</v>
      </c>
    </row>
    <row r="66" spans="1:23" x14ac:dyDescent="0.25">
      <c r="A66" s="345"/>
      <c r="B66" s="205"/>
      <c r="C66" s="294"/>
      <c r="D66" s="238"/>
      <c r="E66" s="85"/>
      <c r="F66" s="205"/>
      <c r="G66" s="205"/>
      <c r="H66" s="354" t="s">
        <v>163</v>
      </c>
      <c r="I66" s="95">
        <v>2420.3999999999996</v>
      </c>
      <c r="J66" s="95"/>
      <c r="K66" s="303"/>
      <c r="L66" s="97"/>
      <c r="M66" s="105"/>
      <c r="N66" s="1"/>
      <c r="O66" s="147"/>
      <c r="P66" s="536">
        <v>135</v>
      </c>
      <c r="Q66" s="8">
        <v>4.26</v>
      </c>
    </row>
    <row r="67" spans="1:23" x14ac:dyDescent="0.25">
      <c r="A67" s="346"/>
      <c r="B67" s="205"/>
      <c r="C67" s="205"/>
      <c r="D67" s="279"/>
      <c r="E67" s="373"/>
      <c r="F67" s="85"/>
      <c r="G67" s="373"/>
      <c r="H67" s="354" t="s">
        <v>192</v>
      </c>
      <c r="I67" s="95"/>
      <c r="J67" s="95"/>
      <c r="K67" s="95"/>
      <c r="L67" s="97"/>
      <c r="M67" s="105"/>
      <c r="N67" s="1"/>
      <c r="O67" s="147"/>
      <c r="P67" s="536">
        <v>375</v>
      </c>
      <c r="Q67" s="8">
        <v>13</v>
      </c>
    </row>
    <row r="68" spans="1:23" x14ac:dyDescent="0.25">
      <c r="A68" s="346"/>
      <c r="B68" s="373"/>
      <c r="C68" s="205"/>
      <c r="D68" s="279"/>
      <c r="E68" s="373"/>
      <c r="F68" s="373"/>
      <c r="G68" s="373"/>
      <c r="H68" s="354" t="s">
        <v>199</v>
      </c>
      <c r="I68" s="304"/>
      <c r="J68" s="95"/>
      <c r="K68" s="305"/>
      <c r="L68" s="305"/>
      <c r="M68" s="105"/>
      <c r="N68" s="1"/>
      <c r="O68" s="147"/>
      <c r="P68" s="537">
        <v>108</v>
      </c>
    </row>
    <row r="69" spans="1:23" x14ac:dyDescent="0.25">
      <c r="A69" s="346"/>
      <c r="B69" s="1"/>
      <c r="C69" s="290"/>
      <c r="D69" s="279"/>
      <c r="E69" s="373"/>
      <c r="F69" s="373"/>
      <c r="G69" s="85"/>
      <c r="H69" s="354" t="s">
        <v>209</v>
      </c>
      <c r="I69" s="305"/>
      <c r="J69" s="306"/>
      <c r="K69" s="306"/>
      <c r="L69" s="305"/>
      <c r="M69" s="105"/>
      <c r="N69" s="1"/>
      <c r="O69" s="147"/>
      <c r="P69" s="537">
        <v>351.5</v>
      </c>
      <c r="Q69" s="8">
        <v>3.9</v>
      </c>
    </row>
    <row r="70" spans="1:23" x14ac:dyDescent="0.25">
      <c r="A70" s="346"/>
      <c r="B70" s="205"/>
      <c r="C70" s="1"/>
      <c r="D70" s="279"/>
      <c r="E70" s="373"/>
      <c r="F70" s="373"/>
      <c r="G70" s="373"/>
      <c r="H70" s="355" t="s">
        <v>210</v>
      </c>
      <c r="I70" s="306"/>
      <c r="J70" s="305"/>
      <c r="K70" s="306"/>
      <c r="L70" s="305"/>
      <c r="M70" s="105"/>
      <c r="N70" s="1"/>
      <c r="O70" s="147"/>
      <c r="P70" s="537">
        <v>18</v>
      </c>
    </row>
    <row r="71" spans="1:23" ht="15.75" thickBot="1" x14ac:dyDescent="0.3">
      <c r="A71" s="346"/>
      <c r="B71" s="205"/>
      <c r="C71" s="1"/>
      <c r="D71" s="279"/>
      <c r="E71" s="373"/>
      <c r="F71" s="373"/>
      <c r="G71" s="373"/>
      <c r="H71" s="395" t="s">
        <v>211</v>
      </c>
      <c r="I71" s="396"/>
      <c r="J71" s="449"/>
      <c r="K71" s="397"/>
      <c r="L71" s="450"/>
      <c r="M71" s="398"/>
      <c r="N71" s="1"/>
      <c r="O71" s="373"/>
      <c r="P71" s="534">
        <v>156</v>
      </c>
    </row>
    <row r="72" spans="1:23" ht="15.75" thickTop="1" x14ac:dyDescent="0.25">
      <c r="A72" s="346"/>
      <c r="B72" s="205"/>
      <c r="C72" s="1"/>
      <c r="D72" s="279"/>
      <c r="E72" s="85"/>
      <c r="F72" s="373"/>
      <c r="G72" s="373"/>
      <c r="H72" s="681" t="s">
        <v>36</v>
      </c>
      <c r="I72" s="683" t="s">
        <v>178</v>
      </c>
      <c r="J72" s="684"/>
      <c r="K72" s="685"/>
      <c r="L72" s="689" t="s">
        <v>159</v>
      </c>
      <c r="M72" s="690"/>
      <c r="N72" s="1"/>
      <c r="O72" s="373"/>
      <c r="P72" s="534">
        <v>8</v>
      </c>
    </row>
    <row r="73" spans="1:23" x14ac:dyDescent="0.25">
      <c r="A73" s="346"/>
      <c r="B73" s="205"/>
      <c r="C73" s="290"/>
      <c r="D73" s="279"/>
      <c r="E73" s="290"/>
      <c r="F73" s="373"/>
      <c r="G73" s="394"/>
      <c r="H73" s="682"/>
      <c r="I73" s="686"/>
      <c r="J73" s="687"/>
      <c r="K73" s="688"/>
      <c r="L73" s="691"/>
      <c r="M73" s="692"/>
      <c r="N73" s="1"/>
      <c r="O73" s="373"/>
      <c r="P73" s="534">
        <v>275.5</v>
      </c>
      <c r="Q73" s="1"/>
      <c r="R73" s="1"/>
      <c r="S73" s="1"/>
      <c r="T73" s="1"/>
      <c r="U73" s="1"/>
      <c r="V73" s="1"/>
      <c r="W73" s="1"/>
    </row>
    <row r="74" spans="1:23" x14ac:dyDescent="0.25">
      <c r="A74" s="346"/>
      <c r="B74" s="205"/>
      <c r="C74" s="205"/>
      <c r="D74" s="279"/>
      <c r="E74" s="205"/>
      <c r="F74" s="373"/>
      <c r="G74" s="394"/>
      <c r="H74" s="357" t="str">
        <f>IF(K74="","не нужно","оплачено")</f>
        <v>оплачено</v>
      </c>
      <c r="I74" s="693" t="s">
        <v>47</v>
      </c>
      <c r="J74" s="693"/>
      <c r="K74" s="479">
        <v>28.88</v>
      </c>
      <c r="L74" s="288">
        <v>43814</v>
      </c>
      <c r="M74" s="44" t="s">
        <v>200</v>
      </c>
      <c r="P74" s="534">
        <v>37</v>
      </c>
      <c r="Q74" s="1"/>
      <c r="R74" s="1"/>
      <c r="S74" s="1"/>
      <c r="T74" s="1"/>
      <c r="U74" s="1"/>
      <c r="V74" s="1"/>
      <c r="W74" s="1"/>
    </row>
    <row r="75" spans="1:23" x14ac:dyDescent="0.25">
      <c r="A75" s="346"/>
      <c r="B75" s="373"/>
      <c r="C75" s="280"/>
      <c r="D75" s="279"/>
      <c r="E75" s="280"/>
      <c r="F75" s="373"/>
      <c r="G75" s="373"/>
      <c r="H75" s="357" t="str">
        <f t="shared" ref="H75:H84" si="6">IF(K75="","не нужно","оплачено")</f>
        <v>не нужно</v>
      </c>
      <c r="I75" s="678" t="s">
        <v>51</v>
      </c>
      <c r="J75" s="678"/>
      <c r="K75" s="53"/>
      <c r="L75" s="288">
        <v>43814</v>
      </c>
      <c r="M75" s="44" t="s">
        <v>200</v>
      </c>
      <c r="P75" s="534">
        <v>300</v>
      </c>
      <c r="Q75" s="1"/>
      <c r="R75" s="1"/>
      <c r="S75" s="1"/>
      <c r="T75" s="1"/>
      <c r="U75" s="1"/>
      <c r="V75" s="1"/>
      <c r="W75" s="1"/>
    </row>
    <row r="76" spans="1:23" x14ac:dyDescent="0.25">
      <c r="A76" s="347"/>
      <c r="B76" s="373"/>
      <c r="C76" s="373"/>
      <c r="D76" s="279"/>
      <c r="E76" s="205"/>
      <c r="F76" s="373"/>
      <c r="G76" s="373"/>
      <c r="H76" s="357" t="str">
        <f t="shared" si="6"/>
        <v>оплачено</v>
      </c>
      <c r="I76" s="678" t="s">
        <v>52</v>
      </c>
      <c r="J76" s="678"/>
      <c r="K76" s="53">
        <v>0.5</v>
      </c>
      <c r="L76" s="288">
        <v>43814</v>
      </c>
      <c r="M76" s="44" t="s">
        <v>200</v>
      </c>
      <c r="P76" s="369">
        <v>3132</v>
      </c>
      <c r="Q76" s="240"/>
      <c r="R76" s="240"/>
      <c r="S76" s="1"/>
      <c r="T76" s="288"/>
      <c r="U76" s="1"/>
      <c r="V76" s="1"/>
      <c r="W76" s="1"/>
    </row>
    <row r="77" spans="1:23" x14ac:dyDescent="0.25">
      <c r="A77" s="347"/>
      <c r="B77" s="373"/>
      <c r="C77" s="373"/>
      <c r="D77" s="279"/>
      <c r="E77" s="373"/>
      <c r="F77" s="373"/>
      <c r="G77" s="373"/>
      <c r="H77" s="357" t="str">
        <f t="shared" si="6"/>
        <v>оплачено</v>
      </c>
      <c r="I77" s="678" t="s">
        <v>49</v>
      </c>
      <c r="J77" s="678"/>
      <c r="K77" s="53">
        <v>66.75</v>
      </c>
      <c r="L77" s="288">
        <v>43819</v>
      </c>
      <c r="M77" s="44" t="s">
        <v>201</v>
      </c>
      <c r="P77" s="534">
        <v>453.5</v>
      </c>
      <c r="Q77" s="240"/>
      <c r="R77" s="240"/>
      <c r="S77" s="1"/>
      <c r="T77" s="288"/>
      <c r="U77" s="1"/>
      <c r="V77" s="1"/>
      <c r="W77" s="1"/>
    </row>
    <row r="78" spans="1:23" x14ac:dyDescent="0.25">
      <c r="A78" s="347"/>
      <c r="B78" s="373"/>
      <c r="C78" s="373"/>
      <c r="D78" s="279"/>
      <c r="E78" s="373"/>
      <c r="F78" s="373"/>
      <c r="G78" s="373"/>
      <c r="H78" s="357" t="str">
        <f t="shared" si="6"/>
        <v>не нужно</v>
      </c>
      <c r="I78" s="675" t="s">
        <v>59</v>
      </c>
      <c r="J78" s="675"/>
      <c r="K78" s="480"/>
      <c r="L78" s="308" t="s">
        <v>177</v>
      </c>
      <c r="M78" s="44" t="s">
        <v>200</v>
      </c>
      <c r="P78" s="351">
        <v>434</v>
      </c>
      <c r="Q78" s="240"/>
      <c r="R78" s="240"/>
      <c r="S78" s="1"/>
      <c r="T78" s="288"/>
      <c r="U78" s="1"/>
      <c r="V78" s="1"/>
      <c r="W78" s="1"/>
    </row>
    <row r="79" spans="1:23" x14ac:dyDescent="0.25">
      <c r="A79" s="347"/>
      <c r="B79" s="205"/>
      <c r="C79" s="205"/>
      <c r="D79" s="279"/>
      <c r="E79" s="205"/>
      <c r="F79" s="373"/>
      <c r="G79" s="373"/>
      <c r="H79" s="357" t="str">
        <f t="shared" si="6"/>
        <v>оплачено</v>
      </c>
      <c r="I79" s="679" t="s">
        <v>68</v>
      </c>
      <c r="J79" s="680"/>
      <c r="K79" s="53">
        <v>7.75</v>
      </c>
      <c r="L79" s="288">
        <v>43819</v>
      </c>
      <c r="M79" s="44" t="s">
        <v>200</v>
      </c>
      <c r="P79" s="351">
        <v>179.5</v>
      </c>
      <c r="Q79" s="240"/>
      <c r="R79" s="240"/>
      <c r="S79" s="1"/>
      <c r="T79" s="288"/>
      <c r="U79" s="1"/>
      <c r="V79" s="1"/>
      <c r="W79" s="1"/>
    </row>
    <row r="80" spans="1:23" x14ac:dyDescent="0.25">
      <c r="A80" s="347"/>
      <c r="B80" s="205"/>
      <c r="C80" s="373"/>
      <c r="D80" s="279"/>
      <c r="E80" s="205"/>
      <c r="F80" s="373"/>
      <c r="G80" s="373"/>
      <c r="H80" s="357" t="str">
        <f t="shared" si="6"/>
        <v>не нужно</v>
      </c>
      <c r="I80" s="386" t="s">
        <v>174</v>
      </c>
      <c r="J80" s="387"/>
      <c r="K80" s="53"/>
      <c r="L80" s="288">
        <v>43813</v>
      </c>
      <c r="M80" s="44" t="s">
        <v>200</v>
      </c>
      <c r="P80" s="351">
        <v>92</v>
      </c>
      <c r="Q80" s="240"/>
      <c r="R80" s="240"/>
      <c r="S80" s="1"/>
      <c r="T80" s="1"/>
      <c r="U80" s="1"/>
      <c r="V80" s="1"/>
      <c r="W80" s="1"/>
    </row>
    <row r="81" spans="1:23" x14ac:dyDescent="0.25">
      <c r="A81" s="347"/>
      <c r="B81" s="205"/>
      <c r="C81" s="373"/>
      <c r="D81" s="279"/>
      <c r="E81" s="205"/>
      <c r="F81" s="373"/>
      <c r="G81" s="373"/>
      <c r="H81" s="357" t="str">
        <f t="shared" si="6"/>
        <v>оплачено</v>
      </c>
      <c r="I81" s="386" t="s">
        <v>176</v>
      </c>
      <c r="J81" s="387"/>
      <c r="K81" s="53">
        <v>286.97000000000003</v>
      </c>
      <c r="L81" s="288">
        <v>43819</v>
      </c>
      <c r="M81" s="44" t="s">
        <v>200</v>
      </c>
      <c r="P81" s="351">
        <v>95</v>
      </c>
      <c r="Q81" s="240"/>
      <c r="R81" s="240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38"/>
      <c r="F82" s="373"/>
      <c r="G82" s="373"/>
      <c r="H82" s="357" t="str">
        <f t="shared" si="6"/>
        <v>оплачено</v>
      </c>
      <c r="I82" s="679" t="s">
        <v>81</v>
      </c>
      <c r="J82" s="680"/>
      <c r="K82" s="53">
        <v>386.79</v>
      </c>
      <c r="L82" s="288" t="s">
        <v>206</v>
      </c>
      <c r="M82" s="44" t="s">
        <v>200</v>
      </c>
      <c r="P82" s="369">
        <v>872</v>
      </c>
      <c r="Q82" s="217"/>
      <c r="R82" s="217"/>
      <c r="S82" s="1"/>
      <c r="T82" s="288"/>
      <c r="U82" s="373"/>
      <c r="V82" s="1"/>
      <c r="W82" s="1"/>
    </row>
    <row r="83" spans="1:23" x14ac:dyDescent="0.25">
      <c r="A83" s="347"/>
      <c r="B83" s="205"/>
      <c r="C83" s="373"/>
      <c r="D83" s="279"/>
      <c r="E83" s="238"/>
      <c r="F83" s="373"/>
      <c r="G83" s="373"/>
      <c r="H83" s="357" t="str">
        <f t="shared" si="6"/>
        <v>оплачено</v>
      </c>
      <c r="I83" s="679" t="s">
        <v>53</v>
      </c>
      <c r="J83" s="680"/>
      <c r="K83" s="477">
        <v>10</v>
      </c>
      <c r="L83" s="288" t="s">
        <v>182</v>
      </c>
      <c r="M83" s="44"/>
      <c r="P83" s="369">
        <v>851</v>
      </c>
      <c r="Q83" s="217"/>
      <c r="R83" s="217"/>
      <c r="S83" s="1"/>
      <c r="T83" s="288"/>
      <c r="U83" s="373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57" t="str">
        <f t="shared" si="6"/>
        <v>оплачено</v>
      </c>
      <c r="I84" s="675" t="s">
        <v>61</v>
      </c>
      <c r="J84" s="675"/>
      <c r="K84" s="53">
        <v>199.36</v>
      </c>
      <c r="L84" s="288">
        <v>43819</v>
      </c>
      <c r="M84" s="44" t="s">
        <v>200</v>
      </c>
      <c r="P84" s="369">
        <v>299</v>
      </c>
      <c r="Q84" s="240"/>
      <c r="R84" s="240"/>
      <c r="S84" s="373"/>
      <c r="T84" s="288"/>
      <c r="U84" s="1"/>
      <c r="V84" s="1"/>
      <c r="W84" s="1"/>
    </row>
    <row r="85" spans="1:23" ht="15.75" thickBot="1" x14ac:dyDescent="0.3">
      <c r="A85" s="348"/>
      <c r="B85" s="337"/>
      <c r="C85" s="338"/>
      <c r="D85" s="349"/>
      <c r="E85" s="337"/>
      <c r="F85" s="338"/>
      <c r="G85" s="338"/>
      <c r="H85" s="353"/>
      <c r="I85" s="368" t="s">
        <v>179</v>
      </c>
      <c r="J85" s="368">
        <f>SUM(K74:K84)</f>
        <v>987.00000000000011</v>
      </c>
      <c r="K85" s="676" t="s">
        <v>180</v>
      </c>
      <c r="L85" s="676"/>
      <c r="M85" s="367">
        <v>0</v>
      </c>
      <c r="P85" s="369">
        <v>324</v>
      </c>
      <c r="Q85" s="217"/>
      <c r="R85" s="217"/>
      <c r="S85" s="373"/>
      <c r="T85" s="288"/>
      <c r="U85" s="1"/>
      <c r="V85" s="1"/>
      <c r="W85" s="1"/>
    </row>
    <row r="86" spans="1:23" ht="15.75" thickTop="1" x14ac:dyDescent="0.25">
      <c r="C86" s="737" t="s">
        <v>169</v>
      </c>
      <c r="D86" s="737"/>
      <c r="P86" s="369">
        <v>274</v>
      </c>
      <c r="Q86" s="217"/>
      <c r="R86" s="217"/>
      <c r="S86" s="373"/>
      <c r="T86" s="288"/>
      <c r="U86" s="1"/>
      <c r="V86" s="1"/>
      <c r="W86" s="1"/>
    </row>
    <row r="87" spans="1:23" x14ac:dyDescent="0.25">
      <c r="C87" s="465">
        <v>43802</v>
      </c>
      <c r="D87" s="35">
        <f>28.5+235.65</f>
        <v>264.14999999999998</v>
      </c>
      <c r="P87" s="369">
        <v>284</v>
      </c>
      <c r="Q87" s="1"/>
      <c r="R87" s="1"/>
      <c r="S87" s="1"/>
      <c r="T87" s="1"/>
      <c r="U87" s="1"/>
      <c r="V87" s="1"/>
      <c r="W87" s="1"/>
    </row>
    <row r="88" spans="1:23" x14ac:dyDescent="0.25">
      <c r="C88" s="465">
        <v>43803</v>
      </c>
      <c r="D88" s="35">
        <f>119+31.6</f>
        <v>150.6</v>
      </c>
      <c r="P88" s="369">
        <v>230</v>
      </c>
      <c r="Q88" s="1"/>
      <c r="R88" s="1"/>
      <c r="S88" s="1"/>
      <c r="T88" s="1"/>
      <c r="U88" s="1"/>
      <c r="V88" s="1"/>
      <c r="W88" s="1"/>
    </row>
    <row r="89" spans="1:23" x14ac:dyDescent="0.25">
      <c r="C89" s="465">
        <v>43804</v>
      </c>
      <c r="D89" s="35">
        <f>56+105.65</f>
        <v>161.65</v>
      </c>
      <c r="E89" s="87"/>
      <c r="P89" s="369">
        <v>105</v>
      </c>
      <c r="Q89" s="1"/>
      <c r="R89" s="1"/>
      <c r="S89" s="1"/>
      <c r="T89" s="1"/>
      <c r="U89" s="1"/>
      <c r="V89" s="1"/>
      <c r="W89" s="1"/>
    </row>
    <row r="90" spans="1:23" x14ac:dyDescent="0.25">
      <c r="C90" s="465">
        <v>43805</v>
      </c>
      <c r="D90" s="35">
        <v>38.5</v>
      </c>
      <c r="P90" s="369">
        <v>135</v>
      </c>
      <c r="Q90" s="1"/>
      <c r="R90" s="1"/>
      <c r="S90" s="1"/>
      <c r="T90" s="1"/>
      <c r="U90" s="1"/>
      <c r="V90" s="1"/>
      <c r="W90" s="1"/>
    </row>
    <row r="91" spans="1:23" x14ac:dyDescent="0.25">
      <c r="C91" s="465">
        <v>43806</v>
      </c>
      <c r="D91" s="35">
        <v>106</v>
      </c>
      <c r="P91" s="369">
        <v>36</v>
      </c>
      <c r="Q91" s="1"/>
      <c r="R91" s="1"/>
      <c r="S91" s="1"/>
      <c r="T91" s="1"/>
      <c r="U91" s="1"/>
      <c r="V91" s="1"/>
      <c r="W91" s="1"/>
    </row>
    <row r="92" spans="1:23" x14ac:dyDescent="0.25">
      <c r="C92" s="465">
        <v>43807</v>
      </c>
      <c r="D92" s="35">
        <v>90.5</v>
      </c>
      <c r="P92" s="369">
        <v>1045</v>
      </c>
      <c r="Q92" s="1"/>
      <c r="R92" s="1"/>
      <c r="S92" s="1"/>
      <c r="T92" s="1"/>
      <c r="U92" s="1"/>
      <c r="V92" s="1"/>
      <c r="W92" s="1"/>
    </row>
    <row r="93" spans="1:23" x14ac:dyDescent="0.25">
      <c r="C93" s="465">
        <v>43808</v>
      </c>
      <c r="P93" s="369">
        <v>295</v>
      </c>
    </row>
    <row r="94" spans="1:23" x14ac:dyDescent="0.25">
      <c r="C94" s="465">
        <v>43809</v>
      </c>
      <c r="D94" s="35">
        <v>264.60000000000002</v>
      </c>
      <c r="P94" s="369">
        <v>348</v>
      </c>
    </row>
    <row r="95" spans="1:23" x14ac:dyDescent="0.25">
      <c r="C95" s="465">
        <v>43810</v>
      </c>
      <c r="D95" s="35">
        <v>81.5</v>
      </c>
      <c r="P95" s="369">
        <v>176</v>
      </c>
    </row>
    <row r="96" spans="1:23" x14ac:dyDescent="0.25">
      <c r="C96" s="465">
        <v>43811</v>
      </c>
      <c r="D96" s="35">
        <v>107.35</v>
      </c>
      <c r="P96" s="369">
        <v>43.5</v>
      </c>
    </row>
    <row r="97" spans="3:16" x14ac:dyDescent="0.25">
      <c r="C97" s="465">
        <v>43812</v>
      </c>
      <c r="D97" s="35">
        <v>146</v>
      </c>
      <c r="P97" s="369">
        <v>18</v>
      </c>
    </row>
    <row r="98" spans="3:16" x14ac:dyDescent="0.25">
      <c r="C98" s="465">
        <v>43813</v>
      </c>
      <c r="D98" s="35">
        <v>93.5</v>
      </c>
      <c r="P98" s="8">
        <f>SUM(P49:P97)</f>
        <v>33007.5</v>
      </c>
    </row>
    <row r="99" spans="3:16" x14ac:dyDescent="0.25">
      <c r="C99" s="465">
        <v>43814</v>
      </c>
      <c r="D99" s="35">
        <v>68.3</v>
      </c>
    </row>
    <row r="100" spans="3:16" x14ac:dyDescent="0.25">
      <c r="C100" s="465">
        <v>43815</v>
      </c>
    </row>
    <row r="101" spans="3:16" x14ac:dyDescent="0.25">
      <c r="C101" s="465">
        <v>43816</v>
      </c>
      <c r="D101" s="35">
        <v>156.1</v>
      </c>
    </row>
    <row r="102" spans="3:16" x14ac:dyDescent="0.25">
      <c r="C102" s="465">
        <v>43817</v>
      </c>
      <c r="D102" s="35">
        <v>172</v>
      </c>
    </row>
    <row r="103" spans="3:16" x14ac:dyDescent="0.25">
      <c r="C103" s="465">
        <v>43818</v>
      </c>
      <c r="D103" s="35">
        <v>60.8</v>
      </c>
    </row>
    <row r="104" spans="3:16" x14ac:dyDescent="0.25">
      <c r="C104" s="465">
        <v>43819</v>
      </c>
      <c r="D104" s="35">
        <v>114.7</v>
      </c>
    </row>
    <row r="105" spans="3:16" x14ac:dyDescent="0.25">
      <c r="C105" s="465">
        <v>43820</v>
      </c>
      <c r="D105" s="35">
        <v>89.9</v>
      </c>
    </row>
    <row r="106" spans="3:16" x14ac:dyDescent="0.25">
      <c r="C106" s="465">
        <v>43821</v>
      </c>
      <c r="D106" s="35">
        <v>360.9</v>
      </c>
    </row>
    <row r="107" spans="3:16" x14ac:dyDescent="0.25">
      <c r="C107" s="465">
        <v>43822</v>
      </c>
    </row>
    <row r="108" spans="3:16" x14ac:dyDescent="0.25">
      <c r="C108" s="465">
        <v>43823</v>
      </c>
      <c r="D108" s="35">
        <v>243.7</v>
      </c>
    </row>
    <row r="109" spans="3:16" x14ac:dyDescent="0.25">
      <c r="C109" s="465">
        <v>43824</v>
      </c>
      <c r="D109" s="35">
        <v>116.1</v>
      </c>
    </row>
    <row r="110" spans="3:16" x14ac:dyDescent="0.25">
      <c r="C110" s="465">
        <v>43825</v>
      </c>
      <c r="D110" s="35">
        <v>181.5</v>
      </c>
    </row>
    <row r="111" spans="3:16" x14ac:dyDescent="0.25">
      <c r="C111" s="465">
        <v>43826</v>
      </c>
      <c r="D111" s="35">
        <v>78.2</v>
      </c>
    </row>
    <row r="112" spans="3:16" x14ac:dyDescent="0.25">
      <c r="C112" s="465">
        <v>43827</v>
      </c>
      <c r="D112" s="35">
        <v>240.65</v>
      </c>
    </row>
    <row r="113" spans="3:4" x14ac:dyDescent="0.25">
      <c r="C113" s="465">
        <v>43828</v>
      </c>
      <c r="D113" s="35">
        <v>35.5</v>
      </c>
    </row>
    <row r="114" spans="3:4" x14ac:dyDescent="0.25">
      <c r="C114" s="465">
        <v>43829</v>
      </c>
      <c r="D114" s="35">
        <v>79.3</v>
      </c>
    </row>
    <row r="115" spans="3:4" x14ac:dyDescent="0.25">
      <c r="C115" s="465">
        <v>43830</v>
      </c>
    </row>
    <row r="116" spans="3:4" x14ac:dyDescent="0.25">
      <c r="D116" s="8">
        <f>SUM(D87:D115)</f>
        <v>3501.9999999999995</v>
      </c>
    </row>
  </sheetData>
  <mergeCells count="47">
    <mergeCell ref="O1:P1"/>
    <mergeCell ref="H20:H21"/>
    <mergeCell ref="I20:I21"/>
    <mergeCell ref="J20:K20"/>
    <mergeCell ref="L20:L21"/>
    <mergeCell ref="M20:M21"/>
    <mergeCell ref="H2:I2"/>
    <mergeCell ref="H1:M1"/>
    <mergeCell ref="H3:I3"/>
    <mergeCell ref="H4:I4"/>
    <mergeCell ref="C86:D86"/>
    <mergeCell ref="A1:G1"/>
    <mergeCell ref="H28:H29"/>
    <mergeCell ref="I28:K29"/>
    <mergeCell ref="L28:M29"/>
    <mergeCell ref="I30:J30"/>
    <mergeCell ref="I31:J31"/>
    <mergeCell ref="H64:H65"/>
    <mergeCell ref="I64:I65"/>
    <mergeCell ref="J64:K64"/>
    <mergeCell ref="I74:J74"/>
    <mergeCell ref="I75:J75"/>
    <mergeCell ref="K85:L85"/>
    <mergeCell ref="I84:J84"/>
    <mergeCell ref="I76:J76"/>
    <mergeCell ref="L64:L65"/>
    <mergeCell ref="M64:M65"/>
    <mergeCell ref="H45:M45"/>
    <mergeCell ref="I77:J77"/>
    <mergeCell ref="I78:J78"/>
    <mergeCell ref="I79:J79"/>
    <mergeCell ref="I82:J82"/>
    <mergeCell ref="I83:J83"/>
    <mergeCell ref="H72:H73"/>
    <mergeCell ref="I72:K73"/>
    <mergeCell ref="L72:M73"/>
    <mergeCell ref="K41:L41"/>
    <mergeCell ref="I32:J32"/>
    <mergeCell ref="I33:J33"/>
    <mergeCell ref="I34:J34"/>
    <mergeCell ref="A45:G45"/>
    <mergeCell ref="I35:J35"/>
    <mergeCell ref="I38:J38"/>
    <mergeCell ref="I39:J39"/>
    <mergeCell ref="I40:J40"/>
    <mergeCell ref="B43:K44"/>
    <mergeCell ref="H42:K42"/>
  </mergeCells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70" zoomScalePageLayoutView="70" workbookViewId="0">
      <pane xSplit="1" ySplit="1" topLeftCell="B29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3" width="21.42578125" style="35" customWidth="1"/>
    <col min="4" max="4" width="8.28515625" style="35" customWidth="1"/>
    <col min="5" max="5" width="6.7109375" style="35" customWidth="1"/>
    <col min="6" max="6" width="12.28515625" style="35" customWidth="1"/>
    <col min="7" max="7" width="12.42578125" style="35" customWidth="1"/>
    <col min="8" max="11" width="10.85546875" style="35" customWidth="1"/>
    <col min="12" max="12" width="9.140625" style="35" customWidth="1"/>
    <col min="13" max="14" width="9.140625" style="35"/>
    <col min="15" max="15" width="10" style="35" customWidth="1"/>
    <col min="16" max="16384" width="9.140625" style="35"/>
  </cols>
  <sheetData>
    <row r="1" spans="1:15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15"/>
      <c r="J1" s="489"/>
      <c r="K1" s="490"/>
      <c r="L1" s="490"/>
      <c r="M1" s="490"/>
      <c r="N1" s="490"/>
      <c r="O1" s="490"/>
    </row>
    <row r="2" spans="1:15" ht="11.1" customHeight="1" x14ac:dyDescent="0.25">
      <c r="B2" s="16">
        <f>IF(C2="","",WEEKDAY(C2,2))</f>
        <v>7</v>
      </c>
      <c r="C2" s="17">
        <v>43800</v>
      </c>
      <c r="D2" s="22"/>
      <c r="E2" s="22">
        <f>187.62+202.85</f>
        <v>390.47</v>
      </c>
      <c r="F2" s="232">
        <v>181.84</v>
      </c>
      <c r="G2" s="232"/>
      <c r="H2" s="86">
        <f>423.5+453.2</f>
        <v>876.7</v>
      </c>
      <c r="I2" s="114"/>
      <c r="J2" s="489"/>
      <c r="K2" s="491"/>
      <c r="L2" s="491"/>
      <c r="M2" s="490"/>
      <c r="N2" s="490"/>
      <c r="O2" s="490"/>
    </row>
    <row r="3" spans="1:15" ht="11.1" customHeight="1" x14ac:dyDescent="0.25">
      <c r="B3" s="16">
        <f t="shared" ref="B3:B32" si="0">IF(C3="","",WEEKDAY(C3,2))</f>
        <v>1</v>
      </c>
      <c r="C3" s="17">
        <v>43801</v>
      </c>
      <c r="D3" s="22"/>
      <c r="E3" s="22">
        <v>798.8</v>
      </c>
      <c r="F3" s="232">
        <v>152.6</v>
      </c>
      <c r="G3" s="232"/>
      <c r="H3" s="232"/>
      <c r="I3" s="311"/>
      <c r="J3" s="492"/>
      <c r="K3" s="491"/>
      <c r="L3" s="491"/>
      <c r="M3" s="490"/>
      <c r="N3" s="490"/>
      <c r="O3" s="490"/>
    </row>
    <row r="4" spans="1:15" ht="11.1" customHeight="1" x14ac:dyDescent="0.25">
      <c r="B4" s="16">
        <f t="shared" si="0"/>
        <v>2</v>
      </c>
      <c r="C4" s="17">
        <v>43802</v>
      </c>
      <c r="D4" s="22">
        <v>574</v>
      </c>
      <c r="E4" s="22"/>
      <c r="F4" s="232"/>
      <c r="G4" s="232">
        <v>18.5</v>
      </c>
      <c r="H4" s="232"/>
      <c r="I4" s="311"/>
      <c r="J4" s="489"/>
      <c r="K4" s="491"/>
      <c r="L4" s="491"/>
      <c r="M4" s="490"/>
      <c r="N4" s="490"/>
      <c r="O4" s="490"/>
    </row>
    <row r="5" spans="1:15" ht="11.1" customHeight="1" x14ac:dyDescent="0.25">
      <c r="B5" s="16">
        <f t="shared" si="0"/>
        <v>3</v>
      </c>
      <c r="C5" s="17">
        <v>43803</v>
      </c>
      <c r="D5" s="22">
        <v>1175</v>
      </c>
      <c r="E5" s="22"/>
      <c r="F5" s="232"/>
      <c r="G5" s="232">
        <v>201.7</v>
      </c>
      <c r="H5" s="86"/>
      <c r="I5" s="114"/>
      <c r="J5" s="489"/>
      <c r="K5" s="491"/>
      <c r="L5" s="491"/>
      <c r="M5" s="490"/>
      <c r="N5" s="490"/>
      <c r="O5" s="490"/>
    </row>
    <row r="6" spans="1:15" ht="11.1" customHeight="1" x14ac:dyDescent="0.25">
      <c r="B6" s="16">
        <f t="shared" si="0"/>
        <v>4</v>
      </c>
      <c r="C6" s="17">
        <v>43804</v>
      </c>
      <c r="D6" s="22"/>
      <c r="E6" s="22">
        <v>663.2</v>
      </c>
      <c r="F6" s="232"/>
      <c r="G6" s="232">
        <v>83</v>
      </c>
      <c r="H6" s="86"/>
      <c r="I6" s="114"/>
      <c r="J6" s="489"/>
      <c r="K6" s="491"/>
      <c r="L6" s="491"/>
      <c r="M6" s="490"/>
      <c r="N6" s="490"/>
      <c r="O6" s="490"/>
    </row>
    <row r="7" spans="1:15" ht="11.1" customHeight="1" x14ac:dyDescent="0.25">
      <c r="B7" s="16">
        <f t="shared" si="0"/>
        <v>5</v>
      </c>
      <c r="C7" s="17">
        <v>43805</v>
      </c>
      <c r="D7" s="22"/>
      <c r="E7" s="22">
        <v>943.1</v>
      </c>
      <c r="F7" s="232">
        <v>105.65</v>
      </c>
      <c r="G7" s="232"/>
      <c r="H7" s="86"/>
      <c r="I7" s="114"/>
      <c r="J7" s="489"/>
      <c r="K7" s="491"/>
      <c r="L7" s="491"/>
      <c r="M7" s="490"/>
      <c r="N7" s="490"/>
      <c r="O7" s="490"/>
    </row>
    <row r="8" spans="1:15" ht="11.1" customHeight="1" x14ac:dyDescent="0.25">
      <c r="B8" s="16">
        <f t="shared" si="0"/>
        <v>6</v>
      </c>
      <c r="C8" s="17">
        <v>43806</v>
      </c>
      <c r="D8" s="22">
        <v>1016.9</v>
      </c>
      <c r="E8" s="22"/>
      <c r="F8" s="232">
        <v>74</v>
      </c>
      <c r="G8" s="232">
        <v>78.5</v>
      </c>
      <c r="H8" s="86" t="s">
        <v>235</v>
      </c>
      <c r="I8" s="114">
        <f>G8+F8</f>
        <v>152.5</v>
      </c>
      <c r="J8" s="493" t="s">
        <v>230</v>
      </c>
      <c r="K8" s="491"/>
      <c r="L8" s="491" t="s">
        <v>231</v>
      </c>
      <c r="M8" s="490" t="s">
        <v>232</v>
      </c>
      <c r="N8" s="490"/>
      <c r="O8" s="490"/>
    </row>
    <row r="9" spans="1:15" ht="11.1" customHeight="1" x14ac:dyDescent="0.25">
      <c r="B9" s="16">
        <f>IF(C9="","",WEEKDAY(C9,2))</f>
        <v>7</v>
      </c>
      <c r="C9" s="17">
        <v>43807</v>
      </c>
      <c r="D9" s="22">
        <v>843.9</v>
      </c>
      <c r="E9" s="22"/>
      <c r="F9" s="232"/>
      <c r="G9" s="232">
        <v>163.69999999999999</v>
      </c>
      <c r="H9" s="18"/>
      <c r="I9" s="76"/>
      <c r="J9" s="494"/>
      <c r="K9" s="491"/>
      <c r="L9" s="491"/>
      <c r="M9" s="490"/>
      <c r="N9" s="490"/>
      <c r="O9" s="490"/>
    </row>
    <row r="10" spans="1:15" ht="11.1" customHeight="1" x14ac:dyDescent="0.25">
      <c r="B10" s="16">
        <f t="shared" si="0"/>
        <v>1</v>
      </c>
      <c r="C10" s="17">
        <v>43808</v>
      </c>
      <c r="D10" s="22"/>
      <c r="E10" s="22">
        <v>950.6</v>
      </c>
      <c r="F10" s="232">
        <v>0</v>
      </c>
      <c r="G10" s="232">
        <v>49</v>
      </c>
      <c r="H10" s="448" t="s">
        <v>236</v>
      </c>
      <c r="I10" s="487"/>
      <c r="J10" s="495" t="s">
        <v>233</v>
      </c>
      <c r="K10" s="491" t="s">
        <v>234</v>
      </c>
      <c r="L10" s="491"/>
      <c r="M10" s="490"/>
      <c r="N10" s="490"/>
      <c r="O10" s="490"/>
    </row>
    <row r="11" spans="1:15" ht="11.1" customHeight="1" x14ac:dyDescent="0.25">
      <c r="B11" s="16">
        <f t="shared" si="0"/>
        <v>2</v>
      </c>
      <c r="C11" s="17">
        <v>43809</v>
      </c>
      <c r="D11" s="22"/>
      <c r="E11" s="22">
        <v>644.9</v>
      </c>
      <c r="F11" s="232"/>
      <c r="G11" s="232">
        <v>210.6</v>
      </c>
      <c r="H11" s="232"/>
      <c r="I11" s="311"/>
      <c r="J11" s="492"/>
      <c r="K11" s="491"/>
      <c r="L11" s="491"/>
      <c r="M11" s="490"/>
      <c r="N11" s="490"/>
      <c r="O11" s="490"/>
    </row>
    <row r="12" spans="1:15" ht="11.1" customHeight="1" x14ac:dyDescent="0.25">
      <c r="B12" s="16">
        <f t="shared" si="0"/>
        <v>3</v>
      </c>
      <c r="C12" s="17">
        <v>43810</v>
      </c>
      <c r="D12" s="22">
        <v>403.35</v>
      </c>
      <c r="E12" s="22"/>
      <c r="F12" s="232">
        <v>286</v>
      </c>
      <c r="G12" s="232"/>
      <c r="H12" s="232"/>
      <c r="I12" s="311"/>
      <c r="J12" s="496"/>
      <c r="K12" s="491"/>
      <c r="L12" s="491"/>
      <c r="M12" s="490"/>
      <c r="N12" s="490"/>
      <c r="O12" s="490"/>
    </row>
    <row r="13" spans="1:15" ht="11.1" customHeight="1" x14ac:dyDescent="0.25">
      <c r="B13" s="16">
        <f t="shared" si="0"/>
        <v>4</v>
      </c>
      <c r="C13" s="17">
        <v>43811</v>
      </c>
      <c r="D13" s="22">
        <v>686.1</v>
      </c>
      <c r="E13" s="22"/>
      <c r="F13" s="232">
        <v>169.8</v>
      </c>
      <c r="G13" s="232"/>
      <c r="H13" s="232"/>
      <c r="I13" s="311"/>
      <c r="J13" s="497"/>
      <c r="K13" s="491"/>
      <c r="L13" s="491"/>
      <c r="M13" s="490"/>
      <c r="N13" s="490"/>
      <c r="O13" s="490"/>
    </row>
    <row r="14" spans="1:15" ht="11.1" customHeight="1" x14ac:dyDescent="0.25">
      <c r="B14" s="16">
        <f t="shared" si="0"/>
        <v>5</v>
      </c>
      <c r="C14" s="17">
        <v>43812</v>
      </c>
      <c r="D14" s="22"/>
      <c r="E14" s="22">
        <v>1005.9</v>
      </c>
      <c r="F14" s="232"/>
      <c r="G14" s="232">
        <v>287.64999999999998</v>
      </c>
      <c r="H14" s="232"/>
      <c r="I14" s="311"/>
      <c r="J14" s="497"/>
      <c r="K14" s="491"/>
      <c r="L14" s="491"/>
      <c r="M14" s="490"/>
      <c r="N14" s="490"/>
      <c r="O14" s="490"/>
    </row>
    <row r="15" spans="1:15" ht="11.25" customHeight="1" x14ac:dyDescent="0.25">
      <c r="A15" s="87"/>
      <c r="B15" s="16">
        <f t="shared" si="0"/>
        <v>6</v>
      </c>
      <c r="C15" s="17">
        <v>43813</v>
      </c>
      <c r="D15" s="22" t="s">
        <v>237</v>
      </c>
      <c r="E15" s="22">
        <v>1173.45</v>
      </c>
      <c r="F15" s="232"/>
      <c r="G15" s="232">
        <v>241.9</v>
      </c>
      <c r="H15" s="14"/>
      <c r="I15" s="117"/>
      <c r="J15" s="491"/>
      <c r="K15" s="491"/>
      <c r="L15" s="491"/>
      <c r="M15" s="490"/>
      <c r="N15" s="490"/>
      <c r="O15" s="490"/>
    </row>
    <row r="16" spans="1:15" ht="12.75" customHeight="1" x14ac:dyDescent="0.25">
      <c r="B16" s="16">
        <f t="shared" si="0"/>
        <v>7</v>
      </c>
      <c r="C16" s="17">
        <v>43814</v>
      </c>
      <c r="D16" s="22">
        <v>1053.2</v>
      </c>
      <c r="E16" s="22"/>
      <c r="F16" s="232"/>
      <c r="G16" s="232">
        <v>477.7</v>
      </c>
      <c r="H16" s="14"/>
      <c r="I16" s="117"/>
      <c r="J16" s="491"/>
      <c r="K16" s="491"/>
      <c r="L16" s="491"/>
      <c r="M16" s="490"/>
      <c r="N16" s="490"/>
      <c r="O16" s="490"/>
    </row>
    <row r="17" spans="1:19" ht="11.1" customHeight="1" x14ac:dyDescent="0.25">
      <c r="B17" s="16">
        <f t="shared" si="0"/>
        <v>1</v>
      </c>
      <c r="C17" s="17">
        <v>43815</v>
      </c>
      <c r="D17" s="22">
        <f>1178.2+5</f>
        <v>1183.2</v>
      </c>
      <c r="E17" s="22"/>
      <c r="F17" s="232">
        <v>192.7</v>
      </c>
      <c r="G17" s="232"/>
      <c r="H17" s="14"/>
      <c r="I17" s="117"/>
      <c r="J17" s="491"/>
      <c r="K17" s="491"/>
      <c r="L17" s="491"/>
      <c r="M17" s="490"/>
      <c r="N17" s="490"/>
      <c r="O17" s="490"/>
    </row>
    <row r="18" spans="1:19" ht="11.1" customHeight="1" x14ac:dyDescent="0.25">
      <c r="B18" s="16">
        <f t="shared" si="0"/>
        <v>2</v>
      </c>
      <c r="C18" s="17">
        <v>43816</v>
      </c>
      <c r="D18" s="22"/>
      <c r="E18" s="22">
        <v>1052.57</v>
      </c>
      <c r="F18" s="232">
        <v>333.5</v>
      </c>
      <c r="G18" s="232"/>
      <c r="H18" s="14"/>
      <c r="I18" s="117"/>
      <c r="J18" s="491"/>
      <c r="K18" s="491"/>
      <c r="L18" s="491"/>
      <c r="M18" s="490"/>
      <c r="N18" s="490"/>
      <c r="O18" s="490"/>
    </row>
    <row r="19" spans="1:19" ht="11.1" customHeight="1" x14ac:dyDescent="0.25">
      <c r="B19" s="16">
        <f t="shared" si="0"/>
        <v>3</v>
      </c>
      <c r="C19" s="17">
        <v>43817</v>
      </c>
      <c r="D19" s="22"/>
      <c r="E19" s="22">
        <v>789.1</v>
      </c>
      <c r="F19" s="232"/>
      <c r="G19" s="232">
        <v>139.4</v>
      </c>
      <c r="H19" s="14"/>
      <c r="I19" s="117"/>
      <c r="J19" s="491"/>
      <c r="K19" s="491"/>
      <c r="L19" s="491"/>
      <c r="M19" s="490"/>
      <c r="N19" s="490"/>
      <c r="O19" s="490"/>
    </row>
    <row r="20" spans="1:19" s="87" customFormat="1" ht="11.1" customHeight="1" x14ac:dyDescent="0.25">
      <c r="A20" s="485" t="s">
        <v>225</v>
      </c>
      <c r="B20" s="481">
        <f t="shared" si="0"/>
        <v>4</v>
      </c>
      <c r="C20" s="482">
        <v>43818</v>
      </c>
      <c r="D20" s="23">
        <v>1490.25</v>
      </c>
      <c r="E20" s="22"/>
      <c r="F20" s="232"/>
      <c r="G20" s="232">
        <v>332</v>
      </c>
      <c r="H20" s="22"/>
      <c r="I20" s="488"/>
      <c r="J20" s="497"/>
      <c r="K20" s="497"/>
      <c r="L20" s="497"/>
      <c r="M20" s="492"/>
      <c r="N20" s="492"/>
      <c r="O20" s="492"/>
    </row>
    <row r="21" spans="1:19" ht="11.1" customHeight="1" x14ac:dyDescent="0.25">
      <c r="A21" s="87"/>
      <c r="B21" s="483">
        <f t="shared" si="0"/>
        <v>5</v>
      </c>
      <c r="C21" s="484">
        <v>43819</v>
      </c>
      <c r="D21" s="22">
        <v>1045.3</v>
      </c>
      <c r="E21" s="22"/>
      <c r="F21" s="232"/>
      <c r="G21" s="232">
        <v>249.5</v>
      </c>
      <c r="H21" s="14"/>
      <c r="I21" s="117"/>
      <c r="J21" s="491"/>
      <c r="K21" s="490"/>
      <c r="L21" s="491"/>
      <c r="M21" s="490"/>
      <c r="N21" s="490"/>
      <c r="O21" s="490"/>
    </row>
    <row r="22" spans="1:19" ht="11.1" customHeight="1" x14ac:dyDescent="0.25">
      <c r="A22" s="87"/>
      <c r="B22" s="483">
        <f>IF(C22="","",WEEKDAY(C22,2))</f>
        <v>6</v>
      </c>
      <c r="C22" s="484">
        <v>43820</v>
      </c>
      <c r="D22" s="22"/>
      <c r="E22" s="22">
        <v>927.6</v>
      </c>
      <c r="F22" s="232">
        <v>507.1</v>
      </c>
      <c r="G22" s="473"/>
      <c r="H22" s="14"/>
      <c r="I22" s="117"/>
      <c r="J22" s="491"/>
      <c r="K22" s="491"/>
      <c r="L22" s="491"/>
      <c r="M22" s="490"/>
      <c r="N22" s="490"/>
      <c r="O22" s="490"/>
    </row>
    <row r="23" spans="1:19" ht="11.1" customHeight="1" x14ac:dyDescent="0.25">
      <c r="A23" s="87"/>
      <c r="B23" s="483">
        <f t="shared" si="0"/>
        <v>7</v>
      </c>
      <c r="C23" s="484">
        <v>43821</v>
      </c>
      <c r="D23" s="22"/>
      <c r="E23" s="22">
        <v>1124.3</v>
      </c>
      <c r="F23" s="232">
        <v>262.60000000000002</v>
      </c>
      <c r="G23" s="232"/>
      <c r="H23" s="5"/>
      <c r="I23" s="12"/>
      <c r="J23" s="491"/>
      <c r="K23" s="491"/>
      <c r="L23" s="491"/>
      <c r="M23" s="490"/>
      <c r="N23" s="490"/>
      <c r="O23" s="490"/>
    </row>
    <row r="24" spans="1:19" ht="10.5" customHeight="1" x14ac:dyDescent="0.25">
      <c r="A24" s="87"/>
      <c r="B24" s="483">
        <f t="shared" si="0"/>
        <v>1</v>
      </c>
      <c r="C24" s="484">
        <v>43822</v>
      </c>
      <c r="D24" s="22">
        <v>597.4</v>
      </c>
      <c r="E24" s="22"/>
      <c r="F24" s="232">
        <v>122.6</v>
      </c>
      <c r="G24" s="232"/>
      <c r="H24" s="14"/>
      <c r="I24" s="117"/>
      <c r="J24" s="490"/>
      <c r="K24" s="498"/>
      <c r="L24" s="491"/>
      <c r="M24" s="490"/>
      <c r="N24" s="490"/>
      <c r="O24" s="490"/>
    </row>
    <row r="25" spans="1:19" ht="11.1" customHeight="1" x14ac:dyDescent="0.25">
      <c r="A25" s="87"/>
      <c r="B25" s="483">
        <f t="shared" si="0"/>
        <v>2</v>
      </c>
      <c r="C25" s="484">
        <v>43823</v>
      </c>
      <c r="D25" s="22">
        <f>481.2+367.85+5.5</f>
        <v>854.55</v>
      </c>
      <c r="E25" s="22"/>
      <c r="F25" s="232"/>
      <c r="G25" s="232">
        <v>231.3</v>
      </c>
      <c r="H25" s="14"/>
      <c r="I25" s="117"/>
      <c r="J25" s="491"/>
      <c r="K25" s="491"/>
      <c r="L25" s="491"/>
      <c r="M25" s="490"/>
      <c r="N25" s="490"/>
      <c r="O25" s="499"/>
    </row>
    <row r="26" spans="1:19" ht="11.1" customHeight="1" x14ac:dyDescent="0.25">
      <c r="A26" s="87"/>
      <c r="B26" s="483">
        <f t="shared" si="0"/>
        <v>3</v>
      </c>
      <c r="C26" s="484">
        <v>43824</v>
      </c>
      <c r="D26" s="22"/>
      <c r="E26" s="22">
        <v>1863.2</v>
      </c>
      <c r="F26" s="232"/>
      <c r="G26" s="313">
        <v>457.1</v>
      </c>
      <c r="H26" s="14"/>
      <c r="I26" s="117"/>
      <c r="J26" s="491"/>
      <c r="K26" s="491"/>
      <c r="L26" s="491"/>
      <c r="M26" s="490"/>
      <c r="N26" s="490"/>
      <c r="O26" s="499"/>
    </row>
    <row r="27" spans="1:19" ht="11.1" customHeight="1" x14ac:dyDescent="0.25">
      <c r="A27" s="87"/>
      <c r="B27" s="483">
        <f t="shared" si="0"/>
        <v>4</v>
      </c>
      <c r="C27" s="484">
        <v>43825</v>
      </c>
      <c r="D27" s="22"/>
      <c r="E27" s="22">
        <v>887</v>
      </c>
      <c r="F27" s="232">
        <v>479.8</v>
      </c>
      <c r="G27" s="384"/>
      <c r="H27" s="232"/>
      <c r="I27" s="311"/>
      <c r="J27" s="491"/>
      <c r="K27" s="496"/>
      <c r="L27" s="496"/>
      <c r="M27" s="500"/>
      <c r="N27" s="500"/>
      <c r="O27" s="500"/>
      <c r="P27" s="373"/>
      <c r="Q27" s="373"/>
      <c r="R27" s="373"/>
      <c r="S27" s="373"/>
    </row>
    <row r="28" spans="1:19" s="87" customFormat="1" ht="10.5" customHeight="1" x14ac:dyDescent="0.25">
      <c r="A28" s="519" t="s">
        <v>225</v>
      </c>
      <c r="B28" s="483">
        <f t="shared" si="0"/>
        <v>5</v>
      </c>
      <c r="C28" s="484">
        <v>43826</v>
      </c>
      <c r="D28" s="22">
        <v>1666.05</v>
      </c>
      <c r="E28" s="22"/>
      <c r="F28" s="232">
        <v>268.64</v>
      </c>
      <c r="G28" s="53"/>
      <c r="H28" s="232"/>
      <c r="I28" s="311"/>
      <c r="J28" s="497"/>
      <c r="K28" s="496"/>
      <c r="L28" s="496"/>
      <c r="M28" s="500"/>
      <c r="N28" s="500"/>
      <c r="O28" s="500"/>
      <c r="P28" s="373"/>
      <c r="Q28" s="373"/>
      <c r="R28" s="373"/>
      <c r="S28" s="373"/>
    </row>
    <row r="29" spans="1:19" s="87" customFormat="1" ht="11.1" customHeight="1" x14ac:dyDescent="0.25">
      <c r="B29" s="483">
        <f t="shared" si="0"/>
        <v>6</v>
      </c>
      <c r="C29" s="484">
        <v>43827</v>
      </c>
      <c r="D29" s="22">
        <v>1458.6</v>
      </c>
      <c r="E29" s="22"/>
      <c r="F29" s="232"/>
      <c r="G29" s="232">
        <v>255.6</v>
      </c>
      <c r="H29" s="232"/>
      <c r="I29" s="311"/>
      <c r="J29" s="497"/>
      <c r="K29" s="496"/>
      <c r="L29" s="496"/>
      <c r="M29" s="500"/>
      <c r="N29" s="500"/>
      <c r="O29" s="500"/>
      <c r="P29" s="373"/>
      <c r="Q29" s="373"/>
      <c r="R29" s="373"/>
      <c r="S29" s="373"/>
    </row>
    <row r="30" spans="1:19" s="87" customFormat="1" ht="11.1" customHeight="1" x14ac:dyDescent="0.25">
      <c r="B30" s="483">
        <f t="shared" si="0"/>
        <v>7</v>
      </c>
      <c r="C30" s="484">
        <v>43828</v>
      </c>
      <c r="D30" s="22"/>
      <c r="E30" s="22">
        <v>1030.5</v>
      </c>
      <c r="F30" s="232"/>
      <c r="G30" s="232">
        <v>181.5</v>
      </c>
      <c r="H30" s="232"/>
      <c r="I30" s="311"/>
      <c r="J30" s="497"/>
      <c r="K30" s="496"/>
      <c r="L30" s="496"/>
      <c r="M30" s="496"/>
      <c r="N30" s="500"/>
      <c r="O30" s="500"/>
      <c r="P30" s="373"/>
      <c r="Q30" s="373"/>
      <c r="R30" s="373"/>
      <c r="S30" s="373"/>
    </row>
    <row r="31" spans="1:19" s="87" customFormat="1" ht="11.1" customHeight="1" x14ac:dyDescent="0.25">
      <c r="A31" s="519" t="s">
        <v>225</v>
      </c>
      <c r="B31" s="483">
        <f t="shared" si="0"/>
        <v>1</v>
      </c>
      <c r="C31" s="484">
        <v>43829</v>
      </c>
      <c r="D31" s="22"/>
      <c r="E31" s="22">
        <v>1501.3</v>
      </c>
      <c r="F31" s="232"/>
      <c r="G31" s="232">
        <v>417.8</v>
      </c>
      <c r="H31" s="22"/>
      <c r="I31" s="488"/>
      <c r="J31" s="497"/>
      <c r="K31" s="501"/>
      <c r="L31" s="501"/>
      <c r="M31" s="501"/>
      <c r="N31" s="501"/>
      <c r="O31" s="501"/>
      <c r="P31" s="373"/>
      <c r="Q31" s="373"/>
      <c r="R31" s="373"/>
      <c r="S31" s="373"/>
    </row>
    <row r="32" spans="1:19" s="87" customFormat="1" ht="12" customHeight="1" x14ac:dyDescent="0.25">
      <c r="A32" s="519" t="s">
        <v>225</v>
      </c>
      <c r="B32" s="483">
        <f t="shared" si="0"/>
        <v>2</v>
      </c>
      <c r="C32" s="484">
        <v>43830</v>
      </c>
      <c r="D32" s="243">
        <v>984.2</v>
      </c>
      <c r="E32" s="243"/>
      <c r="F32" s="232"/>
      <c r="G32" s="232"/>
      <c r="H32" s="53">
        <v>416.41</v>
      </c>
      <c r="I32" s="373"/>
      <c r="J32" s="497"/>
      <c r="K32" s="501"/>
      <c r="L32" s="501"/>
      <c r="M32" s="501"/>
      <c r="N32" s="501"/>
      <c r="O32" s="501"/>
      <c r="P32" s="373"/>
      <c r="Q32" s="373"/>
      <c r="R32" s="373"/>
      <c r="S32" s="373"/>
    </row>
    <row r="33" spans="1:19" ht="12" customHeight="1" thickBot="1" x14ac:dyDescent="0.3">
      <c r="B33" s="21"/>
      <c r="C33" s="86" t="s">
        <v>229</v>
      </c>
      <c r="D33" s="86">
        <v>15</v>
      </c>
      <c r="E33" s="86">
        <f>COUNT(E2:E32)</f>
        <v>16</v>
      </c>
      <c r="F33" s="86">
        <f>COUNT(F2:F32)</f>
        <v>14</v>
      </c>
      <c r="G33" s="86">
        <f>COUNT(G2:G32)</f>
        <v>18</v>
      </c>
      <c r="J33" s="491"/>
      <c r="K33" s="501"/>
      <c r="L33" s="501"/>
      <c r="M33" s="501"/>
      <c r="N33" s="501"/>
      <c r="O33" s="501"/>
      <c r="P33" s="373"/>
      <c r="Q33" s="373"/>
      <c r="R33" s="373"/>
      <c r="S33" s="373"/>
    </row>
    <row r="34" spans="1:19" ht="12" customHeight="1" thickBot="1" x14ac:dyDescent="0.3">
      <c r="B34" s="21"/>
      <c r="C34" s="86" t="s">
        <v>228</v>
      </c>
      <c r="D34" s="86">
        <v>3</v>
      </c>
      <c r="E34" s="86">
        <v>1</v>
      </c>
      <c r="F34" s="86"/>
      <c r="G34" s="86">
        <v>1</v>
      </c>
      <c r="H34" s="1"/>
      <c r="I34" s="1"/>
      <c r="J34" s="12"/>
      <c r="K34" s="370"/>
      <c r="L34" s="110" t="s">
        <v>189</v>
      </c>
      <c r="M34" s="298" t="s">
        <v>190</v>
      </c>
      <c r="N34" s="474" t="s">
        <v>221</v>
      </c>
      <c r="O34" s="370"/>
      <c r="P34" s="373"/>
      <c r="Q34" s="373"/>
      <c r="R34" s="373"/>
      <c r="S34" s="373"/>
    </row>
    <row r="35" spans="1:19" ht="12" customHeight="1" thickBot="1" x14ac:dyDescent="0.3">
      <c r="B35" s="21"/>
      <c r="C35" s="514" t="s">
        <v>143</v>
      </c>
      <c r="D35" s="515"/>
      <c r="E35" s="515"/>
      <c r="F35" s="515">
        <v>2</v>
      </c>
      <c r="G35" s="515">
        <v>2</v>
      </c>
      <c r="H35" s="1"/>
      <c r="I35" s="1"/>
      <c r="J35" s="12"/>
      <c r="K35" s="370"/>
      <c r="L35" s="110"/>
      <c r="M35" s="298"/>
      <c r="N35" s="474"/>
      <c r="O35" s="370"/>
      <c r="P35" s="373"/>
      <c r="Q35" s="373"/>
      <c r="R35" s="373"/>
      <c r="S35" s="373"/>
    </row>
    <row r="36" spans="1:19" ht="12" customHeight="1" thickBot="1" x14ac:dyDescent="0.3">
      <c r="B36" s="21"/>
      <c r="C36" s="749" t="s">
        <v>240</v>
      </c>
      <c r="D36" s="750"/>
      <c r="E36" s="750"/>
      <c r="F36" s="750"/>
      <c r="G36" s="751"/>
      <c r="H36" s="1"/>
      <c r="I36" s="1"/>
      <c r="J36" s="12"/>
      <c r="K36" s="370"/>
      <c r="L36" s="110"/>
      <c r="M36" s="298"/>
      <c r="N36" s="474"/>
      <c r="O36" s="370"/>
      <c r="P36" s="373"/>
      <c r="Q36" s="373"/>
      <c r="R36" s="373"/>
      <c r="S36" s="373"/>
    </row>
    <row r="37" spans="1:19" ht="12" customHeight="1" thickBot="1" x14ac:dyDescent="0.3">
      <c r="B37" s="21"/>
      <c r="C37" s="752" t="s">
        <v>241</v>
      </c>
      <c r="D37" s="753"/>
      <c r="E37" s="753"/>
      <c r="F37" s="753"/>
      <c r="G37" s="754"/>
      <c r="H37" s="1"/>
      <c r="I37" s="1"/>
      <c r="J37" s="12"/>
      <c r="K37" s="370"/>
      <c r="L37" s="110"/>
      <c r="M37" s="298"/>
      <c r="N37" s="474"/>
      <c r="O37" s="370"/>
      <c r="P37" s="373"/>
      <c r="Q37" s="373"/>
      <c r="R37" s="373"/>
      <c r="S37" s="373"/>
    </row>
    <row r="38" spans="1:19" ht="12" customHeight="1" thickBot="1" x14ac:dyDescent="0.3">
      <c r="B38" s="21"/>
      <c r="C38" s="746" t="s">
        <v>239</v>
      </c>
      <c r="D38" s="747"/>
      <c r="E38" s="747"/>
      <c r="F38" s="747"/>
      <c r="G38" s="748"/>
      <c r="H38" s="1"/>
      <c r="I38" s="1">
        <f>3%*G31</f>
        <v>12.534000000000001</v>
      </c>
      <c r="J38" s="12"/>
      <c r="K38" s="370"/>
      <c r="L38" s="110"/>
      <c r="M38" s="298"/>
      <c r="N38" s="474"/>
      <c r="O38" s="370"/>
      <c r="P38" s="373"/>
      <c r="Q38" s="373"/>
      <c r="R38" s="373"/>
      <c r="S38" s="373"/>
    </row>
    <row r="39" spans="1:19" ht="12" customHeight="1" thickBot="1" x14ac:dyDescent="0.3">
      <c r="B39" s="21"/>
      <c r="C39" s="86" t="s">
        <v>13</v>
      </c>
      <c r="D39" s="244">
        <f>SUM(D2:D32)</f>
        <v>15031.999999999998</v>
      </c>
      <c r="E39" s="244">
        <f>SUM(E2:E32)</f>
        <v>15745.989999999998</v>
      </c>
      <c r="F39" s="244">
        <f>SUM(F2:F32)</f>
        <v>3136.83</v>
      </c>
      <c r="G39" s="244">
        <f>SUM(G2:G32)</f>
        <v>4076.4500000000007</v>
      </c>
      <c r="H39" s="12"/>
      <c r="I39" s="12"/>
      <c r="J39" s="12"/>
      <c r="K39" s="370"/>
      <c r="L39" s="502">
        <f>SUM(D2:E32)+H2</f>
        <v>31654.69</v>
      </c>
      <c r="M39" s="298">
        <f>SUM(F2:G31)+H32</f>
        <v>7629.6900000000023</v>
      </c>
      <c r="N39" s="475">
        <v>3146.55</v>
      </c>
      <c r="O39" s="370"/>
      <c r="P39" s="373"/>
      <c r="Q39" s="373"/>
      <c r="R39" s="373"/>
      <c r="S39" s="373"/>
    </row>
    <row r="40" spans="1:19" ht="12" customHeight="1" x14ac:dyDescent="0.25">
      <c r="B40" s="21"/>
      <c r="C40" s="86" t="s">
        <v>22</v>
      </c>
      <c r="D40" s="244">
        <v>10298.4</v>
      </c>
      <c r="E40" s="244">
        <v>12604.77</v>
      </c>
      <c r="F40" s="244">
        <f>SUM(F3:F33)</f>
        <v>2968.99</v>
      </c>
      <c r="G40" s="244">
        <v>3577.15</v>
      </c>
      <c r="H40" s="8"/>
      <c r="I40" s="8">
        <f>26.36+12.53+G42+G43+G45-G47</f>
        <v>171.19</v>
      </c>
      <c r="J40" s="8"/>
      <c r="K40" s="370"/>
      <c r="L40" s="370"/>
      <c r="M40" s="370"/>
      <c r="N40" s="370"/>
      <c r="O40" s="370"/>
      <c r="P40" s="373"/>
      <c r="Q40" s="373"/>
      <c r="R40" s="373"/>
      <c r="S40" s="373"/>
    </row>
    <row r="41" spans="1:19" ht="12.95" customHeight="1" x14ac:dyDescent="0.25">
      <c r="B41" s="31"/>
      <c r="C41" s="86" t="s">
        <v>5</v>
      </c>
      <c r="D41" s="89">
        <f>D39-D40</f>
        <v>4733.5999999999985</v>
      </c>
      <c r="E41" s="89">
        <f>E39-E40</f>
        <v>3141.2199999999975</v>
      </c>
      <c r="F41" s="89">
        <f>ABS(F39-F40)</f>
        <v>167.84000000000015</v>
      </c>
      <c r="G41" s="89">
        <f>ABS(G39-G40)</f>
        <v>499.30000000000064</v>
      </c>
      <c r="K41" s="370"/>
      <c r="L41" s="370"/>
      <c r="M41" s="370"/>
      <c r="N41" s="370"/>
      <c r="O41" s="370"/>
      <c r="P41" s="373"/>
      <c r="Q41" s="373"/>
      <c r="R41" s="373"/>
      <c r="S41" s="373"/>
    </row>
    <row r="42" spans="1:19" ht="12.95" customHeight="1" x14ac:dyDescent="0.25">
      <c r="B42" s="21"/>
      <c r="C42" s="86" t="s">
        <v>242</v>
      </c>
      <c r="D42" s="90">
        <f>ROUND(D41*1%,2)</f>
        <v>47.34</v>
      </c>
      <c r="E42" s="90">
        <f>ROUND(E41*1%,2)</f>
        <v>31.41</v>
      </c>
      <c r="F42" s="90">
        <f t="shared" ref="F42:G42" si="1">ROUND(F41*1%,2)</f>
        <v>1.68</v>
      </c>
      <c r="G42" s="516">
        <f t="shared" si="1"/>
        <v>4.99</v>
      </c>
      <c r="I42" s="8"/>
      <c r="J42" s="8"/>
      <c r="K42" s="147"/>
      <c r="L42" s="373"/>
      <c r="M42" s="373"/>
      <c r="N42" s="373"/>
      <c r="O42" s="373"/>
      <c r="P42" s="373"/>
      <c r="Q42" s="373"/>
      <c r="R42" s="373"/>
      <c r="S42" s="373"/>
    </row>
    <row r="43" spans="1:19" ht="12.95" customHeight="1" x14ac:dyDescent="0.25">
      <c r="B43" s="21"/>
      <c r="C43" s="86" t="s">
        <v>243</v>
      </c>
      <c r="D43" s="90">
        <f>ROUND(3%*D40,2)</f>
        <v>308.95</v>
      </c>
      <c r="E43" s="90">
        <f>ROUND(3%*E40,2)</f>
        <v>378.14</v>
      </c>
      <c r="F43" s="90">
        <f t="shared" ref="F43:G43" si="2">ROUND(3%*F40,2)</f>
        <v>89.07</v>
      </c>
      <c r="G43" s="516">
        <f t="shared" si="2"/>
        <v>107.31</v>
      </c>
      <c r="I43" s="8"/>
      <c r="J43" s="503"/>
      <c r="K43" s="147"/>
      <c r="L43" s="373"/>
      <c r="M43" s="373"/>
      <c r="N43" s="373"/>
      <c r="O43" s="373"/>
      <c r="P43" s="373"/>
      <c r="Q43" s="373"/>
      <c r="R43" s="373"/>
      <c r="S43" s="373"/>
    </row>
    <row r="44" spans="1:19" ht="12.95" customHeight="1" x14ac:dyDescent="0.25">
      <c r="B44" s="21"/>
      <c r="C44" s="86" t="s">
        <v>7</v>
      </c>
      <c r="D44" s="88">
        <v>150</v>
      </c>
      <c r="E44" s="88">
        <v>50</v>
      </c>
      <c r="F44" s="88"/>
      <c r="G44" s="517"/>
      <c r="J44" s="8"/>
      <c r="K44" s="147"/>
      <c r="L44" s="129"/>
      <c r="M44" s="148"/>
      <c r="N44" s="148"/>
      <c r="O44" s="373"/>
      <c r="P44" s="373"/>
      <c r="Q44" s="373"/>
      <c r="R44" s="373"/>
      <c r="S44" s="373"/>
    </row>
    <row r="45" spans="1:19" ht="12.95" customHeight="1" x14ac:dyDescent="0.25">
      <c r="B45" s="21"/>
      <c r="C45" s="86" t="s">
        <v>238</v>
      </c>
      <c r="D45" s="88">
        <f>ROUND((20*(14))+(3%*D20)+(3%*D28)+(3%*D32)+30,2)</f>
        <v>434.22</v>
      </c>
      <c r="E45" s="88">
        <f>ROUND((20*(E33))+(3%*E31),2)</f>
        <v>365.04</v>
      </c>
      <c r="F45" s="89">
        <f>ROUND((20*(F33-F35)+((5.5*20)/11)+((2*20)/11)),2)</f>
        <v>253.64</v>
      </c>
      <c r="G45" s="518">
        <f>16*20</f>
        <v>320</v>
      </c>
      <c r="J45" s="8"/>
      <c r="K45" s="147"/>
      <c r="L45" s="148"/>
      <c r="M45" s="373"/>
      <c r="N45" s="373"/>
      <c r="O45" s="373"/>
      <c r="P45" s="373"/>
      <c r="Q45" s="373"/>
      <c r="R45" s="373"/>
      <c r="S45" s="373"/>
    </row>
    <row r="46" spans="1:19" ht="12.95" customHeight="1" x14ac:dyDescent="0.25">
      <c r="A46" s="8"/>
      <c r="B46" s="31"/>
      <c r="C46" s="245" t="s">
        <v>94</v>
      </c>
      <c r="D46" s="246">
        <v>298.10000000000002</v>
      </c>
      <c r="E46" s="247">
        <v>160.36000000000001</v>
      </c>
      <c r="F46" s="88"/>
      <c r="G46" s="88"/>
      <c r="H46" s="8"/>
      <c r="I46" s="8"/>
      <c r="J46" s="8"/>
      <c r="K46" s="147"/>
      <c r="L46" s="289"/>
      <c r="M46" s="373"/>
      <c r="N46" s="373"/>
      <c r="O46" s="373"/>
      <c r="P46" s="148"/>
      <c r="Q46" s="373"/>
      <c r="R46" s="373"/>
      <c r="S46" s="373"/>
    </row>
    <row r="47" spans="1:19" ht="12.95" customHeight="1" x14ac:dyDescent="0.25">
      <c r="A47" s="8"/>
      <c r="B47" s="31"/>
      <c r="C47" s="248" t="s">
        <v>26</v>
      </c>
      <c r="D47" s="249"/>
      <c r="E47" s="246">
        <v>140</v>
      </c>
      <c r="F47" s="88"/>
      <c r="G47" s="88">
        <v>300</v>
      </c>
      <c r="H47" s="8"/>
      <c r="I47" s="8"/>
      <c r="J47" s="8"/>
      <c r="K47" s="147"/>
      <c r="L47" s="373"/>
      <c r="M47" s="373"/>
      <c r="N47" s="373"/>
      <c r="O47" s="373"/>
      <c r="P47" s="148"/>
      <c r="Q47" s="373"/>
      <c r="R47" s="373"/>
      <c r="S47" s="373"/>
    </row>
    <row r="48" spans="1:19" ht="12.95" customHeight="1" x14ac:dyDescent="0.25">
      <c r="B48" s="32"/>
      <c r="C48" s="251" t="s">
        <v>77</v>
      </c>
      <c r="D48" s="478">
        <f>D42+D43+D44+D45-D46</f>
        <v>642.41</v>
      </c>
      <c r="E48" s="252">
        <f>E42+E43+E44+E45-(E46+E47)</f>
        <v>524.23</v>
      </c>
      <c r="F48" s="478">
        <f>F42+F43+F44+F45</f>
        <v>344.39</v>
      </c>
      <c r="G48" s="252">
        <f>G42+G43+G45+16.36+12.53+10-G47</f>
        <v>171.19</v>
      </c>
      <c r="H48" s="213"/>
      <c r="I48" s="213"/>
      <c r="J48" s="8"/>
      <c r="K48" s="147"/>
      <c r="L48" s="373"/>
      <c r="M48" s="373"/>
      <c r="N48" s="373"/>
      <c r="O48" s="373"/>
      <c r="P48" s="373"/>
      <c r="Q48" s="373"/>
      <c r="R48" s="373"/>
      <c r="S48" s="373"/>
    </row>
    <row r="49" spans="1:19" ht="12.95" customHeight="1" x14ac:dyDescent="0.25">
      <c r="B49" s="54"/>
      <c r="C49" s="292" t="s">
        <v>45</v>
      </c>
      <c r="D49" s="293">
        <f>D48+D46</f>
        <v>940.51</v>
      </c>
      <c r="E49" s="293">
        <f>(ROUND(E48,0))+E46+E47</f>
        <v>824.36</v>
      </c>
      <c r="F49" s="293">
        <f t="shared" ref="F49:G49" si="3">(ROUND(F48,0))+F46+F47</f>
        <v>344</v>
      </c>
      <c r="G49" s="293">
        <f t="shared" si="3"/>
        <v>471</v>
      </c>
      <c r="H49" s="213"/>
      <c r="I49" s="213"/>
      <c r="J49" s="8"/>
      <c r="K49" s="148"/>
      <c r="L49" s="129"/>
      <c r="M49" s="373"/>
      <c r="N49" s="373"/>
      <c r="O49" s="373"/>
      <c r="P49" s="373"/>
      <c r="Q49" s="373"/>
      <c r="R49" s="373"/>
      <c r="S49" s="373"/>
    </row>
    <row r="50" spans="1:19" ht="12" customHeight="1" x14ac:dyDescent="0.25">
      <c r="C50" s="172"/>
      <c r="D50" s="371"/>
      <c r="E50" s="486"/>
      <c r="H50" s="8"/>
      <c r="I50" s="8"/>
      <c r="J50" s="8"/>
      <c r="K50" s="73"/>
      <c r="L50" s="73"/>
      <c r="M50" s="373"/>
      <c r="N50" s="373"/>
      <c r="O50" s="373"/>
      <c r="P50" s="373"/>
      <c r="Q50" s="373"/>
      <c r="R50" s="373"/>
      <c r="S50" s="373"/>
    </row>
    <row r="51" spans="1:19" ht="12" customHeight="1" x14ac:dyDescent="0.25">
      <c r="A51" s="1"/>
      <c r="B51" s="1"/>
      <c r="C51" s="1"/>
      <c r="D51" s="12"/>
      <c r="E51" s="76"/>
      <c r="F51" s="8"/>
      <c r="G51" s="8"/>
      <c r="H51" s="213"/>
      <c r="I51" s="213"/>
      <c r="K51" s="73"/>
      <c r="L51" s="73"/>
      <c r="M51" s="373"/>
      <c r="N51" s="373"/>
      <c r="O51" s="373"/>
      <c r="P51" s="373"/>
      <c r="Q51" s="373"/>
      <c r="R51" s="373"/>
      <c r="S51" s="373"/>
    </row>
    <row r="52" spans="1:19" x14ac:dyDescent="0.25">
      <c r="A52" s="1"/>
      <c r="B52" s="1"/>
      <c r="C52" s="1"/>
      <c r="D52" s="1"/>
      <c r="E52" s="11"/>
      <c r="H52" s="213"/>
      <c r="I52" s="213"/>
      <c r="K52" s="373"/>
      <c r="L52" s="69"/>
      <c r="M52" s="373"/>
      <c r="N52" s="373"/>
      <c r="O52" s="373"/>
      <c r="P52" s="373"/>
      <c r="Q52" s="373"/>
      <c r="R52" s="373"/>
      <c r="S52" s="373"/>
    </row>
    <row r="53" spans="1:19" x14ac:dyDescent="0.25">
      <c r="A53" s="1"/>
      <c r="B53" s="1"/>
      <c r="C53" s="1"/>
      <c r="D53" s="1"/>
      <c r="E53" s="11"/>
      <c r="K53" s="73"/>
      <c r="L53" s="69"/>
      <c r="M53" s="373"/>
      <c r="N53" s="373"/>
      <c r="O53" s="373"/>
      <c r="P53" s="373"/>
      <c r="Q53" s="373"/>
      <c r="R53" s="373"/>
      <c r="S53" s="373"/>
    </row>
    <row r="54" spans="1:19" x14ac:dyDescent="0.25">
      <c r="A54" s="1"/>
      <c r="B54" s="1"/>
      <c r="C54" s="745" t="s">
        <v>226</v>
      </c>
      <c r="D54" s="745"/>
      <c r="E54" s="745"/>
      <c r="F54" s="745"/>
      <c r="G54" s="745"/>
      <c r="H54" s="745"/>
      <c r="I54" s="745"/>
      <c r="J54" s="745"/>
      <c r="K54" s="745"/>
      <c r="L54" s="745"/>
      <c r="M54" s="745"/>
      <c r="N54" s="745"/>
      <c r="O54" s="373"/>
      <c r="P54" s="373"/>
      <c r="Q54" s="373"/>
      <c r="R54" s="373"/>
      <c r="S54" s="373"/>
    </row>
    <row r="55" spans="1:19" x14ac:dyDescent="0.25">
      <c r="A55" s="1"/>
      <c r="B55" s="1"/>
      <c r="C55" s="745"/>
      <c r="D55" s="745"/>
      <c r="E55" s="745"/>
      <c r="F55" s="745"/>
      <c r="G55" s="745"/>
      <c r="H55" s="745"/>
      <c r="I55" s="745"/>
      <c r="J55" s="745"/>
      <c r="K55" s="745"/>
      <c r="L55" s="745"/>
      <c r="M55" s="745"/>
      <c r="N55" s="745"/>
      <c r="O55" s="373"/>
      <c r="P55" s="373"/>
      <c r="Q55" s="373"/>
      <c r="R55" s="373"/>
      <c r="S55" s="373"/>
    </row>
    <row r="56" spans="1:19" x14ac:dyDescent="0.25">
      <c r="A56" s="1"/>
      <c r="B56" s="1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373"/>
      <c r="P56" s="373"/>
      <c r="Q56" s="373"/>
      <c r="R56" s="373"/>
      <c r="S56" s="373"/>
    </row>
    <row r="57" spans="1:19" x14ac:dyDescent="0.25">
      <c r="A57" s="1"/>
      <c r="B57" s="1"/>
      <c r="C57" s="1"/>
      <c r="D57" s="1"/>
      <c r="E57" s="11"/>
      <c r="K57" s="73"/>
      <c r="L57" s="146"/>
      <c r="M57" s="373"/>
      <c r="N57" s="373"/>
      <c r="O57" s="373"/>
      <c r="P57" s="373"/>
      <c r="Q57" s="373"/>
      <c r="R57" s="373"/>
      <c r="S57" s="373"/>
    </row>
    <row r="58" spans="1:19" x14ac:dyDescent="0.25">
      <c r="A58" s="1"/>
      <c r="B58" s="1"/>
      <c r="C58" s="1"/>
      <c r="D58" s="1"/>
      <c r="E58" s="11"/>
      <c r="K58" s="373"/>
      <c r="L58" s="373"/>
      <c r="M58" s="373"/>
      <c r="N58" s="373"/>
      <c r="O58" s="373"/>
      <c r="P58" s="373"/>
      <c r="Q58" s="373"/>
      <c r="R58" s="373"/>
      <c r="S58" s="373"/>
    </row>
    <row r="59" spans="1:19" x14ac:dyDescent="0.25">
      <c r="A59" s="1"/>
      <c r="B59" s="1"/>
      <c r="C59" s="1"/>
      <c r="D59" s="1"/>
      <c r="E59" s="11"/>
      <c r="K59" s="373"/>
      <c r="L59" s="373"/>
      <c r="M59" s="373"/>
      <c r="N59" s="373"/>
      <c r="O59" s="373"/>
      <c r="P59" s="373"/>
      <c r="Q59" s="373"/>
      <c r="R59" s="373"/>
      <c r="S59" s="373"/>
    </row>
    <row r="60" spans="1:19" x14ac:dyDescent="0.25">
      <c r="A60" s="1"/>
      <c r="B60" s="1"/>
      <c r="C60" s="1"/>
      <c r="D60" s="1"/>
      <c r="E60" s="11"/>
      <c r="K60" s="373"/>
      <c r="L60" s="373"/>
      <c r="M60" s="373"/>
      <c r="N60" s="373"/>
      <c r="O60" s="373"/>
      <c r="P60" s="373"/>
      <c r="Q60" s="373"/>
      <c r="R60" s="373"/>
      <c r="S60" s="373"/>
    </row>
    <row r="61" spans="1:19" x14ac:dyDescent="0.25">
      <c r="A61" s="1"/>
      <c r="B61" s="1"/>
      <c r="C61" s="1"/>
      <c r="D61" s="1"/>
      <c r="E61" s="11"/>
    </row>
    <row r="62" spans="1:19" x14ac:dyDescent="0.25">
      <c r="A62" s="1"/>
      <c r="B62" s="1"/>
      <c r="C62" s="1"/>
      <c r="D62" s="1"/>
      <c r="E62" s="11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11"/>
    </row>
    <row r="90" spans="1:5" x14ac:dyDescent="0.25">
      <c r="A90" s="1"/>
      <c r="B90" s="1"/>
      <c r="C90" s="1"/>
      <c r="D90" s="1"/>
      <c r="E90" s="11"/>
    </row>
    <row r="91" spans="1:5" x14ac:dyDescent="0.25">
      <c r="A91" s="1"/>
      <c r="B91" s="1"/>
      <c r="C91" s="1"/>
      <c r="D91" s="1"/>
      <c r="E91" s="11"/>
    </row>
    <row r="92" spans="1:5" x14ac:dyDescent="0.25">
      <c r="A92" s="1"/>
      <c r="B92" s="1"/>
      <c r="C92" s="1"/>
      <c r="D92" s="1"/>
      <c r="E92" s="11"/>
    </row>
    <row r="93" spans="1:5" x14ac:dyDescent="0.25">
      <c r="B93" s="1"/>
      <c r="C93" s="1"/>
      <c r="D93" s="1"/>
      <c r="E93" s="2"/>
    </row>
    <row r="94" spans="1:5" x14ac:dyDescent="0.25">
      <c r="B94" s="1"/>
      <c r="C94" s="1"/>
      <c r="D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</sheetData>
  <mergeCells count="4">
    <mergeCell ref="C54:N56"/>
    <mergeCell ref="C38:G38"/>
    <mergeCell ref="C36:G36"/>
    <mergeCell ref="C37:G37"/>
  </mergeCells>
  <conditionalFormatting sqref="F32:G32 D26:F28 B2:G2 D22:F22 D3:G21 D23:G25 B3:C32 D29:G3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zoomScale="70" zoomScaleNormal="7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2" t="s">
        <v>28</v>
      </c>
      <c r="B1" s="695"/>
      <c r="C1" s="695"/>
      <c r="D1" s="695"/>
      <c r="E1" s="695"/>
      <c r="F1" s="695"/>
      <c r="G1" s="696"/>
      <c r="H1" s="741" t="s">
        <v>245</v>
      </c>
      <c r="I1" s="742"/>
      <c r="J1" s="742"/>
      <c r="K1" s="742"/>
      <c r="L1" s="742"/>
      <c r="M1" s="743"/>
      <c r="N1" s="509"/>
      <c r="O1" s="722" t="s">
        <v>60</v>
      </c>
      <c r="P1" s="722"/>
    </row>
    <row r="2" spans="1:20" ht="21.75" customHeight="1" x14ac:dyDescent="0.25">
      <c r="A2" s="330" t="s">
        <v>2</v>
      </c>
      <c r="B2" s="508" t="s">
        <v>34</v>
      </c>
      <c r="C2" s="36" t="s">
        <v>35</v>
      </c>
      <c r="D2" s="36" t="s">
        <v>38</v>
      </c>
      <c r="E2" s="36" t="s">
        <v>42</v>
      </c>
      <c r="F2" s="508" t="s">
        <v>36</v>
      </c>
      <c r="G2" s="101" t="s">
        <v>173</v>
      </c>
      <c r="H2" s="739"/>
      <c r="I2" s="740"/>
      <c r="J2" s="504" t="s">
        <v>35</v>
      </c>
      <c r="K2" s="504" t="s">
        <v>38</v>
      </c>
      <c r="L2" s="50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43835</v>
      </c>
      <c r="B3" s="164" t="s">
        <v>244</v>
      </c>
      <c r="C3" s="99">
        <v>679.7</v>
      </c>
      <c r="D3" s="99">
        <v>679.7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4" t="s">
        <v>39</v>
      </c>
      <c r="I3" s="713"/>
      <c r="J3" s="510">
        <v>2039.02</v>
      </c>
      <c r="K3" s="510">
        <f>1000+1039.02</f>
        <v>2039.02</v>
      </c>
      <c r="L3" s="163">
        <f t="shared" ref="L3" si="0">J3-K3</f>
        <v>0</v>
      </c>
      <c r="M3" s="102">
        <v>43850</v>
      </c>
      <c r="N3" s="147"/>
      <c r="O3" s="274"/>
      <c r="P3" s="53" t="s">
        <v>219</v>
      </c>
      <c r="Q3" s="53"/>
      <c r="R3" s="53">
        <f>S3-Q3</f>
        <v>558</v>
      </c>
      <c r="S3" s="164">
        <v>558</v>
      </c>
      <c r="T3" s="373"/>
    </row>
    <row r="4" spans="1:20" s="87" customFormat="1" ht="16.5" customHeight="1" x14ac:dyDescent="0.25">
      <c r="A4" s="331">
        <v>43839</v>
      </c>
      <c r="B4" s="164" t="s">
        <v>205</v>
      </c>
      <c r="C4" s="99">
        <v>139.15</v>
      </c>
      <c r="D4" s="99">
        <v>139.15</v>
      </c>
      <c r="E4" s="163" t="str">
        <f t="shared" ref="E4:E11" si="1">IF(C4-D4=0,"",C4-D4)</f>
        <v/>
      </c>
      <c r="F4" s="165" t="str">
        <f t="shared" ref="F4:F11" si="2">IF(C4=0,"",IF(C4-D4=0,"оплачено","ожидается оплата"))</f>
        <v>оплачено</v>
      </c>
      <c r="G4" s="469"/>
      <c r="H4" s="761" t="s">
        <v>40</v>
      </c>
      <c r="I4" s="762"/>
      <c r="J4" s="531">
        <v>918.57</v>
      </c>
      <c r="K4" s="531">
        <v>918.57</v>
      </c>
      <c r="L4" s="530">
        <f>J4-K4</f>
        <v>0</v>
      </c>
      <c r="M4" s="532">
        <v>43857</v>
      </c>
      <c r="N4" s="147"/>
      <c r="O4" s="274"/>
      <c r="P4" s="526" t="s">
        <v>219</v>
      </c>
      <c r="Q4" s="526"/>
      <c r="R4" s="526">
        <f>S4-Q4</f>
        <v>1559</v>
      </c>
      <c r="S4" s="526">
        <v>1559</v>
      </c>
    </row>
    <row r="5" spans="1:20" s="87" customFormat="1" x14ac:dyDescent="0.25">
      <c r="A5" s="331">
        <v>43839</v>
      </c>
      <c r="B5" s="164" t="s">
        <v>248</v>
      </c>
      <c r="C5" s="99">
        <v>189</v>
      </c>
      <c r="D5" s="99">
        <v>189</v>
      </c>
      <c r="E5" s="163" t="str">
        <f t="shared" si="1"/>
        <v/>
      </c>
      <c r="F5" s="165" t="str">
        <f t="shared" si="2"/>
        <v>оплачено</v>
      </c>
      <c r="G5" s="469"/>
      <c r="H5" s="347"/>
      <c r="I5" s="373"/>
      <c r="J5" s="373">
        <f>SUM(J3:J4)</f>
        <v>2957.59</v>
      </c>
      <c r="K5" s="373"/>
      <c r="L5" s="85"/>
      <c r="M5" s="320"/>
      <c r="N5" s="373"/>
      <c r="O5" s="274"/>
      <c r="P5" s="526"/>
      <c r="Q5" s="526"/>
      <c r="R5" s="526"/>
      <c r="S5" s="526"/>
    </row>
    <row r="6" spans="1:20" s="87" customFormat="1" x14ac:dyDescent="0.25">
      <c r="A6" s="331">
        <v>43838</v>
      </c>
      <c r="B6" s="164" t="s">
        <v>213</v>
      </c>
      <c r="C6" s="99">
        <v>239.4</v>
      </c>
      <c r="D6" s="99">
        <v>239.4</v>
      </c>
      <c r="E6" s="163" t="str">
        <f t="shared" si="1"/>
        <v/>
      </c>
      <c r="F6" s="165" t="str">
        <f t="shared" si="2"/>
        <v>оплачено</v>
      </c>
      <c r="G6" s="469"/>
      <c r="H6" s="347"/>
      <c r="I6" s="373"/>
      <c r="J6" s="373"/>
      <c r="K6" s="373"/>
      <c r="L6" s="373"/>
      <c r="M6" s="320"/>
      <c r="N6" s="373"/>
      <c r="O6" s="274"/>
      <c r="P6" s="526"/>
      <c r="Q6" s="526"/>
      <c r="R6" s="526"/>
      <c r="S6" s="526"/>
    </row>
    <row r="7" spans="1:20" s="87" customFormat="1" x14ac:dyDescent="0.25">
      <c r="A7" s="331">
        <v>43844</v>
      </c>
      <c r="B7" s="164" t="s">
        <v>251</v>
      </c>
      <c r="C7" s="281">
        <v>529.29999999999995</v>
      </c>
      <c r="D7" s="281">
        <v>529.29999999999995</v>
      </c>
      <c r="E7" s="163" t="str">
        <f t="shared" si="1"/>
        <v/>
      </c>
      <c r="F7" s="165" t="str">
        <f t="shared" si="2"/>
        <v>оплачено</v>
      </c>
      <c r="G7" s="469"/>
      <c r="H7" s="347"/>
      <c r="I7" s="373"/>
      <c r="J7" s="373"/>
      <c r="K7" s="373"/>
      <c r="L7" s="373"/>
      <c r="M7" s="320"/>
      <c r="N7" s="373"/>
      <c r="O7" s="274"/>
      <c r="P7" s="526"/>
      <c r="Q7" s="526"/>
      <c r="R7" s="526"/>
      <c r="S7" s="526"/>
    </row>
    <row r="8" spans="1:20" s="87" customFormat="1" ht="15" customHeight="1" x14ac:dyDescent="0.25">
      <c r="A8" s="331">
        <v>43847</v>
      </c>
      <c r="B8" s="164" t="s">
        <v>205</v>
      </c>
      <c r="C8" s="281">
        <v>267.52999999999997</v>
      </c>
      <c r="D8" s="281">
        <v>267.52999999999997</v>
      </c>
      <c r="E8" s="163" t="str">
        <f t="shared" si="1"/>
        <v/>
      </c>
      <c r="F8" s="165" t="str">
        <f t="shared" si="2"/>
        <v>оплачено</v>
      </c>
      <c r="G8" s="469"/>
      <c r="H8" s="347"/>
      <c r="I8" s="373"/>
      <c r="J8" s="373"/>
      <c r="K8" s="373"/>
      <c r="L8" s="373"/>
      <c r="M8" s="320"/>
      <c r="N8" s="525"/>
      <c r="O8" s="274"/>
      <c r="P8" s="526"/>
      <c r="Q8" s="526"/>
      <c r="R8" s="526"/>
      <c r="S8" s="526"/>
    </row>
    <row r="9" spans="1:20" ht="18.75" customHeight="1" x14ac:dyDescent="0.25">
      <c r="A9" s="331">
        <v>43844</v>
      </c>
      <c r="B9" s="164" t="s">
        <v>29</v>
      </c>
      <c r="C9" s="281">
        <v>152.30000000000001</v>
      </c>
      <c r="D9" s="281">
        <v>152.30000000000001</v>
      </c>
      <c r="E9" s="163" t="str">
        <f t="shared" si="1"/>
        <v/>
      </c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512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43844</v>
      </c>
      <c r="B10" s="164" t="s">
        <v>252</v>
      </c>
      <c r="C10" s="281">
        <v>164.25</v>
      </c>
      <c r="D10" s="281">
        <v>164.25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512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43845</v>
      </c>
      <c r="B11" s="164" t="s">
        <v>212</v>
      </c>
      <c r="C11" s="281">
        <v>43.2</v>
      </c>
      <c r="D11" s="281">
        <v>43.2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512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/>
      <c r="B12" s="164"/>
      <c r="C12" s="281"/>
      <c r="D12" s="281"/>
      <c r="E12" s="163" t="str">
        <f t="shared" ref="E12:E19" si="3">IF(C12-D12=0,"",C12-D12)</f>
        <v/>
      </c>
      <c r="F12" s="165" t="str">
        <f t="shared" ref="F12:F19" si="4">IF(C12=0,"",IF(C12-D12=0,"оплачено","ожидается оплата"))</f>
        <v/>
      </c>
      <c r="G12" s="469"/>
      <c r="H12" s="43"/>
      <c r="I12" s="1"/>
      <c r="J12" s="373"/>
      <c r="K12" s="1"/>
      <c r="L12" s="1"/>
      <c r="M12" s="44"/>
      <c r="N12" s="512"/>
      <c r="O12" s="467"/>
      <c r="P12" s="373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 t="str">
        <f t="shared" si="3"/>
        <v/>
      </c>
      <c r="F13" s="165" t="str">
        <f t="shared" si="4"/>
        <v/>
      </c>
      <c r="G13" s="469"/>
      <c r="H13" s="43"/>
      <c r="I13" s="1"/>
      <c r="J13" s="373"/>
      <c r="K13" s="1"/>
      <c r="L13" s="1"/>
      <c r="M13" s="44"/>
      <c r="N13" s="512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3"/>
        <v/>
      </c>
      <c r="F14" s="165" t="str">
        <f t="shared" si="4"/>
        <v/>
      </c>
      <c r="G14" s="469"/>
      <c r="H14" s="43"/>
      <c r="I14" s="1"/>
      <c r="J14" s="373"/>
      <c r="K14" s="1"/>
      <c r="L14" s="1"/>
      <c r="M14" s="44"/>
      <c r="N14" s="301"/>
      <c r="O14" s="543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3"/>
        <v/>
      </c>
      <c r="F15" s="165" t="str">
        <f t="shared" si="4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3"/>
        <v/>
      </c>
      <c r="F16" s="165" t="str">
        <f t="shared" si="4"/>
        <v/>
      </c>
      <c r="G16" s="469"/>
      <c r="H16" s="43"/>
      <c r="I16" s="1"/>
      <c r="J16" s="373"/>
      <c r="K16" s="1"/>
      <c r="L16" s="1"/>
      <c r="M16" s="44"/>
      <c r="N16" s="301"/>
      <c r="O16" s="153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3"/>
        <v/>
      </c>
      <c r="F17" s="165" t="str">
        <f t="shared" si="4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3"/>
        <v/>
      </c>
      <c r="F18" s="165" t="str">
        <f t="shared" si="4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3"/>
        <v/>
      </c>
      <c r="F19" s="165" t="str">
        <f t="shared" si="4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7" t="s">
        <v>16</v>
      </c>
      <c r="I20" s="699" t="s">
        <v>17</v>
      </c>
      <c r="J20" s="699" t="s">
        <v>21</v>
      </c>
      <c r="K20" s="699"/>
      <c r="L20" s="701" t="s">
        <v>93</v>
      </c>
      <c r="M20" s="703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698"/>
      <c r="I21" s="700"/>
      <c r="J21" s="505" t="s">
        <v>21</v>
      </c>
      <c r="K21" s="505" t="s">
        <v>25</v>
      </c>
      <c r="L21" s="702"/>
      <c r="M21" s="704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85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87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 t="shared" ref="M24:M26" si="5">M23-I24-J24-K24+L24</f>
        <v>83639.329999999987</v>
      </c>
      <c r="N24" s="1"/>
      <c r="P24" s="85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>
        <v>3184.46</v>
      </c>
      <c r="K25" s="306">
        <v>1035.6600000000001</v>
      </c>
      <c r="L25" s="305">
        <v>59195.5</v>
      </c>
      <c r="M25" s="105">
        <f t="shared" si="5"/>
        <v>107659.22999999998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 t="shared" si="5"/>
        <v>112611.86999999998</v>
      </c>
      <c r="N26" s="373"/>
      <c r="P26" s="373"/>
      <c r="Q26" s="373"/>
      <c r="R26" s="373"/>
      <c r="S26" s="87"/>
      <c r="T26" s="87"/>
      <c r="V26" s="373"/>
    </row>
    <row r="27" spans="1:22" x14ac:dyDescent="0.25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1046.56</v>
      </c>
      <c r="L27" s="450">
        <v>22678.1</v>
      </c>
      <c r="M27" s="105">
        <f>M26-I27-J27-K27+L27</f>
        <v>98984.919999999984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95" t="s">
        <v>192</v>
      </c>
      <c r="I28" s="396">
        <v>31654.69</v>
      </c>
      <c r="J28" s="449">
        <v>7124.02</v>
      </c>
      <c r="K28" s="450">
        <v>1268.5600000000002</v>
      </c>
      <c r="L28" s="450">
        <v>32888</v>
      </c>
      <c r="M28" s="105">
        <f>M27-I28-J28-K28+L28</f>
        <v>91825.64999999998</v>
      </c>
      <c r="N28" s="373"/>
      <c r="P28" s="373"/>
      <c r="Q28" s="373"/>
      <c r="R28" s="373"/>
      <c r="S28" s="87"/>
      <c r="T28" s="87"/>
      <c r="V28" s="373"/>
    </row>
    <row r="29" spans="1:22" ht="12.75" customHeight="1" thickBot="1" x14ac:dyDescent="0.3">
      <c r="A29" s="346"/>
      <c r="B29" s="205"/>
      <c r="C29" s="1"/>
      <c r="D29" s="279"/>
      <c r="E29" s="373"/>
      <c r="F29" s="373"/>
      <c r="G29" s="373"/>
      <c r="H29" s="395" t="s">
        <v>199</v>
      </c>
      <c r="I29" s="396">
        <v>28891.4</v>
      </c>
      <c r="J29" s="449">
        <v>8339.34</v>
      </c>
      <c r="K29" s="450">
        <v>1307.53</v>
      </c>
      <c r="L29" s="450">
        <v>36419</v>
      </c>
      <c r="M29" s="105">
        <f>M28-I29-J29-K29+L29</f>
        <v>89706.379999999976</v>
      </c>
      <c r="N29" s="373"/>
      <c r="P29" s="529"/>
      <c r="Q29" s="373"/>
      <c r="R29" s="373"/>
      <c r="S29" s="373"/>
      <c r="T29" s="373"/>
      <c r="U29" s="373"/>
      <c r="V29" s="373"/>
    </row>
    <row r="30" spans="1:22" ht="12.75" customHeight="1" thickTop="1" x14ac:dyDescent="0.25">
      <c r="A30" s="346"/>
      <c r="B30" s="205"/>
      <c r="C30" s="1"/>
      <c r="D30" s="279"/>
      <c r="E30" s="85"/>
      <c r="F30" s="373"/>
      <c r="G30" s="373"/>
      <c r="H30" s="681" t="s">
        <v>36</v>
      </c>
      <c r="I30" s="683" t="s">
        <v>178</v>
      </c>
      <c r="J30" s="684"/>
      <c r="K30" s="685"/>
      <c r="L30" s="689" t="s">
        <v>159</v>
      </c>
      <c r="M30" s="690"/>
      <c r="N30" s="1"/>
      <c r="P30" s="373"/>
      <c r="Q30" s="373"/>
      <c r="R30" s="373"/>
      <c r="S30" s="373"/>
      <c r="T30" s="373"/>
      <c r="U30" s="373"/>
    </row>
    <row r="31" spans="1:22" ht="13.5" customHeight="1" x14ac:dyDescent="0.25">
      <c r="A31" s="346"/>
      <c r="B31" s="205"/>
      <c r="C31" s="290"/>
      <c r="D31" s="279"/>
      <c r="E31" s="290"/>
      <c r="F31" s="373"/>
      <c r="G31" s="394"/>
      <c r="H31" s="682"/>
      <c r="I31" s="686"/>
      <c r="J31" s="687"/>
      <c r="K31" s="688"/>
      <c r="L31" s="691"/>
      <c r="M31" s="692"/>
      <c r="N31" s="1"/>
      <c r="P31" s="373"/>
      <c r="Q31" s="373"/>
      <c r="R31" s="373"/>
      <c r="S31" s="373"/>
      <c r="T31" s="373"/>
      <c r="U31" s="373"/>
    </row>
    <row r="32" spans="1:22" ht="15.75" customHeight="1" x14ac:dyDescent="0.25">
      <c r="A32" s="346"/>
      <c r="B32" s="205"/>
      <c r="C32" s="205"/>
      <c r="D32" s="279"/>
      <c r="E32" s="205"/>
      <c r="F32" s="373"/>
      <c r="G32" s="394"/>
      <c r="H32" s="393" t="s">
        <v>91</v>
      </c>
      <c r="I32" s="756" t="s">
        <v>47</v>
      </c>
      <c r="J32" s="756"/>
      <c r="K32" s="479">
        <v>288.75</v>
      </c>
      <c r="L32" s="288">
        <v>43845</v>
      </c>
      <c r="M32" s="44" t="s">
        <v>171</v>
      </c>
      <c r="N32" s="153"/>
      <c r="P32" s="533"/>
      <c r="Q32" s="511"/>
      <c r="R32" s="511"/>
      <c r="S32" s="373"/>
      <c r="T32" s="300"/>
      <c r="U32" s="373"/>
    </row>
    <row r="33" spans="1:21" x14ac:dyDescent="0.25">
      <c r="A33" s="346"/>
      <c r="B33" s="373"/>
      <c r="C33" s="280"/>
      <c r="D33" s="279"/>
      <c r="E33" s="280"/>
      <c r="F33" s="373"/>
      <c r="G33" s="373"/>
      <c r="H33" s="393" t="s">
        <v>91</v>
      </c>
      <c r="I33" s="757" t="s">
        <v>51</v>
      </c>
      <c r="J33" s="757"/>
      <c r="K33" s="53">
        <v>60.19</v>
      </c>
      <c r="L33" s="288">
        <v>43845</v>
      </c>
      <c r="M33" s="44" t="s">
        <v>171</v>
      </c>
      <c r="N33" s="1"/>
      <c r="P33" s="524"/>
      <c r="Q33" s="511"/>
      <c r="R33" s="511"/>
      <c r="S33" s="373"/>
      <c r="T33" s="300"/>
      <c r="U33" s="373"/>
    </row>
    <row r="34" spans="1:21" x14ac:dyDescent="0.25">
      <c r="A34" s="347"/>
      <c r="B34" s="373"/>
      <c r="C34" s="373"/>
      <c r="D34" s="279"/>
      <c r="E34" s="205"/>
      <c r="F34" s="373"/>
      <c r="G34" s="373"/>
      <c r="H34" s="393" t="s">
        <v>91</v>
      </c>
      <c r="I34" s="757" t="s">
        <v>52</v>
      </c>
      <c r="J34" s="757"/>
      <c r="K34" s="53">
        <v>4.95</v>
      </c>
      <c r="L34" s="288">
        <v>43845</v>
      </c>
      <c r="M34" s="44" t="s">
        <v>171</v>
      </c>
      <c r="N34" s="1"/>
      <c r="P34" s="533"/>
      <c r="Q34" s="511"/>
      <c r="R34" s="511"/>
      <c r="S34" s="373"/>
      <c r="T34" s="300"/>
      <c r="U34" s="373"/>
    </row>
    <row r="35" spans="1:21" x14ac:dyDescent="0.25">
      <c r="A35" s="347"/>
      <c r="B35" s="373"/>
      <c r="C35" s="373"/>
      <c r="D35" s="279"/>
      <c r="E35" s="373"/>
      <c r="F35" s="373"/>
      <c r="G35" s="373"/>
      <c r="H35" s="393" t="s">
        <v>91</v>
      </c>
      <c r="I35" s="757" t="s">
        <v>49</v>
      </c>
      <c r="J35" s="757"/>
      <c r="K35" s="53">
        <v>257</v>
      </c>
      <c r="L35" s="288">
        <v>43850</v>
      </c>
      <c r="M35" s="44" t="s">
        <v>246</v>
      </c>
      <c r="N35" s="153"/>
      <c r="P35" s="454"/>
      <c r="Q35" s="511"/>
      <c r="R35" s="511"/>
      <c r="S35" s="373"/>
      <c r="T35" s="300"/>
      <c r="U35" s="373"/>
    </row>
    <row r="36" spans="1:21" x14ac:dyDescent="0.25">
      <c r="A36" s="347"/>
      <c r="B36" s="373"/>
      <c r="C36" s="373"/>
      <c r="D36" s="279"/>
      <c r="E36" s="373"/>
      <c r="F36" s="373"/>
      <c r="G36" s="373"/>
      <c r="H36" s="393" t="s">
        <v>91</v>
      </c>
      <c r="I36" s="758" t="s">
        <v>59</v>
      </c>
      <c r="J36" s="758"/>
      <c r="K36" s="480">
        <v>1101.6300000000001</v>
      </c>
      <c r="L36" s="308" t="s">
        <v>177</v>
      </c>
      <c r="M36" s="44" t="s">
        <v>171</v>
      </c>
      <c r="N36" s="1"/>
      <c r="P36" s="454"/>
      <c r="Q36" s="511"/>
      <c r="R36" s="511"/>
      <c r="S36" s="373"/>
      <c r="T36" s="373"/>
      <c r="U36" s="373"/>
    </row>
    <row r="37" spans="1:21" x14ac:dyDescent="0.25">
      <c r="A37" s="347"/>
      <c r="B37" s="205"/>
      <c r="C37" s="205"/>
      <c r="D37" s="279"/>
      <c r="E37" s="205"/>
      <c r="F37" s="373"/>
      <c r="G37" s="373"/>
      <c r="H37" s="393" t="s">
        <v>91</v>
      </c>
      <c r="I37" s="759" t="s">
        <v>68</v>
      </c>
      <c r="J37" s="760"/>
      <c r="K37" s="53">
        <v>338.19</v>
      </c>
      <c r="L37" s="288">
        <v>43850</v>
      </c>
      <c r="M37" s="44" t="s">
        <v>171</v>
      </c>
      <c r="N37" s="1"/>
      <c r="P37" s="533"/>
      <c r="Q37" s="511"/>
      <c r="R37" s="511"/>
      <c r="S37" s="373"/>
      <c r="T37" s="300"/>
      <c r="U37" s="373"/>
    </row>
    <row r="38" spans="1:21" x14ac:dyDescent="0.25">
      <c r="A38" s="347"/>
      <c r="B38" s="205"/>
      <c r="C38" s="373"/>
      <c r="D38" s="279"/>
      <c r="E38" s="205"/>
      <c r="F38" s="373"/>
      <c r="G38" s="373"/>
      <c r="H38" s="393" t="s">
        <v>91</v>
      </c>
      <c r="I38" s="527" t="s">
        <v>174</v>
      </c>
      <c r="J38" s="528"/>
      <c r="K38" s="53">
        <f>298.1+160.36</f>
        <v>458.46000000000004</v>
      </c>
      <c r="L38" s="288">
        <v>43845</v>
      </c>
      <c r="M38" s="44" t="s">
        <v>171</v>
      </c>
      <c r="N38" s="1"/>
      <c r="P38" s="373"/>
      <c r="Q38" s="372"/>
      <c r="R38" s="372"/>
      <c r="S38" s="373"/>
      <c r="T38" s="300"/>
      <c r="U38" s="373"/>
    </row>
    <row r="39" spans="1:21" x14ac:dyDescent="0.25">
      <c r="A39" s="347"/>
      <c r="B39" s="205"/>
      <c r="C39" s="373"/>
      <c r="D39" s="279"/>
      <c r="E39" s="205"/>
      <c r="F39" s="373"/>
      <c r="G39" s="373"/>
      <c r="H39" s="393" t="s">
        <v>91</v>
      </c>
      <c r="I39" s="527" t="s">
        <v>176</v>
      </c>
      <c r="J39" s="528"/>
      <c r="K39" s="53">
        <v>474.46</v>
      </c>
      <c r="L39" s="288">
        <v>43849</v>
      </c>
      <c r="M39" s="44" t="s">
        <v>171</v>
      </c>
      <c r="N39" s="1"/>
      <c r="P39" s="373"/>
      <c r="Q39" s="372"/>
      <c r="R39" s="372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91</v>
      </c>
      <c r="I40" s="759" t="s">
        <v>81</v>
      </c>
      <c r="J40" s="760"/>
      <c r="K40" s="53">
        <v>1496.82</v>
      </c>
      <c r="L40" s="288">
        <v>43845</v>
      </c>
      <c r="M40" s="44" t="s">
        <v>171</v>
      </c>
      <c r="N40" s="1"/>
      <c r="P40" s="373"/>
      <c r="Q40" s="511"/>
      <c r="R40" s="511"/>
      <c r="S40" s="373"/>
      <c r="T40" s="300"/>
      <c r="U40" s="373"/>
    </row>
    <row r="41" spans="1:21" x14ac:dyDescent="0.25">
      <c r="A41" s="347"/>
      <c r="B41" s="205"/>
      <c r="C41" s="373"/>
      <c r="D41" s="279"/>
      <c r="E41" s="238"/>
      <c r="F41" s="373"/>
      <c r="G41" s="373"/>
      <c r="H41" s="393" t="s">
        <v>91</v>
      </c>
      <c r="I41" s="759" t="s">
        <v>181</v>
      </c>
      <c r="J41" s="760"/>
      <c r="K41" s="53">
        <v>10</v>
      </c>
      <c r="L41" s="288">
        <v>43845</v>
      </c>
      <c r="M41" s="44" t="s">
        <v>171</v>
      </c>
      <c r="N41" s="1"/>
      <c r="P41" s="373"/>
      <c r="Q41" s="372"/>
      <c r="R41" s="373"/>
      <c r="S41" s="373"/>
      <c r="T41" s="300"/>
      <c r="U41" s="373"/>
    </row>
    <row r="42" spans="1:21" x14ac:dyDescent="0.25">
      <c r="A42" s="347"/>
      <c r="B42" s="205"/>
      <c r="C42" s="373"/>
      <c r="D42" s="279"/>
      <c r="E42" s="238"/>
      <c r="F42" s="373"/>
      <c r="G42" s="373"/>
      <c r="H42" s="393" t="s">
        <v>91</v>
      </c>
      <c r="I42" s="675" t="s">
        <v>61</v>
      </c>
      <c r="J42" s="675"/>
      <c r="K42" s="53">
        <f>J5</f>
        <v>2957.59</v>
      </c>
      <c r="L42" s="288">
        <v>43850</v>
      </c>
      <c r="M42" s="44" t="s">
        <v>171</v>
      </c>
      <c r="N42" s="1"/>
      <c r="P42" s="373"/>
      <c r="Q42" s="372"/>
      <c r="R42" s="372"/>
      <c r="S42" s="373"/>
      <c r="T42" s="300"/>
      <c r="U42" s="373"/>
    </row>
    <row r="43" spans="1:21" ht="15.75" thickBot="1" x14ac:dyDescent="0.3">
      <c r="A43" s="348"/>
      <c r="B43" s="337"/>
      <c r="C43" s="338"/>
      <c r="D43" s="349"/>
      <c r="E43" s="337"/>
      <c r="F43" s="338"/>
      <c r="G43" s="338"/>
      <c r="H43" s="353"/>
      <c r="I43" s="368" t="s">
        <v>179</v>
      </c>
      <c r="J43" s="368">
        <f>SUM(K32:K42)</f>
        <v>7448.04</v>
      </c>
      <c r="K43" s="676" t="s">
        <v>180</v>
      </c>
      <c r="L43" s="676"/>
      <c r="M43" s="542">
        <v>0</v>
      </c>
      <c r="N43" s="1"/>
      <c r="P43" s="373"/>
      <c r="Q43" s="373"/>
      <c r="R43" s="373"/>
      <c r="S43" s="373"/>
      <c r="T43" s="373"/>
      <c r="U43" s="373"/>
    </row>
    <row r="44" spans="1:21" ht="15.75" thickTop="1" x14ac:dyDescent="0.25">
      <c r="A44" s="373"/>
      <c r="B44" s="373"/>
      <c r="C44" s="373"/>
      <c r="D44" s="373"/>
      <c r="E44" s="373"/>
      <c r="F44" s="373"/>
      <c r="G44" s="373"/>
      <c r="H44" s="735"/>
      <c r="I44" s="735"/>
      <c r="J44" s="735"/>
      <c r="K44" s="735"/>
      <c r="L44" s="373"/>
      <c r="M44" s="460"/>
      <c r="N44" s="1"/>
      <c r="P44" s="373"/>
      <c r="Q44" s="373"/>
      <c r="R44" s="373"/>
      <c r="S44" s="373"/>
      <c r="T44" s="373"/>
      <c r="U44" s="373"/>
    </row>
    <row r="45" spans="1:21" x14ac:dyDescent="0.25">
      <c r="A45" s="373"/>
      <c r="B45" s="733" t="s">
        <v>247</v>
      </c>
      <c r="C45" s="733"/>
      <c r="D45" s="733"/>
      <c r="E45" s="733"/>
      <c r="F45" s="733"/>
      <c r="G45" s="733"/>
      <c r="H45" s="733"/>
      <c r="I45" s="733"/>
      <c r="J45" s="733"/>
      <c r="K45" s="733"/>
      <c r="L45" s="373"/>
      <c r="M45" s="460"/>
      <c r="N45" s="1"/>
      <c r="P45" s="1"/>
      <c r="Q45" s="373"/>
      <c r="R45" s="373"/>
      <c r="S45" s="373"/>
      <c r="T45" s="373"/>
    </row>
    <row r="46" spans="1:21" ht="15.75" thickBot="1" x14ac:dyDescent="0.3">
      <c r="B46" s="734"/>
      <c r="C46" s="734"/>
      <c r="D46" s="734"/>
      <c r="E46" s="734"/>
      <c r="F46" s="734"/>
      <c r="G46" s="734"/>
      <c r="H46" s="734"/>
      <c r="I46" s="734"/>
      <c r="J46" s="734"/>
      <c r="K46" s="734"/>
      <c r="L46" s="1"/>
      <c r="M46" s="1"/>
      <c r="N46" s="1"/>
      <c r="P46" s="1"/>
      <c r="Q46" s="373"/>
      <c r="R46" s="372"/>
      <c r="S46" s="511"/>
      <c r="T46" s="373"/>
    </row>
    <row r="47" spans="1:21" ht="15.75" thickTop="1" x14ac:dyDescent="0.25">
      <c r="A47" s="732" t="s">
        <v>28</v>
      </c>
      <c r="B47" s="695"/>
      <c r="C47" s="695"/>
      <c r="D47" s="695"/>
      <c r="E47" s="695"/>
      <c r="F47" s="695"/>
      <c r="G47" s="696"/>
      <c r="H47" s="736" t="s">
        <v>202</v>
      </c>
      <c r="I47" s="737"/>
      <c r="J47" s="737"/>
      <c r="K47" s="737"/>
      <c r="L47" s="737"/>
      <c r="M47" s="738"/>
      <c r="N47" s="1"/>
      <c r="P47" s="1"/>
      <c r="Q47" s="459"/>
      <c r="R47" s="205"/>
      <c r="S47" s="280"/>
      <c r="T47" s="373"/>
    </row>
    <row r="48" spans="1:21" x14ac:dyDescent="0.25">
      <c r="A48" s="330" t="s">
        <v>2</v>
      </c>
      <c r="B48" s="508" t="s">
        <v>34</v>
      </c>
      <c r="C48" s="36" t="s">
        <v>35</v>
      </c>
      <c r="D48" s="36" t="s">
        <v>38</v>
      </c>
      <c r="E48" s="36" t="s">
        <v>42</v>
      </c>
      <c r="F48" s="508" t="s">
        <v>36</v>
      </c>
      <c r="G48" s="101" t="s">
        <v>173</v>
      </c>
      <c r="H48" s="43"/>
      <c r="I48" s="504" t="s">
        <v>35</v>
      </c>
      <c r="J48" s="504" t="s">
        <v>38</v>
      </c>
      <c r="K48" s="504" t="s">
        <v>42</v>
      </c>
      <c r="L48" s="269" t="s">
        <v>44</v>
      </c>
      <c r="M48" s="461"/>
      <c r="N48" s="1"/>
      <c r="P48" s="1"/>
      <c r="Q48" s="459"/>
      <c r="R48" s="205"/>
      <c r="S48" s="280"/>
      <c r="T48" s="373"/>
    </row>
    <row r="49" spans="1:20" x14ac:dyDescent="0.25">
      <c r="A49" s="331">
        <v>43835</v>
      </c>
      <c r="B49" s="164" t="s">
        <v>244</v>
      </c>
      <c r="C49" s="99">
        <v>679.7</v>
      </c>
      <c r="D49" s="99">
        <v>679.7</v>
      </c>
      <c r="E49" s="163" t="str">
        <f>IF(C49-D49=0,"",C49-D49)</f>
        <v/>
      </c>
      <c r="F49" s="165" t="str">
        <f t="shared" ref="F49:F65" si="6">IF(C49=0,"",IF(C49-D49=0,"оплачено","ОЖИДАЕТСЯ оплата"))</f>
        <v>оплачено</v>
      </c>
      <c r="G49" s="469"/>
      <c r="H49" s="43"/>
      <c r="I49" s="510">
        <v>703.01</v>
      </c>
      <c r="J49" s="541">
        <v>703.01</v>
      </c>
      <c r="K49" s="163">
        <f t="shared" ref="K49" si="7">I49-J49</f>
        <v>0</v>
      </c>
      <c r="L49" s="3">
        <v>43851</v>
      </c>
      <c r="M49" s="451"/>
      <c r="N49" s="1"/>
      <c r="P49" s="1"/>
      <c r="Q49" s="373"/>
      <c r="R49" s="373"/>
      <c r="S49" s="373"/>
      <c r="T49" s="373"/>
    </row>
    <row r="50" spans="1:20" x14ac:dyDescent="0.25">
      <c r="A50" s="331">
        <v>43839</v>
      </c>
      <c r="B50" s="164" t="s">
        <v>205</v>
      </c>
      <c r="C50" s="99">
        <v>412.54</v>
      </c>
      <c r="D50" s="99">
        <v>412.54</v>
      </c>
      <c r="E50" s="163"/>
      <c r="F50" s="165" t="str">
        <f t="shared" si="6"/>
        <v>оплачено</v>
      </c>
      <c r="G50" s="469"/>
      <c r="H50" s="43"/>
      <c r="I50" s="299"/>
      <c r="J50" s="299"/>
      <c r="K50" s="462"/>
      <c r="L50" s="147"/>
      <c r="M50" s="451"/>
      <c r="N50" s="1"/>
      <c r="P50" s="1"/>
      <c r="Q50" s="373"/>
      <c r="R50" s="373"/>
      <c r="S50" s="373"/>
      <c r="T50" s="373"/>
    </row>
    <row r="51" spans="1:20" x14ac:dyDescent="0.25">
      <c r="A51" s="331">
        <v>43844</v>
      </c>
      <c r="B51" s="164" t="s">
        <v>29</v>
      </c>
      <c r="C51" s="281">
        <v>230.2</v>
      </c>
      <c r="D51" s="281">
        <v>230.2</v>
      </c>
      <c r="E51" s="163"/>
      <c r="F51" s="165" t="str">
        <f t="shared" si="6"/>
        <v>оплачено</v>
      </c>
      <c r="G51" s="469"/>
      <c r="H51" s="43"/>
      <c r="I51" s="1"/>
      <c r="J51" s="373"/>
      <c r="K51" s="1"/>
      <c r="L51" s="1"/>
      <c r="M51" s="44"/>
      <c r="N51" s="1"/>
      <c r="O51" s="373"/>
      <c r="P51" s="1"/>
    </row>
    <row r="52" spans="1:20" x14ac:dyDescent="0.25">
      <c r="A52" s="331">
        <v>43852</v>
      </c>
      <c r="B52" s="164" t="s">
        <v>29</v>
      </c>
      <c r="C52" s="99">
        <v>330.3</v>
      </c>
      <c r="D52" s="99">
        <v>330.3</v>
      </c>
      <c r="E52" s="163"/>
      <c r="F52" s="165" t="str">
        <f t="shared" si="6"/>
        <v>оплачено</v>
      </c>
      <c r="G52" s="469"/>
      <c r="H52" s="43"/>
      <c r="I52" s="1"/>
      <c r="J52" s="373"/>
      <c r="K52" s="1"/>
      <c r="L52" s="1"/>
      <c r="M52" s="44"/>
      <c r="N52" s="1"/>
      <c r="P52" s="1"/>
    </row>
    <row r="53" spans="1:20" x14ac:dyDescent="0.25">
      <c r="A53" s="331">
        <v>43859</v>
      </c>
      <c r="B53" s="164" t="s">
        <v>212</v>
      </c>
      <c r="C53" s="99">
        <v>445.5</v>
      </c>
      <c r="D53" s="99">
        <v>445.5</v>
      </c>
      <c r="E53" s="163"/>
      <c r="F53" s="165" t="str">
        <f t="shared" si="6"/>
        <v>оплачено</v>
      </c>
      <c r="G53" s="469"/>
      <c r="H53" s="43"/>
      <c r="I53" s="1"/>
      <c r="J53" s="373"/>
      <c r="K53" s="1"/>
      <c r="L53" s="1"/>
      <c r="M53" s="44"/>
      <c r="N53" s="1"/>
      <c r="P53" s="1"/>
    </row>
    <row r="54" spans="1:20" x14ac:dyDescent="0.25">
      <c r="A54" s="331"/>
      <c r="B54" s="164"/>
      <c r="C54" s="281"/>
      <c r="D54" s="281"/>
      <c r="E54" s="163"/>
      <c r="F54" s="165" t="str">
        <f t="shared" si="6"/>
        <v/>
      </c>
      <c r="G54" s="469"/>
      <c r="H54" s="43"/>
      <c r="I54" s="1"/>
      <c r="J54" s="373"/>
      <c r="K54" s="1"/>
      <c r="L54" s="1"/>
      <c r="M54" s="44"/>
      <c r="N54" s="1"/>
      <c r="P54" s="1"/>
    </row>
    <row r="55" spans="1:20" x14ac:dyDescent="0.25">
      <c r="A55" s="331"/>
      <c r="B55" s="164"/>
      <c r="C55" s="281"/>
      <c r="D55" s="281"/>
      <c r="E55" s="163"/>
      <c r="F55" s="165" t="str">
        <f t="shared" si="6"/>
        <v/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/>
      <c r="B56" s="164"/>
      <c r="C56" s="281"/>
      <c r="D56" s="281"/>
      <c r="E56" s="163"/>
      <c r="F56" s="165" t="str">
        <f t="shared" si="6"/>
        <v/>
      </c>
      <c r="G56" s="469"/>
      <c r="H56" s="43"/>
      <c r="I56" s="1"/>
      <c r="J56" s="373"/>
      <c r="K56" s="1"/>
      <c r="L56" s="1"/>
      <c r="M56" s="44"/>
      <c r="N56" s="1"/>
      <c r="O56" s="373"/>
      <c r="P56" s="1"/>
    </row>
    <row r="57" spans="1:20" x14ac:dyDescent="0.25">
      <c r="A57" s="331"/>
      <c r="B57" s="164"/>
      <c r="C57" s="281"/>
      <c r="D57" s="281"/>
      <c r="E57" s="163"/>
      <c r="F57" s="165" t="str">
        <f t="shared" si="6"/>
        <v/>
      </c>
      <c r="G57" s="469"/>
      <c r="H57" s="43"/>
      <c r="I57" s="1"/>
      <c r="J57" s="373"/>
      <c r="K57" s="1"/>
      <c r="L57" s="1"/>
      <c r="M57" s="44"/>
      <c r="N57" s="1"/>
      <c r="O57" s="373"/>
      <c r="P57" s="1"/>
    </row>
    <row r="58" spans="1:20" x14ac:dyDescent="0.25">
      <c r="A58" s="331"/>
      <c r="B58" s="164"/>
      <c r="C58" s="281"/>
      <c r="D58" s="164"/>
      <c r="E58" s="163"/>
      <c r="F58" s="165" t="str">
        <f t="shared" si="6"/>
        <v/>
      </c>
      <c r="G58" s="469"/>
      <c r="H58" s="43"/>
      <c r="I58" s="1"/>
      <c r="J58" s="373"/>
      <c r="K58" s="1"/>
      <c r="L58" s="1"/>
      <c r="M58" s="44"/>
      <c r="N58" s="1"/>
      <c r="O58" s="373"/>
      <c r="P58" s="1"/>
    </row>
    <row r="59" spans="1:20" x14ac:dyDescent="0.25">
      <c r="A59" s="331"/>
      <c r="B59" s="164"/>
      <c r="C59" s="281"/>
      <c r="D59" s="164"/>
      <c r="E59" s="163"/>
      <c r="F59" s="165" t="str">
        <f t="shared" si="6"/>
        <v/>
      </c>
      <c r="G59" s="469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/>
      <c r="B60" s="164"/>
      <c r="C60" s="281"/>
      <c r="D60" s="281"/>
      <c r="E60" s="163"/>
      <c r="F60" s="165" t="str">
        <f t="shared" si="6"/>
        <v/>
      </c>
      <c r="G60" s="469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3"/>
      <c r="B61" s="164"/>
      <c r="C61" s="164"/>
      <c r="D61" s="164"/>
      <c r="E61" s="163"/>
      <c r="F61" s="165" t="str">
        <f t="shared" si="6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4"/>
      <c r="B62" s="164"/>
      <c r="C62" s="164"/>
      <c r="D62" s="164"/>
      <c r="E62" s="163"/>
      <c r="F62" s="165" t="str">
        <f t="shared" si="6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4"/>
      <c r="B63" s="164"/>
      <c r="C63" s="164"/>
      <c r="D63" s="164"/>
      <c r="E63" s="163"/>
      <c r="F63" s="165" t="str">
        <f t="shared" si="6"/>
        <v/>
      </c>
      <c r="G63" s="469"/>
      <c r="H63" s="43"/>
      <c r="I63" s="1"/>
      <c r="J63" s="373"/>
      <c r="K63" s="1"/>
      <c r="L63" s="1"/>
      <c r="M63" s="44"/>
      <c r="N63" s="1"/>
      <c r="O63" s="373"/>
      <c r="P63" s="373"/>
    </row>
    <row r="64" spans="1:20" x14ac:dyDescent="0.25">
      <c r="A64" s="333"/>
      <c r="B64" s="164"/>
      <c r="C64" s="164"/>
      <c r="D64" s="164"/>
      <c r="E64" s="163"/>
      <c r="F64" s="165" t="str">
        <f t="shared" si="6"/>
        <v/>
      </c>
      <c r="G64" s="469"/>
      <c r="H64" s="43"/>
      <c r="I64" s="1"/>
      <c r="J64" s="373"/>
      <c r="K64" s="1"/>
      <c r="L64" s="1"/>
      <c r="M64" s="44"/>
      <c r="N64" s="1"/>
      <c r="O64" s="373"/>
      <c r="P64" s="373"/>
    </row>
    <row r="65" spans="1:23" ht="15.75" thickBot="1" x14ac:dyDescent="0.3">
      <c r="A65" s="335"/>
      <c r="B65" s="364"/>
      <c r="C65" s="365"/>
      <c r="D65" s="365"/>
      <c r="E65" s="163" t="str">
        <f t="shared" ref="E65" si="8">IF(C65-D65=0,"",C65-D65)</f>
        <v/>
      </c>
      <c r="F65" s="165" t="str">
        <f t="shared" si="6"/>
        <v/>
      </c>
      <c r="G65" s="470"/>
      <c r="H65" s="43"/>
      <c r="I65" s="1"/>
      <c r="J65" s="373"/>
      <c r="K65" s="1"/>
      <c r="L65" s="1"/>
      <c r="M65" s="44"/>
      <c r="N65" s="1"/>
      <c r="O65" s="373"/>
      <c r="P65" s="373"/>
    </row>
    <row r="66" spans="1:23" ht="15.75" thickTop="1" x14ac:dyDescent="0.25">
      <c r="A66" s="358"/>
      <c r="B66" s="359"/>
      <c r="C66" s="360"/>
      <c r="D66" s="360"/>
      <c r="E66" s="361"/>
      <c r="F66" s="359"/>
      <c r="G66" s="392"/>
      <c r="H66" s="697" t="s">
        <v>16</v>
      </c>
      <c r="I66" s="699" t="s">
        <v>17</v>
      </c>
      <c r="J66" s="699" t="s">
        <v>21</v>
      </c>
      <c r="K66" s="699"/>
      <c r="L66" s="701" t="s">
        <v>93</v>
      </c>
      <c r="M66" s="703" t="s">
        <v>95</v>
      </c>
      <c r="N66" s="1"/>
      <c r="O66" s="373"/>
      <c r="P66" s="755"/>
    </row>
    <row r="67" spans="1:23" ht="24" x14ac:dyDescent="0.25">
      <c r="A67" s="362"/>
      <c r="B67" s="207"/>
      <c r="C67" s="207"/>
      <c r="D67" s="207"/>
      <c r="E67" s="222"/>
      <c r="F67" s="207"/>
      <c r="G67" s="207"/>
      <c r="H67" s="698"/>
      <c r="I67" s="700"/>
      <c r="J67" s="505" t="s">
        <v>21</v>
      </c>
      <c r="K67" s="505" t="s">
        <v>25</v>
      </c>
      <c r="L67" s="702"/>
      <c r="M67" s="704"/>
      <c r="N67" s="1"/>
      <c r="O67" s="373"/>
      <c r="P67" s="755"/>
    </row>
    <row r="68" spans="1:23" x14ac:dyDescent="0.25">
      <c r="A68" s="345"/>
      <c r="B68" s="205"/>
      <c r="C68" s="294"/>
      <c r="D68" s="238"/>
      <c r="E68" s="85"/>
      <c r="F68" s="205"/>
      <c r="G68" s="205"/>
      <c r="H68" s="354" t="s">
        <v>163</v>
      </c>
      <c r="I68" s="95">
        <v>2420.3999999999996</v>
      </c>
      <c r="J68" s="95">
        <v>115.5</v>
      </c>
      <c r="K68" s="547">
        <v>132.61000000000001</v>
      </c>
      <c r="L68" s="97">
        <v>22665.5</v>
      </c>
      <c r="M68" s="105">
        <f>L68-I68-J68-K68</f>
        <v>19996.989999999998</v>
      </c>
      <c r="N68" s="1"/>
      <c r="O68" s="468"/>
      <c r="P68" s="454"/>
      <c r="Q68" s="87"/>
      <c r="R68" s="87"/>
    </row>
    <row r="69" spans="1:23" x14ac:dyDescent="0.25">
      <c r="A69" s="346"/>
      <c r="B69" s="205"/>
      <c r="C69" s="205"/>
      <c r="D69" s="279"/>
      <c r="E69" s="373"/>
      <c r="F69" s="85"/>
      <c r="G69" s="373"/>
      <c r="H69" s="354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68"/>
      <c r="P69" s="454"/>
      <c r="Q69" s="87"/>
      <c r="R69" s="87"/>
    </row>
    <row r="70" spans="1:23" x14ac:dyDescent="0.25">
      <c r="A70" s="346"/>
      <c r="B70" s="373"/>
      <c r="C70" s="205"/>
      <c r="D70" s="279"/>
      <c r="E70" s="373"/>
      <c r="F70" s="373"/>
      <c r="G70" s="373"/>
      <c r="H70" s="354" t="s">
        <v>199</v>
      </c>
      <c r="I70" s="304">
        <v>8423.6400000000012</v>
      </c>
      <c r="J70" s="95">
        <v>921.3</v>
      </c>
      <c r="K70" s="305">
        <v>312.46000000000004</v>
      </c>
      <c r="L70" s="305">
        <v>16668</v>
      </c>
      <c r="M70" s="105">
        <f>M69-I70-J70-K70+L70</f>
        <v>29173.759999999995</v>
      </c>
      <c r="N70" s="1"/>
      <c r="O70" s="468"/>
      <c r="P70" s="455"/>
      <c r="Q70" s="87"/>
      <c r="R70" s="87"/>
    </row>
    <row r="71" spans="1:23" x14ac:dyDescent="0.25">
      <c r="A71" s="346"/>
      <c r="B71" s="1"/>
      <c r="C71" s="290"/>
      <c r="D71" s="279"/>
      <c r="E71" s="373"/>
      <c r="F71" s="373"/>
      <c r="G71" s="85"/>
      <c r="H71" s="354" t="s">
        <v>209</v>
      </c>
      <c r="I71" s="305"/>
      <c r="J71" s="306"/>
      <c r="K71" s="306"/>
      <c r="L71" s="305"/>
      <c r="M71" s="105"/>
      <c r="N71" s="1"/>
      <c r="O71" s="468"/>
      <c r="P71" s="455"/>
      <c r="Q71" s="87"/>
      <c r="R71" s="87"/>
    </row>
    <row r="72" spans="1:23" x14ac:dyDescent="0.25">
      <c r="A72" s="346"/>
      <c r="B72" s="205"/>
      <c r="C72" s="1"/>
      <c r="D72" s="279"/>
      <c r="E72" s="373"/>
      <c r="F72" s="373"/>
      <c r="G72" s="373"/>
      <c r="H72" s="355" t="s">
        <v>210</v>
      </c>
      <c r="I72" s="306"/>
      <c r="J72" s="305"/>
      <c r="K72" s="306"/>
      <c r="L72" s="305"/>
      <c r="M72" s="105"/>
      <c r="N72" s="1"/>
      <c r="O72" s="468"/>
      <c r="P72" s="455"/>
      <c r="Q72"/>
      <c r="R72" s="87"/>
    </row>
    <row r="73" spans="1:23" ht="15.75" thickBot="1" x14ac:dyDescent="0.3">
      <c r="A73" s="346"/>
      <c r="B73" s="205"/>
      <c r="C73" s="1"/>
      <c r="D73" s="279"/>
      <c r="E73" s="373"/>
      <c r="F73" s="373"/>
      <c r="G73" s="373"/>
      <c r="H73" s="395" t="s">
        <v>211</v>
      </c>
      <c r="I73" s="396"/>
      <c r="J73" s="449"/>
      <c r="K73" s="397"/>
      <c r="L73" s="450"/>
      <c r="M73" s="398"/>
      <c r="N73" s="1"/>
      <c r="O73" s="373"/>
      <c r="P73" s="455"/>
      <c r="Q73" s="87"/>
      <c r="R73" s="87"/>
    </row>
    <row r="74" spans="1:23" ht="15.75" thickTop="1" x14ac:dyDescent="0.25">
      <c r="A74" s="346"/>
      <c r="B74" s="205"/>
      <c r="C74" s="1"/>
      <c r="D74" s="279"/>
      <c r="E74" s="85"/>
      <c r="F74" s="373"/>
      <c r="G74" s="373"/>
      <c r="H74" s="681" t="s">
        <v>36</v>
      </c>
      <c r="I74" s="683" t="s">
        <v>178</v>
      </c>
      <c r="J74" s="684"/>
      <c r="K74" s="685"/>
      <c r="L74" s="689" t="s">
        <v>159</v>
      </c>
      <c r="M74" s="690"/>
      <c r="N74" s="1"/>
      <c r="O74" s="373"/>
      <c r="P74" s="455"/>
      <c r="Q74" s="87"/>
      <c r="R74" s="87"/>
    </row>
    <row r="75" spans="1:23" x14ac:dyDescent="0.25">
      <c r="A75" s="346"/>
      <c r="B75" s="205"/>
      <c r="C75" s="290"/>
      <c r="D75" s="279"/>
      <c r="E75" s="290"/>
      <c r="F75" s="373"/>
      <c r="G75" s="394"/>
      <c r="H75" s="682"/>
      <c r="I75" s="686"/>
      <c r="J75" s="687"/>
      <c r="K75" s="688"/>
      <c r="L75" s="691"/>
      <c r="M75" s="692"/>
      <c r="N75" s="1"/>
      <c r="O75" s="373"/>
      <c r="P75" s="455"/>
      <c r="Q75" s="373"/>
      <c r="R75" s="373"/>
      <c r="S75" s="1"/>
      <c r="T75" s="1"/>
      <c r="U75" s="1"/>
      <c r="V75" s="1"/>
      <c r="W75" s="1"/>
    </row>
    <row r="76" spans="1:23" x14ac:dyDescent="0.25">
      <c r="A76" s="346"/>
      <c r="B76" s="205"/>
      <c r="C76" s="205"/>
      <c r="D76" s="279"/>
      <c r="E76" s="205"/>
      <c r="F76" s="373"/>
      <c r="G76" s="394"/>
      <c r="H76" s="393" t="s">
        <v>91</v>
      </c>
      <c r="I76" s="693" t="s">
        <v>47</v>
      </c>
      <c r="J76" s="693"/>
      <c r="K76" s="479">
        <v>28.88</v>
      </c>
      <c r="L76" s="288">
        <v>15</v>
      </c>
      <c r="M76" s="44" t="s">
        <v>171</v>
      </c>
      <c r="P76" s="455"/>
      <c r="Q76" s="529"/>
      <c r="R76" s="373"/>
      <c r="S76" s="1"/>
      <c r="T76" s="1"/>
      <c r="U76" s="1"/>
      <c r="V76" s="1"/>
      <c r="W76" s="1"/>
    </row>
    <row r="77" spans="1:23" x14ac:dyDescent="0.25">
      <c r="A77" s="346"/>
      <c r="B77" s="373"/>
      <c r="C77" s="280"/>
      <c r="D77" s="279"/>
      <c r="E77" s="280"/>
      <c r="F77" s="373"/>
      <c r="G77" s="373"/>
      <c r="H77" s="357" t="s">
        <v>250</v>
      </c>
      <c r="I77" s="678" t="s">
        <v>51</v>
      </c>
      <c r="J77" s="678"/>
      <c r="K77" s="53">
        <v>0</v>
      </c>
      <c r="L77" s="288">
        <v>15</v>
      </c>
      <c r="M77" s="44" t="s">
        <v>171</v>
      </c>
      <c r="P77" s="455"/>
      <c r="Q77" s="87"/>
      <c r="R77" s="87"/>
      <c r="S77" s="1"/>
      <c r="T77" s="1"/>
      <c r="U77" s="1"/>
      <c r="V77" s="1"/>
      <c r="W77" s="1"/>
    </row>
    <row r="78" spans="1:23" x14ac:dyDescent="0.25">
      <c r="A78" s="347"/>
      <c r="B78" s="373"/>
      <c r="C78" s="373"/>
      <c r="D78" s="279"/>
      <c r="E78" s="205"/>
      <c r="F78" s="373"/>
      <c r="G78" s="373"/>
      <c r="H78" s="393" t="s">
        <v>91</v>
      </c>
      <c r="I78" s="678" t="s">
        <v>52</v>
      </c>
      <c r="J78" s="678"/>
      <c r="K78" s="53">
        <v>0.5</v>
      </c>
      <c r="L78" s="288">
        <v>15</v>
      </c>
      <c r="M78" s="44" t="s">
        <v>171</v>
      </c>
      <c r="P78"/>
      <c r="Q78"/>
      <c r="R78" s="548"/>
      <c r="S78" s="1"/>
      <c r="T78" s="288"/>
      <c r="U78" s="1"/>
      <c r="V78" s="1"/>
      <c r="W78" s="1"/>
    </row>
    <row r="79" spans="1:23" x14ac:dyDescent="0.25">
      <c r="A79" s="347"/>
      <c r="B79" s="373"/>
      <c r="C79" s="373"/>
      <c r="D79" s="279"/>
      <c r="E79" s="373"/>
      <c r="F79" s="373"/>
      <c r="G79" s="373"/>
      <c r="H79" s="393" t="s">
        <v>91</v>
      </c>
      <c r="I79" s="678" t="s">
        <v>49</v>
      </c>
      <c r="J79" s="678"/>
      <c r="K79" s="53">
        <v>89</v>
      </c>
      <c r="L79" s="288">
        <v>20</v>
      </c>
      <c r="M79" s="44" t="s">
        <v>246</v>
      </c>
      <c r="P79"/>
      <c r="Q79"/>
      <c r="R79"/>
      <c r="S79" s="1"/>
      <c r="T79" s="288"/>
      <c r="U79" s="1"/>
      <c r="V79" s="1"/>
      <c r="W79" s="1"/>
    </row>
    <row r="80" spans="1:23" x14ac:dyDescent="0.25">
      <c r="A80" s="347"/>
      <c r="B80" s="373"/>
      <c r="C80" s="373"/>
      <c r="D80" s="279"/>
      <c r="E80" s="373"/>
      <c r="F80" s="373"/>
      <c r="G80" s="373"/>
      <c r="H80" s="393" t="s">
        <v>91</v>
      </c>
      <c r="I80" s="675" t="s">
        <v>59</v>
      </c>
      <c r="J80" s="675"/>
      <c r="K80" s="480">
        <v>247.96</v>
      </c>
      <c r="L80" s="308" t="s">
        <v>177</v>
      </c>
      <c r="M80" s="44" t="s">
        <v>171</v>
      </c>
      <c r="P80" s="369"/>
      <c r="Q80" s="540"/>
      <c r="R80" s="538"/>
      <c r="S80" s="1"/>
      <c r="T80" s="288"/>
      <c r="U80" s="1"/>
      <c r="V80" s="1"/>
      <c r="W80" s="1"/>
    </row>
    <row r="81" spans="1:23" x14ac:dyDescent="0.25">
      <c r="A81" s="347"/>
      <c r="B81" s="205"/>
      <c r="C81" s="205"/>
      <c r="D81" s="279"/>
      <c r="E81" s="205"/>
      <c r="F81" s="373"/>
      <c r="G81" s="373"/>
      <c r="H81" s="393" t="s">
        <v>91</v>
      </c>
      <c r="I81" s="679" t="s">
        <v>68</v>
      </c>
      <c r="J81" s="680"/>
      <c r="K81" s="53">
        <v>69.5</v>
      </c>
      <c r="L81" s="288">
        <v>20</v>
      </c>
      <c r="M81" s="44" t="s">
        <v>171</v>
      </c>
      <c r="P81" s="369"/>
      <c r="Q81" s="538"/>
      <c r="R81" s="538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05"/>
      <c r="F82" s="373"/>
      <c r="G82" s="373"/>
      <c r="H82" s="357" t="s">
        <v>250</v>
      </c>
      <c r="I82" s="506" t="s">
        <v>174</v>
      </c>
      <c r="J82" s="507"/>
      <c r="K82" s="53"/>
      <c r="L82" s="288">
        <v>15</v>
      </c>
      <c r="M82" s="44" t="s">
        <v>171</v>
      </c>
      <c r="P82" s="369"/>
      <c r="Q82" s="538"/>
      <c r="R82" s="538"/>
      <c r="S82" s="1"/>
      <c r="T82" s="1"/>
      <c r="U82" s="1"/>
      <c r="V82" s="1"/>
      <c r="W82" s="1"/>
    </row>
    <row r="83" spans="1:23" x14ac:dyDescent="0.25">
      <c r="A83" s="347"/>
      <c r="B83" s="205"/>
      <c r="C83" s="373"/>
      <c r="D83" s="279"/>
      <c r="E83" s="205"/>
      <c r="F83" s="373"/>
      <c r="G83" s="373"/>
      <c r="H83" s="357" t="s">
        <v>250</v>
      </c>
      <c r="I83" s="506" t="s">
        <v>176</v>
      </c>
      <c r="J83" s="507"/>
      <c r="K83" s="53"/>
      <c r="L83" s="288">
        <v>20</v>
      </c>
      <c r="M83" s="44" t="s">
        <v>171</v>
      </c>
      <c r="O83" s="1">
        <v>89</v>
      </c>
      <c r="P83" s="369"/>
      <c r="Q83" s="538"/>
      <c r="R83" s="540"/>
      <c r="S83" s="1"/>
      <c r="T83" s="288"/>
      <c r="U83" s="1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93" t="s">
        <v>91</v>
      </c>
      <c r="I84" s="679" t="s">
        <v>81</v>
      </c>
      <c r="J84" s="680"/>
      <c r="K84" s="53">
        <v>588.1</v>
      </c>
      <c r="L84" s="288">
        <v>43840</v>
      </c>
      <c r="M84" s="44" t="s">
        <v>171</v>
      </c>
      <c r="O84" s="1">
        <f>O83-K79</f>
        <v>0</v>
      </c>
      <c r="P84" s="373"/>
      <c r="Q84" s="373"/>
      <c r="R84" s="372"/>
      <c r="S84" s="1"/>
      <c r="T84" s="288"/>
      <c r="U84" s="373"/>
      <c r="V84" s="1"/>
      <c r="W84" s="1"/>
    </row>
    <row r="85" spans="1:23" x14ac:dyDescent="0.25">
      <c r="A85" s="347"/>
      <c r="B85" s="205"/>
      <c r="C85" s="373"/>
      <c r="D85" s="279"/>
      <c r="E85" s="238"/>
      <c r="F85" s="373"/>
      <c r="G85" s="373"/>
      <c r="H85" s="393" t="s">
        <v>91</v>
      </c>
      <c r="I85" s="679" t="s">
        <v>53</v>
      </c>
      <c r="J85" s="680"/>
      <c r="K85" s="477">
        <v>10</v>
      </c>
      <c r="L85" s="288">
        <v>15</v>
      </c>
      <c r="M85" s="44" t="s">
        <v>171</v>
      </c>
      <c r="P85" s="455"/>
      <c r="Q85" s="87"/>
      <c r="R85" s="87"/>
      <c r="S85" s="1"/>
      <c r="T85" s="288"/>
      <c r="U85" s="373"/>
      <c r="V85" s="1"/>
      <c r="W85" s="1"/>
    </row>
    <row r="86" spans="1:23" x14ac:dyDescent="0.25">
      <c r="A86" s="347"/>
      <c r="B86" s="205"/>
      <c r="C86" s="373"/>
      <c r="D86" s="279"/>
      <c r="E86" s="238"/>
      <c r="F86" s="373"/>
      <c r="G86" s="373"/>
      <c r="H86" s="393" t="s">
        <v>91</v>
      </c>
      <c r="I86" s="675" t="s">
        <v>61</v>
      </c>
      <c r="J86" s="675"/>
      <c r="K86" s="53">
        <v>703.01</v>
      </c>
      <c r="L86" s="288">
        <v>20</v>
      </c>
      <c r="M86" s="44" t="s">
        <v>171</v>
      </c>
      <c r="P86"/>
      <c r="Q86"/>
      <c r="R86"/>
      <c r="S86" s="373"/>
      <c r="T86" s="288"/>
      <c r="U86" s="1"/>
      <c r="V86" s="1"/>
      <c r="W86" s="1"/>
    </row>
    <row r="87" spans="1:23" ht="15.75" thickBot="1" x14ac:dyDescent="0.3">
      <c r="A87" s="348"/>
      <c r="B87" s="337"/>
      <c r="C87" s="338"/>
      <c r="D87" s="349"/>
      <c r="E87" s="337"/>
      <c r="F87" s="338"/>
      <c r="G87" s="338"/>
      <c r="H87" s="353"/>
      <c r="I87" s="368" t="s">
        <v>179</v>
      </c>
      <c r="J87" s="368">
        <f>SUM(K76:K86)</f>
        <v>1736.95</v>
      </c>
      <c r="K87" s="676" t="s">
        <v>180</v>
      </c>
      <c r="L87" s="676"/>
      <c r="M87" s="367">
        <v>0</v>
      </c>
      <c r="P87" s="373"/>
      <c r="Q87" s="372"/>
      <c r="R87" s="372"/>
      <c r="S87" s="373"/>
      <c r="T87" s="288"/>
      <c r="U87" s="1"/>
      <c r="V87" s="1"/>
      <c r="W87" s="1"/>
    </row>
    <row r="88" spans="1:23" ht="15.75" thickTop="1" x14ac:dyDescent="0.25">
      <c r="C88" s="566"/>
      <c r="D88" s="566"/>
      <c r="P88" s="373"/>
      <c r="Q88" s="564"/>
      <c r="R88" s="372"/>
      <c r="S88" s="373"/>
      <c r="T88" s="288"/>
      <c r="U88" s="1"/>
      <c r="V88" s="1"/>
      <c r="W88" s="1"/>
    </row>
    <row r="89" spans="1:23" x14ac:dyDescent="0.25">
      <c r="C89" s="465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65"/>
      <c r="P90" s="539"/>
      <c r="Q90" s="1"/>
      <c r="R90" s="1"/>
      <c r="S90" s="1"/>
      <c r="T90" s="1"/>
      <c r="U90" s="1"/>
      <c r="V90" s="1"/>
      <c r="W90" s="1"/>
    </row>
    <row r="91" spans="1:23" x14ac:dyDescent="0.25">
      <c r="C91" s="465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65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65"/>
    </row>
    <row r="96" spans="1:23" x14ac:dyDescent="0.25">
      <c r="C96" s="465"/>
      <c r="P96" s="565"/>
    </row>
    <row r="97" spans="3:3" x14ac:dyDescent="0.25">
      <c r="C97" s="465"/>
    </row>
    <row r="98" spans="3:3" x14ac:dyDescent="0.25">
      <c r="C98" s="465"/>
    </row>
    <row r="99" spans="3:3" x14ac:dyDescent="0.25">
      <c r="C99" s="465"/>
    </row>
    <row r="100" spans="3:3" x14ac:dyDescent="0.25">
      <c r="C100" s="465"/>
    </row>
    <row r="101" spans="3:3" x14ac:dyDescent="0.25">
      <c r="C101" s="465"/>
    </row>
    <row r="102" spans="3:3" x14ac:dyDescent="0.25">
      <c r="C102" s="465"/>
    </row>
    <row r="103" spans="3:3" x14ac:dyDescent="0.25">
      <c r="C103" s="465"/>
    </row>
    <row r="104" spans="3:3" x14ac:dyDescent="0.25">
      <c r="C104" s="465"/>
    </row>
    <row r="105" spans="3:3" x14ac:dyDescent="0.25">
      <c r="C105" s="465"/>
    </row>
    <row r="106" spans="3:3" x14ac:dyDescent="0.25">
      <c r="C106" s="465"/>
    </row>
    <row r="107" spans="3:3" x14ac:dyDescent="0.25">
      <c r="C107" s="465"/>
    </row>
    <row r="108" spans="3:3" x14ac:dyDescent="0.25">
      <c r="C108" s="465"/>
    </row>
    <row r="109" spans="3:3" x14ac:dyDescent="0.25">
      <c r="C109" s="465"/>
    </row>
    <row r="110" spans="3:3" x14ac:dyDescent="0.25">
      <c r="C110" s="465"/>
    </row>
    <row r="111" spans="3:3" x14ac:dyDescent="0.25">
      <c r="C111" s="465"/>
    </row>
    <row r="112" spans="3:3" x14ac:dyDescent="0.25">
      <c r="C112" s="465"/>
    </row>
    <row r="113" spans="3:3" x14ac:dyDescent="0.25">
      <c r="C113" s="465"/>
    </row>
    <row r="114" spans="3:3" x14ac:dyDescent="0.25">
      <c r="C114" s="465"/>
    </row>
    <row r="115" spans="3:3" x14ac:dyDescent="0.25">
      <c r="C115" s="465"/>
    </row>
    <row r="116" spans="3:3" x14ac:dyDescent="0.25">
      <c r="C116" s="465"/>
    </row>
    <row r="117" spans="3:3" x14ac:dyDescent="0.25">
      <c r="C117" s="465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32"/>
      <c r="G2" s="232"/>
      <c r="H2" s="86"/>
      <c r="I2" s="491"/>
      <c r="J2" s="490"/>
      <c r="K2" s="490"/>
      <c r="L2" s="490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32">
        <v>183.7</v>
      </c>
      <c r="G3" s="232"/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32"/>
      <c r="G4" s="232">
        <v>316.8</v>
      </c>
      <c r="H4" s="232"/>
      <c r="I4" s="491">
        <v>329.05</v>
      </c>
      <c r="J4" s="490"/>
      <c r="K4" s="490"/>
      <c r="L4" s="490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32"/>
      <c r="G5" s="232">
        <v>216.6</v>
      </c>
      <c r="H5" s="86"/>
      <c r="I5" s="491">
        <v>23.2</v>
      </c>
      <c r="J5" s="490"/>
      <c r="K5" s="490"/>
      <c r="L5" s="490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32"/>
      <c r="G6" s="232">
        <v>195.9</v>
      </c>
      <c r="H6" s="86"/>
      <c r="I6" s="491">
        <v>135.85</v>
      </c>
      <c r="J6" s="490"/>
      <c r="K6" s="490"/>
      <c r="L6" s="490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32">
        <v>142.30000000000001</v>
      </c>
      <c r="G7" s="232"/>
      <c r="H7" s="86"/>
      <c r="I7" s="491">
        <v>78.7</v>
      </c>
      <c r="J7" s="490"/>
      <c r="K7" s="490"/>
      <c r="L7" s="490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32"/>
      <c r="G8" s="232">
        <v>123.2</v>
      </c>
      <c r="H8" s="86"/>
      <c r="I8" s="491"/>
      <c r="J8" s="490"/>
      <c r="K8" s="490"/>
      <c r="L8" s="490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32">
        <v>134.6</v>
      </c>
      <c r="G9" s="232"/>
      <c r="H9" s="18"/>
      <c r="I9" s="491"/>
      <c r="J9" s="490"/>
      <c r="K9" s="490"/>
      <c r="L9" s="490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32">
        <v>107.3</v>
      </c>
      <c r="G10" s="232"/>
      <c r="H10" s="448"/>
      <c r="I10" s="491">
        <v>271.10000000000002</v>
      </c>
      <c r="J10" s="490"/>
      <c r="K10" s="490"/>
      <c r="L10" s="490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32"/>
      <c r="G11" s="232">
        <v>142</v>
      </c>
      <c r="H11" s="232"/>
      <c r="I11" s="491">
        <v>20.2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32"/>
      <c r="G12" s="232">
        <v>261.3</v>
      </c>
      <c r="H12" s="232"/>
      <c r="I12" s="491">
        <v>72.5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32"/>
      <c r="G13" s="232">
        <v>285</v>
      </c>
      <c r="H13" s="232"/>
      <c r="I13" s="491">
        <v>95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32">
        <v>365.6</v>
      </c>
      <c r="G14" s="232"/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32"/>
      <c r="G15" s="232">
        <v>327</v>
      </c>
      <c r="H15" s="14"/>
      <c r="I15" s="491">
        <v>100.8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32">
        <v>378.97</v>
      </c>
      <c r="G16" s="232"/>
      <c r="H16" s="14"/>
      <c r="I16" s="491">
        <v>87.7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32"/>
      <c r="G17" s="232">
        <v>186.8</v>
      </c>
      <c r="H17" s="14"/>
      <c r="I17" s="491">
        <v>112.5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32"/>
      <c r="G18" s="232">
        <v>359.6</v>
      </c>
      <c r="H18" s="14"/>
      <c r="I18" s="491">
        <v>174</v>
      </c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32">
        <v>507.8</v>
      </c>
      <c r="G19" s="232"/>
      <c r="H19" s="14"/>
      <c r="I19" s="491">
        <v>341.8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7</v>
      </c>
      <c r="C20" s="17">
        <v>43849</v>
      </c>
      <c r="D20" s="22"/>
      <c r="E20" s="22">
        <v>1144.5</v>
      </c>
      <c r="F20" s="232"/>
      <c r="G20" s="232">
        <v>412.1</v>
      </c>
      <c r="H20" s="22"/>
      <c r="I20" s="497">
        <v>162.1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1</v>
      </c>
      <c r="C21" s="17">
        <v>43850</v>
      </c>
      <c r="D21" s="22"/>
      <c r="E21" s="22">
        <v>675.4</v>
      </c>
      <c r="F21" s="232"/>
      <c r="G21" s="232">
        <v>203.3</v>
      </c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2</v>
      </c>
      <c r="C22" s="17">
        <v>43851</v>
      </c>
      <c r="D22" s="22">
        <v>868.86</v>
      </c>
      <c r="E22" s="22"/>
      <c r="F22" s="232"/>
      <c r="G22" s="232">
        <v>569.32000000000005</v>
      </c>
      <c r="H22" s="232"/>
      <c r="I22" s="497">
        <v>148.19999999999999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3</v>
      </c>
      <c r="C23" s="17">
        <v>43852</v>
      </c>
      <c r="D23" s="22">
        <v>1207.5999999999999</v>
      </c>
      <c r="E23" s="22"/>
      <c r="F23" s="232">
        <v>94.05</v>
      </c>
      <c r="G23" s="232"/>
      <c r="H23" s="520"/>
      <c r="I23" s="497">
        <v>115.4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4</v>
      </c>
      <c r="C24" s="17">
        <v>43853</v>
      </c>
      <c r="D24" s="22"/>
      <c r="E24" s="22">
        <v>924.9</v>
      </c>
      <c r="F24" s="232"/>
      <c r="G24" s="232">
        <v>236</v>
      </c>
      <c r="H24" s="232"/>
      <c r="I24" s="497">
        <v>71.900000000000006</v>
      </c>
      <c r="J24" s="492"/>
      <c r="K24" s="497"/>
      <c r="L24" s="492"/>
    </row>
    <row r="25" spans="1:16" s="87" customFormat="1" ht="11.1" customHeight="1" x14ac:dyDescent="0.25">
      <c r="B25" s="483">
        <f t="shared" si="0"/>
        <v>5</v>
      </c>
      <c r="C25" s="17">
        <v>43854</v>
      </c>
      <c r="D25" s="22"/>
      <c r="E25" s="22">
        <v>1208.5999999999999</v>
      </c>
      <c r="F25" s="232"/>
      <c r="G25" s="232">
        <v>482.8</v>
      </c>
      <c r="H25" s="232"/>
      <c r="I25" s="497">
        <v>78.5</v>
      </c>
      <c r="J25" s="492"/>
      <c r="K25" s="492"/>
      <c r="L25" s="521"/>
    </row>
    <row r="26" spans="1:16" s="87" customFormat="1" ht="11.1" customHeight="1" x14ac:dyDescent="0.25">
      <c r="B26" s="483">
        <f t="shared" si="0"/>
        <v>6</v>
      </c>
      <c r="C26" s="17">
        <v>43855</v>
      </c>
      <c r="D26" s="22">
        <v>1211</v>
      </c>
      <c r="E26" s="22"/>
      <c r="F26" s="232">
        <v>544.5</v>
      </c>
      <c r="G26" s="522"/>
      <c r="H26" s="232"/>
      <c r="I26" s="497">
        <v>104.3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7</v>
      </c>
      <c r="C27" s="17">
        <v>43856</v>
      </c>
      <c r="D27" s="22">
        <v>1538.9</v>
      </c>
      <c r="E27" s="22"/>
      <c r="F27" s="232">
        <v>457.85</v>
      </c>
      <c r="G27" s="523"/>
      <c r="H27" s="232"/>
      <c r="I27" s="496">
        <v>319.2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1</v>
      </c>
      <c r="C28" s="17">
        <v>43857</v>
      </c>
      <c r="D28" s="22"/>
      <c r="E28" s="22">
        <v>905.6</v>
      </c>
      <c r="F28" s="232"/>
      <c r="G28" s="232">
        <v>328.8</v>
      </c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2</v>
      </c>
      <c r="C29" s="17">
        <v>43858</v>
      </c>
      <c r="D29" s="22"/>
      <c r="E29" s="22">
        <v>956.2</v>
      </c>
      <c r="F29" s="232"/>
      <c r="G29" s="232">
        <v>153.5</v>
      </c>
      <c r="H29" s="232"/>
      <c r="I29" s="496">
        <v>58.6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3</v>
      </c>
      <c r="C30" s="17">
        <v>43859</v>
      </c>
      <c r="D30" s="22">
        <v>1013.65</v>
      </c>
      <c r="E30" s="22"/>
      <c r="F30" s="232">
        <v>192.05</v>
      </c>
      <c r="G30" s="232"/>
      <c r="H30" s="232"/>
      <c r="I30" s="496">
        <v>116.1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4</v>
      </c>
      <c r="C31" s="17">
        <v>43860</v>
      </c>
      <c r="D31" s="22">
        <v>1171.5999999999999</v>
      </c>
      <c r="E31" s="22"/>
      <c r="F31" s="232">
        <v>227.1</v>
      </c>
      <c r="G31" s="232"/>
      <c r="H31" s="22"/>
      <c r="I31" s="501">
        <v>107.31</v>
      </c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5</v>
      </c>
      <c r="C32" s="17">
        <v>43861</v>
      </c>
      <c r="D32" s="243"/>
      <c r="E32" s="243">
        <v>774.3</v>
      </c>
      <c r="F32" s="232"/>
      <c r="G32" s="232">
        <v>287.8</v>
      </c>
      <c r="H32" s="53"/>
      <c r="I32" s="501">
        <v>68.58</v>
      </c>
      <c r="J32" s="501"/>
      <c r="K32" s="501"/>
      <c r="L32" s="501"/>
      <c r="M32" s="373"/>
      <c r="N32" s="373"/>
      <c r="O32" s="373"/>
      <c r="P32" s="373"/>
    </row>
    <row r="33" spans="1:16" ht="15.75" customHeight="1" thickBot="1" x14ac:dyDescent="0.3">
      <c r="B33" s="21"/>
      <c r="C33" s="544" t="s">
        <v>229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6" ht="12.95" customHeight="1" thickBot="1" x14ac:dyDescent="0.3">
      <c r="B34" s="21"/>
      <c r="C34" s="86" t="s">
        <v>13</v>
      </c>
      <c r="D34" s="244">
        <f>SUM(D2:D32)</f>
        <v>15012.880000000001</v>
      </c>
      <c r="E34" s="244">
        <f>SUM(E2:E32)</f>
        <v>13878.52</v>
      </c>
      <c r="F34" s="244">
        <f>SUM(F2:F32)</f>
        <v>3335.8199999999997</v>
      </c>
      <c r="G34" s="244">
        <f>SUM(G2:G32)</f>
        <v>5087.8200000000006</v>
      </c>
      <c r="H34" s="1"/>
      <c r="I34" s="110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6" ht="12.95" customHeight="1" thickBot="1" x14ac:dyDescent="0.3">
      <c r="B35" s="21"/>
      <c r="C35" s="86" t="s">
        <v>22</v>
      </c>
      <c r="D35" s="244">
        <v>13958.07</v>
      </c>
      <c r="E35" s="244">
        <v>12530.45</v>
      </c>
      <c r="F35" s="244">
        <v>3196.72</v>
      </c>
      <c r="G35" s="244">
        <v>4997.92</v>
      </c>
      <c r="H35" s="1"/>
      <c r="I35" s="502">
        <f>SUM(D2:E32)</f>
        <v>28891.4</v>
      </c>
      <c r="J35" s="298">
        <f>SUM(F2:G32)</f>
        <v>8423.6400000000012</v>
      </c>
      <c r="K35" s="475">
        <f>SUM(I2:I32)</f>
        <v>3192.5899999999997</v>
      </c>
      <c r="L35" s="370"/>
      <c r="M35" s="373"/>
      <c r="N35" s="373"/>
      <c r="O35" s="373"/>
      <c r="P35" s="373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6" ht="14.25" customHeight="1" x14ac:dyDescent="0.25">
      <c r="B37" s="21"/>
      <c r="C37" s="544" t="s">
        <v>242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516">
        <f>ROUND(G36*1%,2)</f>
        <v>0.9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6" ht="12" customHeight="1" x14ac:dyDescent="0.25">
      <c r="B38" s="21"/>
      <c r="C38" s="544" t="s">
        <v>243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516">
        <f>ROUND(3%*G35,2)</f>
        <v>149.94</v>
      </c>
      <c r="H38" s="1"/>
      <c r="I38" s="373"/>
      <c r="J38" s="148"/>
      <c r="K38" s="373"/>
      <c r="L38" s="370"/>
      <c r="M38" s="373"/>
      <c r="N38" s="373"/>
      <c r="O38" s="373"/>
      <c r="P38" s="373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517"/>
      <c r="H39" s="12"/>
      <c r="I39" s="373"/>
      <c r="J39" s="148"/>
      <c r="K39" s="373"/>
      <c r="L39" s="370"/>
      <c r="M39" s="373"/>
      <c r="N39" s="373"/>
      <c r="O39" s="373"/>
      <c r="P39" s="373"/>
    </row>
    <row r="40" spans="1:16" ht="9.75" customHeight="1" x14ac:dyDescent="0.25">
      <c r="B40" s="21"/>
      <c r="C40" s="545" t="s">
        <v>254</v>
      </c>
      <c r="D40" s="88">
        <v>100</v>
      </c>
      <c r="E40" s="88"/>
      <c r="F40" s="88"/>
      <c r="G40" s="517"/>
      <c r="H40" s="12"/>
      <c r="I40" s="373"/>
      <c r="J40" s="373"/>
      <c r="K40" s="373"/>
      <c r="L40" s="370"/>
      <c r="M40" s="373"/>
      <c r="N40" s="373"/>
      <c r="O40" s="373"/>
      <c r="P40" s="373"/>
    </row>
    <row r="41" spans="1:16" ht="12" customHeight="1" x14ac:dyDescent="0.25">
      <c r="B41" s="21"/>
      <c r="C41" s="86" t="s">
        <v>253</v>
      </c>
      <c r="D41" s="88">
        <f>ROUND(20*D33,2)</f>
        <v>300</v>
      </c>
      <c r="E41" s="88">
        <f>ROUND(20*E33,2)</f>
        <v>300</v>
      </c>
      <c r="F41" s="549">
        <f>ROUND(23*F33,2)</f>
        <v>276</v>
      </c>
      <c r="G41" s="89">
        <f>ROUND(23*G33,2)</f>
        <v>414</v>
      </c>
      <c r="H41" s="8"/>
      <c r="I41" s="129"/>
      <c r="J41" s="148"/>
      <c r="K41" s="148"/>
      <c r="L41" s="370"/>
      <c r="M41" s="373"/>
      <c r="N41" s="373"/>
      <c r="O41" s="373"/>
      <c r="P41" s="373"/>
    </row>
    <row r="42" spans="1:16" ht="9.75" customHeight="1" x14ac:dyDescent="0.25">
      <c r="B42" s="31"/>
      <c r="C42" s="245" t="s">
        <v>94</v>
      </c>
      <c r="D42" s="246">
        <v>298.10000000000002</v>
      </c>
      <c r="E42" s="247">
        <v>160.36000000000001</v>
      </c>
      <c r="F42" s="88"/>
      <c r="G42" s="88"/>
      <c r="I42" s="148"/>
      <c r="J42" s="373"/>
      <c r="K42" s="373"/>
      <c r="L42" s="370"/>
      <c r="M42" s="373"/>
      <c r="N42" s="373"/>
      <c r="O42" s="373"/>
      <c r="P42" s="373"/>
    </row>
    <row r="43" spans="1:16" ht="12" customHeight="1" x14ac:dyDescent="0.25">
      <c r="B43" s="21"/>
      <c r="C43" s="248" t="s">
        <v>26</v>
      </c>
      <c r="D43" s="249"/>
      <c r="E43" s="246">
        <v>150</v>
      </c>
      <c r="F43" s="88"/>
      <c r="G43" s="88">
        <v>300</v>
      </c>
      <c r="I43" s="289"/>
      <c r="J43" s="373"/>
      <c r="K43" s="373"/>
      <c r="L43" s="373"/>
      <c r="M43" s="373"/>
      <c r="N43" s="373"/>
      <c r="O43" s="373"/>
      <c r="P43" s="373"/>
    </row>
    <row r="44" spans="1:16" ht="12" customHeight="1" x14ac:dyDescent="0.25">
      <c r="B44" s="21"/>
      <c r="C44" s="251" t="s">
        <v>77</v>
      </c>
      <c r="D44" s="546">
        <v>482</v>
      </c>
      <c r="E44" s="478">
        <f>E37+E38+E39+E41-E42-E43</f>
        <v>429.03000000000009</v>
      </c>
      <c r="F44" s="546">
        <f>ROUNDUP(F37+F38+F41,0)</f>
        <v>374</v>
      </c>
      <c r="G44" s="478">
        <f>ROUNDUP(G37+G38+G41-G43,0)</f>
        <v>265</v>
      </c>
      <c r="I44" s="373"/>
      <c r="J44" s="373"/>
      <c r="K44" s="373"/>
      <c r="L44" s="373"/>
      <c r="M44" s="373"/>
      <c r="N44" s="373"/>
      <c r="O44" s="373"/>
      <c r="P44" s="373"/>
    </row>
    <row r="45" spans="1:16" ht="12" customHeight="1" x14ac:dyDescent="0.25">
      <c r="B45" s="21"/>
      <c r="C45" s="292" t="s">
        <v>45</v>
      </c>
      <c r="D45" s="293">
        <f>D37+D38+D39+D40+D41</f>
        <v>879.29</v>
      </c>
      <c r="E45" s="293">
        <f>E37+E38+E39+E41</f>
        <v>739.3900000000001</v>
      </c>
      <c r="F45" s="293"/>
      <c r="G45" s="293">
        <f>ROUNDUP(G37+G41+G38,0)</f>
        <v>565</v>
      </c>
      <c r="I45" s="373"/>
      <c r="J45" s="373"/>
      <c r="K45" s="373"/>
      <c r="L45" s="373"/>
      <c r="M45" s="373"/>
      <c r="N45" s="373"/>
      <c r="O45" s="373"/>
      <c r="P45" s="373"/>
    </row>
    <row r="46" spans="1:16" ht="12.95" customHeight="1" x14ac:dyDescent="0.25">
      <c r="B46" s="21"/>
      <c r="C46" s="172"/>
      <c r="D46" s="371"/>
      <c r="E46" s="486"/>
      <c r="F46" s="8">
        <f>E37+E41+E38-E43+E39-E42</f>
        <v>429.03000000000009</v>
      </c>
      <c r="I46" s="129"/>
      <c r="J46" s="373"/>
      <c r="K46" s="373"/>
      <c r="L46" s="373"/>
      <c r="M46" s="373"/>
      <c r="N46" s="373"/>
      <c r="O46" s="373"/>
      <c r="P46" s="373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73"/>
      <c r="K47" s="373"/>
      <c r="L47" s="373"/>
      <c r="M47" s="148"/>
      <c r="N47" s="373"/>
      <c r="O47" s="373"/>
      <c r="P47" s="373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73"/>
      <c r="K48" s="373"/>
      <c r="L48" s="373"/>
      <c r="M48" s="148"/>
      <c r="N48" s="373"/>
      <c r="O48" s="373"/>
      <c r="P48" s="373"/>
    </row>
    <row r="49" spans="1:16" ht="12.95" customHeight="1" x14ac:dyDescent="0.25">
      <c r="B49" s="32"/>
      <c r="C49" s="1"/>
      <c r="D49" s="1"/>
      <c r="E49" s="11"/>
      <c r="H49" s="213"/>
      <c r="I49" s="69"/>
      <c r="J49" s="373"/>
      <c r="K49" s="373"/>
      <c r="L49" s="373"/>
      <c r="M49" s="373"/>
      <c r="N49" s="373"/>
      <c r="O49" s="373"/>
      <c r="P49" s="373"/>
    </row>
    <row r="50" spans="1:16" ht="12.95" customHeight="1" x14ac:dyDescent="0.3">
      <c r="B50" s="54"/>
      <c r="C50" s="513" t="s">
        <v>226</v>
      </c>
      <c r="D50" s="513"/>
      <c r="E50" s="513"/>
      <c r="F50" s="513"/>
      <c r="G50" s="513"/>
      <c r="H50" s="213"/>
      <c r="I50" s="69"/>
      <c r="J50" s="373"/>
      <c r="K50" s="373"/>
      <c r="L50" s="373"/>
      <c r="M50" s="373"/>
      <c r="N50" s="373"/>
      <c r="O50" s="373"/>
      <c r="P50" s="373"/>
    </row>
    <row r="51" spans="1:16" ht="12.95" customHeight="1" x14ac:dyDescent="0.3">
      <c r="C51" s="513"/>
      <c r="D51" s="513"/>
      <c r="E51" s="513"/>
      <c r="F51" s="513"/>
      <c r="G51" s="513"/>
      <c r="H51" s="8"/>
      <c r="I51" s="513"/>
      <c r="J51" s="513"/>
      <c r="K51" s="513"/>
      <c r="L51" s="373"/>
      <c r="M51" s="373"/>
      <c r="N51" s="373"/>
      <c r="O51" s="373"/>
      <c r="P51" s="373"/>
    </row>
    <row r="52" spans="1:16" ht="12" customHeight="1" x14ac:dyDescent="0.3">
      <c r="A52" s="1"/>
      <c r="B52" s="1"/>
      <c r="C52" s="513"/>
      <c r="D52" s="513"/>
      <c r="E52" s="513"/>
      <c r="F52" s="513"/>
      <c r="G52" s="513"/>
      <c r="H52" s="213"/>
      <c r="I52" s="513"/>
      <c r="J52" s="513"/>
      <c r="K52" s="513"/>
      <c r="L52" s="373"/>
      <c r="M52" s="373"/>
      <c r="N52" s="373"/>
      <c r="O52" s="373"/>
      <c r="P52" s="373"/>
    </row>
    <row r="53" spans="1:16" ht="18.75" x14ac:dyDescent="0.3">
      <c r="A53" s="1"/>
      <c r="B53" s="1"/>
      <c r="C53" s="1"/>
      <c r="D53" s="1"/>
      <c r="E53" s="11"/>
      <c r="H53" s="213"/>
      <c r="I53" s="513"/>
      <c r="J53" s="513"/>
      <c r="K53" s="513"/>
      <c r="L53" s="373"/>
      <c r="M53" s="373"/>
      <c r="N53" s="373"/>
      <c r="O53" s="373"/>
      <c r="P53" s="373"/>
    </row>
    <row r="54" spans="1:16" x14ac:dyDescent="0.25">
      <c r="A54" s="1"/>
      <c r="B54" s="1"/>
      <c r="C54" s="1"/>
      <c r="D54" s="1"/>
      <c r="E54" s="11"/>
      <c r="I54" s="146"/>
      <c r="J54" s="373"/>
      <c r="K54" s="373"/>
      <c r="L54" s="373"/>
      <c r="M54" s="373"/>
      <c r="N54" s="373"/>
      <c r="O54" s="373"/>
      <c r="P54" s="373"/>
    </row>
    <row r="55" spans="1:16" ht="15" customHeight="1" x14ac:dyDescent="0.3">
      <c r="A55" s="1"/>
      <c r="B55" s="1"/>
      <c r="C55" s="1"/>
      <c r="D55" s="1"/>
      <c r="E55" s="11"/>
      <c r="H55" s="513"/>
      <c r="I55" s="373"/>
      <c r="J55" s="373"/>
      <c r="K55" s="373"/>
      <c r="L55" s="373"/>
      <c r="M55" s="373"/>
      <c r="N55" s="373"/>
      <c r="O55" s="373"/>
      <c r="P55" s="373"/>
    </row>
    <row r="56" spans="1:16" ht="15" customHeight="1" x14ac:dyDescent="0.3">
      <c r="A56" s="1"/>
      <c r="B56" s="1"/>
      <c r="C56" s="1"/>
      <c r="D56" s="1"/>
      <c r="E56" s="11"/>
      <c r="H56" s="513"/>
      <c r="I56" s="373"/>
      <c r="J56" s="373"/>
      <c r="K56" s="373"/>
      <c r="L56" s="373"/>
      <c r="M56" s="373"/>
      <c r="N56" s="373"/>
      <c r="O56" s="373"/>
      <c r="P56" s="373"/>
    </row>
    <row r="57" spans="1:16" ht="15" customHeight="1" x14ac:dyDescent="0.3">
      <c r="A57" s="1"/>
      <c r="B57" s="1"/>
      <c r="C57" s="1"/>
      <c r="D57" s="1"/>
      <c r="E57" s="11"/>
      <c r="H57" s="513"/>
      <c r="I57" s="373"/>
      <c r="J57" s="373"/>
      <c r="K57" s="373"/>
      <c r="L57" s="373"/>
      <c r="M57" s="373"/>
      <c r="N57" s="373"/>
      <c r="O57" s="373"/>
      <c r="P57" s="373"/>
    </row>
    <row r="58" spans="1:16" x14ac:dyDescent="0.25">
      <c r="A58" s="1"/>
      <c r="B58" s="1"/>
      <c r="C58" s="1"/>
      <c r="D58" s="1"/>
      <c r="E58" s="11"/>
      <c r="L58" s="373"/>
      <c r="M58" s="373"/>
      <c r="N58" s="373"/>
      <c r="O58" s="373"/>
      <c r="P58" s="373"/>
    </row>
    <row r="59" spans="1:16" x14ac:dyDescent="0.25">
      <c r="A59" s="1"/>
      <c r="B59" s="1"/>
      <c r="C59" s="1"/>
      <c r="D59" s="1"/>
      <c r="E59" s="11"/>
      <c r="L59" s="373"/>
      <c r="M59" s="373"/>
      <c r="N59" s="373"/>
      <c r="O59" s="373"/>
      <c r="P59" s="373"/>
    </row>
    <row r="60" spans="1:16" x14ac:dyDescent="0.25">
      <c r="A60" s="1"/>
      <c r="B60" s="1"/>
      <c r="C60" s="1"/>
      <c r="D60" s="1"/>
      <c r="E60" s="11"/>
      <c r="L60" s="373"/>
      <c r="M60" s="373"/>
      <c r="N60" s="373"/>
      <c r="O60" s="373"/>
      <c r="P60" s="373"/>
    </row>
    <row r="61" spans="1:16" x14ac:dyDescent="0.25">
      <c r="A61" s="1"/>
      <c r="B61" s="1"/>
      <c r="C61" s="1"/>
      <c r="D61" s="1"/>
      <c r="E61" s="11"/>
      <c r="L61" s="373"/>
      <c r="M61" s="373"/>
      <c r="N61" s="373"/>
      <c r="O61" s="373"/>
      <c r="P61" s="373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5" sqref="B5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33" t="s">
        <v>281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20" ht="15.75" thickBo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20" ht="15.75" thickTop="1" x14ac:dyDescent="0.25">
      <c r="A3" s="732" t="s">
        <v>28</v>
      </c>
      <c r="B3" s="695"/>
      <c r="C3" s="695"/>
      <c r="D3" s="695"/>
      <c r="E3" s="695"/>
      <c r="F3" s="695"/>
      <c r="G3" s="696"/>
      <c r="H3" s="741" t="s">
        <v>255</v>
      </c>
      <c r="I3" s="742"/>
      <c r="J3" s="742"/>
      <c r="K3" s="742"/>
      <c r="L3" s="742"/>
      <c r="M3" s="743"/>
      <c r="N3" s="555"/>
      <c r="O3" s="722" t="s">
        <v>60</v>
      </c>
      <c r="P3" s="722"/>
    </row>
    <row r="4" spans="1:20" ht="21.75" customHeight="1" x14ac:dyDescent="0.25">
      <c r="A4" s="330" t="s">
        <v>2</v>
      </c>
      <c r="B4" s="554" t="s">
        <v>34</v>
      </c>
      <c r="C4" s="36" t="s">
        <v>35</v>
      </c>
      <c r="D4" s="36" t="s">
        <v>38</v>
      </c>
      <c r="E4" s="36" t="s">
        <v>42</v>
      </c>
      <c r="F4" s="554" t="s">
        <v>36</v>
      </c>
      <c r="G4" s="101" t="s">
        <v>173</v>
      </c>
      <c r="H4" s="739"/>
      <c r="I4" s="740"/>
      <c r="J4" s="550" t="s">
        <v>35</v>
      </c>
      <c r="K4" s="550" t="s">
        <v>38</v>
      </c>
      <c r="L4" s="550" t="s">
        <v>42</v>
      </c>
      <c r="M4" s="101" t="s">
        <v>44</v>
      </c>
      <c r="N4" s="373"/>
      <c r="O4" s="561" t="s">
        <v>2</v>
      </c>
      <c r="P4" s="561" t="s">
        <v>34</v>
      </c>
      <c r="Q4" s="154" t="s">
        <v>38</v>
      </c>
      <c r="R4" s="154" t="s">
        <v>42</v>
      </c>
      <c r="S4" s="561" t="s">
        <v>100</v>
      </c>
      <c r="T4" s="373"/>
    </row>
    <row r="5" spans="1:20" x14ac:dyDescent="0.25">
      <c r="A5" s="331">
        <v>43866</v>
      </c>
      <c r="B5" s="164" t="s">
        <v>263</v>
      </c>
      <c r="C5" s="99">
        <v>294</v>
      </c>
      <c r="D5" s="99">
        <v>294</v>
      </c>
      <c r="E5" s="163" t="str">
        <f>IF(C5-D5=0,"",C5-D5)</f>
        <v/>
      </c>
      <c r="F5" s="165" t="str">
        <f t="shared" ref="F5" si="0">IF(C5=0,"",IF(C5-D5=0,"оплачено","ОЖИДАЕТСЯ оплата"))</f>
        <v>оплачено</v>
      </c>
      <c r="G5" s="469"/>
      <c r="H5" s="744" t="s">
        <v>39</v>
      </c>
      <c r="I5" s="713"/>
      <c r="J5" s="601">
        <v>1633.61</v>
      </c>
      <c r="K5" s="556">
        <v>1633.61</v>
      </c>
      <c r="L5" s="163">
        <f t="shared" ref="L5" si="1">J5-K5</f>
        <v>0</v>
      </c>
      <c r="M5" s="102">
        <v>43886</v>
      </c>
      <c r="N5" s="147"/>
      <c r="O5" s="274"/>
      <c r="P5" s="561"/>
      <c r="Q5" s="561"/>
      <c r="R5" s="561"/>
      <c r="S5" s="164"/>
      <c r="T5" s="373"/>
    </row>
    <row r="6" spans="1:20" s="87" customFormat="1" ht="16.5" customHeight="1" x14ac:dyDescent="0.25">
      <c r="A6" s="331">
        <v>43867</v>
      </c>
      <c r="B6" s="164" t="s">
        <v>223</v>
      </c>
      <c r="C6" s="99">
        <v>325.49</v>
      </c>
      <c r="D6" s="99">
        <v>325.49</v>
      </c>
      <c r="E6" s="163" t="str">
        <f t="shared" ref="E6:E20" si="2">IF(C6-D6=0,"",C6-D6)</f>
        <v/>
      </c>
      <c r="F6" s="165" t="str">
        <f t="shared" ref="F6:F20" si="3">IF(C6=0,"",IF(C6-D6=0,"оплачено","ОЖИДАЕТСЯ оплата"))</f>
        <v>оплачено</v>
      </c>
      <c r="G6" s="469"/>
      <c r="H6" s="761" t="s">
        <v>40</v>
      </c>
      <c r="I6" s="762"/>
      <c r="J6" s="531">
        <v>899.78</v>
      </c>
      <c r="K6" s="602">
        <f>394.39+260+245.39</f>
        <v>899.78</v>
      </c>
      <c r="L6" s="530">
        <f>J6-K6</f>
        <v>0</v>
      </c>
      <c r="M6" s="532">
        <v>43887</v>
      </c>
      <c r="N6" s="147"/>
      <c r="O6" s="274"/>
      <c r="P6" s="561"/>
      <c r="Q6" s="561"/>
      <c r="R6" s="561"/>
      <c r="S6" s="561"/>
    </row>
    <row r="7" spans="1:20" s="87" customFormat="1" x14ac:dyDescent="0.25">
      <c r="A7" s="331">
        <v>43872</v>
      </c>
      <c r="B7" s="164" t="s">
        <v>155</v>
      </c>
      <c r="C7" s="99">
        <v>108.65</v>
      </c>
      <c r="D7" s="99">
        <v>108.65</v>
      </c>
      <c r="E7" s="163" t="str">
        <f t="shared" si="2"/>
        <v/>
      </c>
      <c r="F7" s="165" t="str">
        <f t="shared" si="3"/>
        <v>оплачено</v>
      </c>
      <c r="G7" s="469"/>
      <c r="H7" s="347"/>
      <c r="I7" s="373"/>
      <c r="J7" s="577">
        <f>SUM(J5:J6)</f>
        <v>2533.39</v>
      </c>
      <c r="K7" s="373"/>
      <c r="L7" s="85"/>
      <c r="M7" s="320"/>
      <c r="N7" s="373"/>
      <c r="O7" s="274"/>
      <c r="P7" s="561"/>
      <c r="Q7" s="561"/>
      <c r="R7" s="561"/>
      <c r="S7" s="561"/>
    </row>
    <row r="8" spans="1:20" s="87" customFormat="1" x14ac:dyDescent="0.25">
      <c r="A8" s="331">
        <v>43872</v>
      </c>
      <c r="B8" s="164" t="s">
        <v>205</v>
      </c>
      <c r="C8" s="281">
        <v>285.2</v>
      </c>
      <c r="D8" s="281">
        <v>285.2</v>
      </c>
      <c r="E8" s="163" t="str">
        <f t="shared" si="2"/>
        <v/>
      </c>
      <c r="F8" s="165" t="str">
        <f t="shared" si="3"/>
        <v>оплачено</v>
      </c>
      <c r="G8" s="469"/>
      <c r="H8" s="347"/>
      <c r="I8" s="373"/>
      <c r="J8" s="373"/>
      <c r="K8" s="373"/>
      <c r="L8" s="373"/>
      <c r="M8" s="320"/>
      <c r="N8" s="373"/>
      <c r="O8" s="274"/>
      <c r="P8" s="561"/>
      <c r="Q8" s="561"/>
      <c r="R8" s="561"/>
      <c r="S8" s="561"/>
    </row>
    <row r="9" spans="1:20" s="87" customFormat="1" x14ac:dyDescent="0.25">
      <c r="A9" s="331">
        <v>43873</v>
      </c>
      <c r="B9" s="164" t="s">
        <v>266</v>
      </c>
      <c r="C9" s="281">
        <v>331.86</v>
      </c>
      <c r="D9" s="281">
        <v>331.86</v>
      </c>
      <c r="E9" s="163" t="str">
        <f t="shared" si="2"/>
        <v/>
      </c>
      <c r="F9" s="165" t="str">
        <f t="shared" si="3"/>
        <v>оплачено</v>
      </c>
      <c r="G9" s="469"/>
      <c r="H9" s="347"/>
      <c r="I9" s="373"/>
      <c r="J9" s="373"/>
      <c r="K9" s="373"/>
      <c r="L9" s="373"/>
      <c r="M9" s="320"/>
      <c r="N9" s="373"/>
      <c r="O9" s="274"/>
      <c r="P9" s="561"/>
      <c r="Q9" s="561"/>
      <c r="R9" s="561"/>
      <c r="S9" s="561"/>
    </row>
    <row r="10" spans="1:20" s="87" customFormat="1" ht="15" customHeight="1" x14ac:dyDescent="0.25">
      <c r="A10" s="331">
        <v>43871</v>
      </c>
      <c r="B10" s="164" t="s">
        <v>265</v>
      </c>
      <c r="C10" s="281">
        <v>280.52999999999997</v>
      </c>
      <c r="D10" s="281">
        <v>280.52999999999997</v>
      </c>
      <c r="E10" s="163" t="str">
        <f t="shared" si="2"/>
        <v/>
      </c>
      <c r="F10" s="165" t="str">
        <f t="shared" si="3"/>
        <v>оплачено</v>
      </c>
      <c r="G10" s="469"/>
      <c r="H10" s="347"/>
      <c r="I10" s="373"/>
      <c r="J10" s="373"/>
      <c r="K10" s="373"/>
      <c r="L10" s="373"/>
      <c r="M10" s="320"/>
      <c r="N10" s="559"/>
      <c r="O10" s="274"/>
      <c r="P10" s="561"/>
      <c r="Q10" s="561"/>
      <c r="R10" s="561"/>
      <c r="S10" s="561"/>
    </row>
    <row r="11" spans="1:20" ht="18.75" customHeight="1" x14ac:dyDescent="0.25">
      <c r="A11" s="331" t="s">
        <v>221</v>
      </c>
      <c r="B11" s="164" t="s">
        <v>224</v>
      </c>
      <c r="C11" s="281">
        <v>342.57</v>
      </c>
      <c r="D11" s="281">
        <f>330+12.57</f>
        <v>342.57</v>
      </c>
      <c r="E11" s="163" t="str">
        <f t="shared" si="2"/>
        <v/>
      </c>
      <c r="F11" s="165" t="str">
        <f t="shared" si="3"/>
        <v>оплачено</v>
      </c>
      <c r="G11" s="469"/>
      <c r="H11" s="43"/>
      <c r="I11" s="1"/>
      <c r="J11" s="373"/>
      <c r="K11" s="1"/>
      <c r="L11" s="1"/>
      <c r="M11" s="44"/>
      <c r="N11" s="559"/>
      <c r="O11" s="273"/>
      <c r="P11" s="373"/>
      <c r="Q11" s="373"/>
      <c r="R11" s="373"/>
      <c r="S11" s="373"/>
      <c r="T11" s="373"/>
    </row>
    <row r="12" spans="1:20" ht="15.75" customHeight="1" x14ac:dyDescent="0.25">
      <c r="A12" s="331" t="s">
        <v>221</v>
      </c>
      <c r="B12" s="164" t="s">
        <v>155</v>
      </c>
      <c r="C12" s="281">
        <v>116.37</v>
      </c>
      <c r="D12" s="281">
        <v>116.37</v>
      </c>
      <c r="E12" s="163" t="str">
        <f t="shared" si="2"/>
        <v/>
      </c>
      <c r="F12" s="165" t="str">
        <f t="shared" si="3"/>
        <v>оплачено</v>
      </c>
      <c r="G12" s="469"/>
      <c r="H12" s="43"/>
      <c r="I12" s="1"/>
      <c r="J12" s="373"/>
      <c r="K12" s="1"/>
      <c r="L12" s="1"/>
      <c r="M12" s="44"/>
      <c r="N12" s="559"/>
      <c r="O12" s="467"/>
      <c r="P12" s="468"/>
      <c r="Q12" s="373"/>
      <c r="R12" s="373"/>
      <c r="S12" s="373"/>
      <c r="T12" s="373"/>
    </row>
    <row r="13" spans="1:20" ht="14.25" customHeight="1" x14ac:dyDescent="0.25">
      <c r="A13" s="331"/>
      <c r="B13" s="164"/>
      <c r="C13" s="281"/>
      <c r="D13" s="281"/>
      <c r="E13" s="163" t="str">
        <f t="shared" si="2"/>
        <v/>
      </c>
      <c r="F13" s="165" t="str">
        <f t="shared" si="3"/>
        <v/>
      </c>
      <c r="G13" s="469"/>
      <c r="H13" s="43"/>
      <c r="I13" s="1"/>
      <c r="J13" s="373"/>
      <c r="K13" s="1"/>
      <c r="L13" s="1"/>
      <c r="M13" s="44"/>
      <c r="N13" s="559"/>
      <c r="O13" s="128"/>
      <c r="P13" s="468"/>
      <c r="Q13" s="373"/>
      <c r="R13" s="373"/>
      <c r="S13" s="373"/>
      <c r="T13" s="373"/>
    </row>
    <row r="14" spans="1:20" ht="17.25" customHeight="1" x14ac:dyDescent="0.25">
      <c r="A14" s="331"/>
      <c r="B14" s="164"/>
      <c r="C14" s="281"/>
      <c r="D14" s="281"/>
      <c r="E14" s="163" t="str">
        <f t="shared" si="2"/>
        <v/>
      </c>
      <c r="F14" s="165" t="str">
        <f t="shared" si="3"/>
        <v/>
      </c>
      <c r="G14" s="469"/>
      <c r="H14" s="43"/>
      <c r="I14" s="1"/>
      <c r="J14" s="373"/>
      <c r="K14" s="1"/>
      <c r="L14" s="1"/>
      <c r="M14" s="44"/>
      <c r="N14" s="559"/>
      <c r="O14" s="467"/>
      <c r="P14" s="373"/>
      <c r="Q14" s="373"/>
      <c r="R14" s="373"/>
      <c r="S14" s="373"/>
      <c r="T14" s="373"/>
    </row>
    <row r="15" spans="1:20" ht="14.25" customHeight="1" x14ac:dyDescent="0.25">
      <c r="A15" s="331"/>
      <c r="B15" s="164"/>
      <c r="C15" s="281"/>
      <c r="D15" s="164"/>
      <c r="E15" s="163" t="str">
        <f t="shared" si="2"/>
        <v/>
      </c>
      <c r="F15" s="165" t="str">
        <f t="shared" si="3"/>
        <v/>
      </c>
      <c r="G15" s="469"/>
      <c r="H15" s="43"/>
      <c r="I15" s="1"/>
      <c r="J15" s="373"/>
      <c r="K15" s="1"/>
      <c r="L15" s="1"/>
      <c r="M15" s="44"/>
      <c r="N15" s="559"/>
      <c r="O15" s="128"/>
      <c r="P15" s="468"/>
      <c r="Q15" s="373"/>
      <c r="R15" s="373"/>
      <c r="S15" s="373"/>
      <c r="T15" s="373"/>
    </row>
    <row r="16" spans="1:20" x14ac:dyDescent="0.25">
      <c r="A16" s="331"/>
      <c r="B16" s="164"/>
      <c r="C16" s="281"/>
      <c r="D16" s="164"/>
      <c r="E16" s="163" t="str">
        <f t="shared" si="2"/>
        <v/>
      </c>
      <c r="F16" s="165" t="str">
        <f t="shared" si="3"/>
        <v/>
      </c>
      <c r="G16" s="469"/>
      <c r="H16" s="43"/>
      <c r="I16" s="1"/>
      <c r="J16" s="373"/>
      <c r="K16" s="1"/>
      <c r="L16" s="1"/>
      <c r="M16" s="44"/>
      <c r="N16" s="301"/>
      <c r="O16" s="467"/>
      <c r="P16" s="767"/>
      <c r="Q16" s="767"/>
      <c r="R16" s="373"/>
      <c r="S16" s="87"/>
      <c r="T16" s="87"/>
    </row>
    <row r="17" spans="1:22" x14ac:dyDescent="0.25">
      <c r="A17" s="333"/>
      <c r="B17" s="164"/>
      <c r="C17" s="164"/>
      <c r="D17" s="164"/>
      <c r="E17" s="163" t="str">
        <f t="shared" si="2"/>
        <v/>
      </c>
      <c r="F17" s="165" t="str">
        <f t="shared" si="3"/>
        <v/>
      </c>
      <c r="G17" s="469"/>
      <c r="H17" s="43"/>
      <c r="I17" s="1"/>
      <c r="J17" s="373"/>
      <c r="K17" s="1"/>
      <c r="L17" s="1"/>
      <c r="M17" s="44"/>
      <c r="N17" s="301"/>
      <c r="O17" s="468"/>
      <c r="P17" s="468"/>
      <c r="Q17" s="373"/>
      <c r="R17" s="373"/>
      <c r="S17" s="87"/>
      <c r="T17" s="87"/>
    </row>
    <row r="18" spans="1:22" ht="15.75" customHeight="1" x14ac:dyDescent="0.25">
      <c r="A18" s="334"/>
      <c r="B18" s="164"/>
      <c r="C18" s="164"/>
      <c r="D18" s="164"/>
      <c r="E18" s="163" t="str">
        <f t="shared" si="2"/>
        <v/>
      </c>
      <c r="F18" s="165" t="str">
        <f t="shared" si="3"/>
        <v/>
      </c>
      <c r="G18" s="469"/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</row>
    <row r="19" spans="1:22" x14ac:dyDescent="0.25">
      <c r="A19" s="334"/>
      <c r="B19" s="164"/>
      <c r="C19" s="164"/>
      <c r="D19" s="164"/>
      <c r="E19" s="163" t="str">
        <f t="shared" si="2"/>
        <v/>
      </c>
      <c r="F19" s="165" t="str">
        <f t="shared" si="3"/>
        <v/>
      </c>
      <c r="G19" s="469"/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</row>
    <row r="20" spans="1:22" x14ac:dyDescent="0.25">
      <c r="A20" s="333"/>
      <c r="B20" s="164"/>
      <c r="C20" s="164"/>
      <c r="D20" s="164"/>
      <c r="E20" s="163" t="str">
        <f t="shared" si="2"/>
        <v/>
      </c>
      <c r="F20" s="165" t="str">
        <f t="shared" si="3"/>
        <v/>
      </c>
      <c r="G20" s="469"/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</row>
    <row r="21" spans="1:22" ht="15.75" thickBot="1" x14ac:dyDescent="0.3">
      <c r="A21" s="765" t="s">
        <v>278</v>
      </c>
      <c r="B21" s="766"/>
      <c r="C21" s="365">
        <f>SUM(C5:C20)</f>
        <v>2084.6699999999996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</row>
    <row r="22" spans="1:22" ht="15.75" thickTop="1" x14ac:dyDescent="0.25">
      <c r="A22" s="358"/>
      <c r="B22" s="359"/>
      <c r="C22" s="360"/>
      <c r="D22" s="360"/>
      <c r="E22" s="361"/>
      <c r="F22" s="359"/>
      <c r="G22" s="392"/>
      <c r="H22" s="697" t="s">
        <v>16</v>
      </c>
      <c r="I22" s="699" t="s">
        <v>17</v>
      </c>
      <c r="J22" s="699" t="s">
        <v>21</v>
      </c>
      <c r="K22" s="699"/>
      <c r="L22" s="701" t="s">
        <v>93</v>
      </c>
      <c r="M22" s="703" t="s">
        <v>95</v>
      </c>
      <c r="N22" s="1"/>
      <c r="O22" s="128"/>
      <c r="P22" s="468"/>
      <c r="Q22" s="373"/>
      <c r="R22" s="373"/>
      <c r="S22" s="87"/>
      <c r="T22" s="87"/>
      <c r="V22" s="1"/>
    </row>
    <row r="23" spans="1:22" ht="24" x14ac:dyDescent="0.25">
      <c r="A23" s="362"/>
      <c r="B23" s="207"/>
      <c r="C23" s="207"/>
      <c r="D23" s="207"/>
      <c r="E23" s="222"/>
      <c r="F23" s="207"/>
      <c r="G23" s="207"/>
      <c r="H23" s="698"/>
      <c r="I23" s="700"/>
      <c r="J23" s="551" t="s">
        <v>21</v>
      </c>
      <c r="K23" s="551" t="s">
        <v>25</v>
      </c>
      <c r="L23" s="702"/>
      <c r="M23" s="704"/>
      <c r="N23" s="1"/>
      <c r="P23" s="373"/>
      <c r="Q23" s="373"/>
      <c r="R23" s="373"/>
      <c r="S23" s="87"/>
      <c r="T23" s="87"/>
      <c r="V23" s="1"/>
    </row>
    <row r="24" spans="1:22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/>
      <c r="P24" s="85"/>
      <c r="Q24" s="373"/>
      <c r="R24" s="373"/>
      <c r="S24" s="87"/>
      <c r="T24" s="87"/>
      <c r="V24" s="1"/>
    </row>
    <row r="25" spans="1:22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73"/>
      <c r="P25" s="373"/>
      <c r="Q25" s="87"/>
      <c r="R25" s="373"/>
      <c r="S25" s="87"/>
      <c r="T25" s="87"/>
      <c r="V25" s="1"/>
    </row>
    <row r="26" spans="1:22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4">M25-I26-J26-K26+L26</f>
        <v>83639.329999999987</v>
      </c>
      <c r="N26" s="1"/>
      <c r="P26" s="85"/>
      <c r="Q26" s="373"/>
      <c r="R26" s="373"/>
      <c r="S26" s="87"/>
      <c r="T26" s="87"/>
      <c r="V26" s="1"/>
    </row>
    <row r="27" spans="1:22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4"/>
        <v>107659.22999999998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4"/>
        <v>112611.86999999998</v>
      </c>
      <c r="N28" s="373"/>
      <c r="P28" s="373"/>
      <c r="Q28" s="373"/>
      <c r="R28" s="373"/>
      <c r="S28" s="87"/>
      <c r="T28" s="87"/>
      <c r="V28" s="373"/>
    </row>
    <row r="29" spans="1:22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373"/>
      <c r="P29" s="373"/>
      <c r="Q29" s="373"/>
      <c r="R29" s="373"/>
      <c r="S29" s="87"/>
      <c r="T29" s="87"/>
      <c r="V29" s="373"/>
    </row>
    <row r="30" spans="1:22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373"/>
      <c r="P30" s="373"/>
      <c r="Q30" s="373"/>
      <c r="R30" s="373"/>
      <c r="S30" s="87"/>
      <c r="T30" s="87"/>
      <c r="V30" s="373"/>
    </row>
    <row r="31" spans="1:22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373"/>
      <c r="P31" s="85"/>
      <c r="Q31" s="373"/>
      <c r="R31" s="373"/>
      <c r="S31" s="87"/>
      <c r="T31" s="87"/>
      <c r="V31" s="373"/>
    </row>
    <row r="32" spans="1:22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373"/>
      <c r="P32" s="373"/>
      <c r="Q32" s="87"/>
      <c r="R32" s="373"/>
      <c r="S32" s="87"/>
      <c r="T32" s="87"/>
      <c r="U32" s="373"/>
      <c r="V32" s="373"/>
    </row>
    <row r="33" spans="1:21" ht="12.75" customHeight="1" thickTop="1" x14ac:dyDescent="0.25">
      <c r="A33" s="346"/>
      <c r="B33" s="205"/>
      <c r="C33" s="1"/>
      <c r="D33" s="279"/>
      <c r="E33" s="85"/>
      <c r="F33" s="373"/>
      <c r="G33" s="373"/>
      <c r="H33" s="681" t="s">
        <v>36</v>
      </c>
      <c r="I33" s="683" t="s">
        <v>178</v>
      </c>
      <c r="J33" s="684"/>
      <c r="K33" s="685"/>
      <c r="L33" s="689" t="s">
        <v>159</v>
      </c>
      <c r="M33" s="690"/>
      <c r="N33" s="1"/>
      <c r="P33" s="85"/>
      <c r="Q33" s="373"/>
      <c r="R33" s="373"/>
      <c r="S33" s="87"/>
      <c r="T33" s="87"/>
      <c r="U33" s="373"/>
    </row>
    <row r="34" spans="1:21" ht="13.5" customHeight="1" x14ac:dyDescent="0.25">
      <c r="A34" s="346"/>
      <c r="B34" s="205"/>
      <c r="C34" s="290"/>
      <c r="D34" s="279"/>
      <c r="E34" s="290"/>
      <c r="F34" s="373"/>
      <c r="G34" s="394"/>
      <c r="H34" s="682"/>
      <c r="I34" s="686"/>
      <c r="J34" s="687"/>
      <c r="K34" s="688"/>
      <c r="L34" s="691"/>
      <c r="M34" s="692"/>
      <c r="N34" s="1"/>
      <c r="P34" s="373"/>
      <c r="Q34" s="373"/>
      <c r="R34" s="373"/>
      <c r="S34" s="87"/>
      <c r="T34" s="87"/>
      <c r="U34" s="373"/>
    </row>
    <row r="35" spans="1:21" ht="15.75" customHeight="1" x14ac:dyDescent="0.25">
      <c r="A35" s="346"/>
      <c r="B35" s="205"/>
      <c r="C35" s="205"/>
      <c r="D35" s="279"/>
      <c r="E35" s="205"/>
      <c r="F35" s="373"/>
      <c r="G35" s="394"/>
      <c r="H35" s="393" t="s">
        <v>259</v>
      </c>
      <c r="I35" s="756" t="s">
        <v>47</v>
      </c>
      <c r="J35" s="756"/>
      <c r="K35" s="560">
        <v>328.13</v>
      </c>
      <c r="L35" s="288">
        <v>43876</v>
      </c>
      <c r="M35" s="44" t="s">
        <v>207</v>
      </c>
      <c r="N35" s="153"/>
      <c r="P35" s="373"/>
      <c r="Q35" s="373"/>
      <c r="R35" s="373"/>
      <c r="S35" s="87"/>
      <c r="T35" s="87"/>
      <c r="U35" s="373"/>
    </row>
    <row r="36" spans="1:21" x14ac:dyDescent="0.25">
      <c r="A36" s="346"/>
      <c r="B36" s="373"/>
      <c r="C36" s="280"/>
      <c r="D36" s="279"/>
      <c r="E36" s="280"/>
      <c r="F36" s="373"/>
      <c r="G36" s="373"/>
      <c r="H36" s="393" t="s">
        <v>259</v>
      </c>
      <c r="I36" s="757" t="s">
        <v>51</v>
      </c>
      <c r="J36" s="757"/>
      <c r="K36" s="561">
        <v>71.83</v>
      </c>
      <c r="L36" s="288">
        <v>43876</v>
      </c>
      <c r="M36" s="44" t="s">
        <v>207</v>
      </c>
      <c r="N36" s="1"/>
      <c r="P36" s="558"/>
      <c r="Q36" s="557"/>
      <c r="R36" s="557"/>
      <c r="S36" s="373"/>
      <c r="T36" s="300"/>
      <c r="U36" s="373"/>
    </row>
    <row r="37" spans="1:21" x14ac:dyDescent="0.25">
      <c r="A37" s="347"/>
      <c r="B37" s="373"/>
      <c r="C37" s="373"/>
      <c r="D37" s="279"/>
      <c r="E37" s="205"/>
      <c r="F37" s="373"/>
      <c r="G37" s="373"/>
      <c r="H37" s="393" t="s">
        <v>259</v>
      </c>
      <c r="I37" s="757" t="s">
        <v>52</v>
      </c>
      <c r="J37" s="757"/>
      <c r="K37" s="561">
        <v>5.63</v>
      </c>
      <c r="L37" s="288">
        <v>43876</v>
      </c>
      <c r="M37" s="44" t="s">
        <v>207</v>
      </c>
      <c r="N37" s="1"/>
      <c r="P37" s="533"/>
      <c r="Q37" s="557"/>
      <c r="R37" s="557"/>
      <c r="S37" s="373"/>
      <c r="T37" s="300"/>
      <c r="U37" s="373"/>
    </row>
    <row r="38" spans="1:21" x14ac:dyDescent="0.25">
      <c r="A38" s="347"/>
      <c r="B38" s="373"/>
      <c r="C38" s="373"/>
      <c r="D38" s="279"/>
      <c r="E38" s="373"/>
      <c r="F38" s="373"/>
      <c r="G38" s="373"/>
      <c r="H38" s="393" t="s">
        <v>259</v>
      </c>
      <c r="I38" s="757" t="s">
        <v>49</v>
      </c>
      <c r="J38" s="757"/>
      <c r="K38" s="561">
        <v>257</v>
      </c>
      <c r="L38" s="288">
        <v>43881</v>
      </c>
      <c r="M38" s="44" t="s">
        <v>256</v>
      </c>
      <c r="N38" s="153"/>
      <c r="P38" s="454"/>
      <c r="Q38" s="557"/>
      <c r="R38" s="557"/>
      <c r="S38" s="373"/>
      <c r="T38" s="300"/>
      <c r="U38" s="373"/>
    </row>
    <row r="39" spans="1:21" x14ac:dyDescent="0.25">
      <c r="A39" s="347"/>
      <c r="B39" s="373"/>
      <c r="C39" s="373"/>
      <c r="D39" s="279"/>
      <c r="E39" s="373"/>
      <c r="F39" s="373"/>
      <c r="G39" s="373"/>
      <c r="H39" s="393" t="s">
        <v>259</v>
      </c>
      <c r="I39" s="758" t="s">
        <v>59</v>
      </c>
      <c r="J39" s="758"/>
      <c r="K39" s="480">
        <v>846.17</v>
      </c>
      <c r="L39" s="308" t="s">
        <v>177</v>
      </c>
      <c r="M39" s="44" t="s">
        <v>207</v>
      </c>
      <c r="N39" s="1"/>
      <c r="P39" s="454"/>
      <c r="Q39" s="557"/>
      <c r="R39" s="557"/>
      <c r="S39" s="373"/>
      <c r="T39" s="373"/>
      <c r="U39" s="373"/>
    </row>
    <row r="40" spans="1:21" x14ac:dyDescent="0.25">
      <c r="A40" s="347"/>
      <c r="B40" s="205"/>
      <c r="C40" s="205"/>
      <c r="D40" s="279"/>
      <c r="E40" s="205"/>
      <c r="F40" s="373"/>
      <c r="G40" s="373"/>
      <c r="H40" s="393" t="s">
        <v>259</v>
      </c>
      <c r="I40" s="759" t="s">
        <v>68</v>
      </c>
      <c r="J40" s="760"/>
      <c r="K40" s="561">
        <v>333.58</v>
      </c>
      <c r="L40" s="288">
        <v>43881</v>
      </c>
      <c r="M40" s="44" t="s">
        <v>207</v>
      </c>
      <c r="N40" s="1"/>
      <c r="P40" s="373"/>
      <c r="Q40" s="557"/>
      <c r="R40" s="557"/>
      <c r="S40" s="373"/>
      <c r="T40" s="300"/>
      <c r="U40" s="373"/>
    </row>
    <row r="41" spans="1:21" x14ac:dyDescent="0.25">
      <c r="A41" s="347"/>
      <c r="B41" s="205"/>
      <c r="C41" s="373"/>
      <c r="D41" s="279"/>
      <c r="E41" s="205"/>
      <c r="F41" s="373"/>
      <c r="G41" s="373"/>
      <c r="H41" s="393" t="s">
        <v>259</v>
      </c>
      <c r="I41" s="562" t="s">
        <v>174</v>
      </c>
      <c r="J41" s="563"/>
      <c r="K41" s="5">
        <v>518.58999999999992</v>
      </c>
      <c r="L41" s="288">
        <v>43876</v>
      </c>
      <c r="M41" s="44" t="s">
        <v>207</v>
      </c>
      <c r="N41" s="12"/>
      <c r="P41" s="373"/>
      <c r="Q41" s="372"/>
      <c r="R41" s="372"/>
      <c r="S41" s="373"/>
      <c r="T41" s="300"/>
      <c r="U41" s="373"/>
    </row>
    <row r="42" spans="1:21" x14ac:dyDescent="0.25">
      <c r="A42" s="347"/>
      <c r="B42" s="205"/>
      <c r="C42" s="373"/>
      <c r="D42" s="279"/>
      <c r="E42" s="205"/>
      <c r="F42" s="373"/>
      <c r="G42" s="373"/>
      <c r="H42" s="393" t="s">
        <v>267</v>
      </c>
      <c r="I42" s="562" t="s">
        <v>176</v>
      </c>
      <c r="J42" s="563"/>
      <c r="K42" s="561"/>
      <c r="L42" s="288">
        <v>43881</v>
      </c>
      <c r="M42" s="44" t="s">
        <v>207</v>
      </c>
      <c r="N42" s="1"/>
      <c r="P42" s="373">
        <v>1575.5586000000001</v>
      </c>
      <c r="Q42" s="372"/>
      <c r="R42" s="372"/>
      <c r="S42" s="373"/>
      <c r="T42" s="300"/>
      <c r="U42" s="373"/>
    </row>
    <row r="43" spans="1:21" x14ac:dyDescent="0.25">
      <c r="A43" s="347"/>
      <c r="B43" s="205"/>
      <c r="C43" s="373"/>
      <c r="D43" s="279"/>
      <c r="E43" s="238"/>
      <c r="F43" s="373"/>
      <c r="G43" s="373"/>
      <c r="H43" s="393" t="s">
        <v>259</v>
      </c>
      <c r="I43" s="759" t="s">
        <v>81</v>
      </c>
      <c r="J43" s="760"/>
      <c r="K43" s="561">
        <v>1542</v>
      </c>
      <c r="L43" s="288">
        <v>43876</v>
      </c>
      <c r="M43" s="44" t="s">
        <v>207</v>
      </c>
      <c r="N43" s="1"/>
      <c r="P43" s="373">
        <f>ROUND(P42,2)</f>
        <v>1575.56</v>
      </c>
      <c r="Q43" s="557"/>
      <c r="R43" s="557"/>
      <c r="S43" s="373"/>
      <c r="T43" s="300"/>
      <c r="U43" s="373"/>
    </row>
    <row r="44" spans="1:21" x14ac:dyDescent="0.25">
      <c r="A44" s="347"/>
      <c r="B44" s="205"/>
      <c r="C44" s="373"/>
      <c r="D44" s="279"/>
      <c r="E44" s="238"/>
      <c r="F44" s="373"/>
      <c r="G44" s="373"/>
      <c r="H44" s="393" t="s">
        <v>259</v>
      </c>
      <c r="I44" s="759" t="s">
        <v>181</v>
      </c>
      <c r="J44" s="760"/>
      <c r="K44" s="561">
        <v>10</v>
      </c>
      <c r="L44" s="288">
        <v>43876</v>
      </c>
      <c r="M44" s="44" t="s">
        <v>207</v>
      </c>
      <c r="N44" s="1"/>
      <c r="P44" s="373" t="s">
        <v>289</v>
      </c>
      <c r="Q44" s="372"/>
      <c r="R44" s="373"/>
      <c r="S44" s="373"/>
      <c r="T44" s="300"/>
      <c r="U44" s="373"/>
    </row>
    <row r="45" spans="1:21" x14ac:dyDescent="0.25">
      <c r="A45" s="347"/>
      <c r="B45" s="205"/>
      <c r="C45" s="373"/>
      <c r="D45" s="279"/>
      <c r="E45" s="238"/>
      <c r="F45" s="373"/>
      <c r="G45" s="373"/>
      <c r="H45" s="393" t="s">
        <v>259</v>
      </c>
      <c r="I45" s="675" t="s">
        <v>61</v>
      </c>
      <c r="J45" s="675"/>
      <c r="K45" s="561">
        <f>J7</f>
        <v>2533.39</v>
      </c>
      <c r="L45" s="288">
        <v>43881</v>
      </c>
      <c r="M45" s="44" t="s">
        <v>207</v>
      </c>
      <c r="N45" s="1"/>
      <c r="P45" s="373"/>
      <c r="Q45" s="372"/>
      <c r="R45" s="372"/>
      <c r="S45" s="373"/>
      <c r="T45" s="300"/>
      <c r="U45" s="373"/>
    </row>
    <row r="46" spans="1:21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6446.32</v>
      </c>
      <c r="K46" s="676" t="s">
        <v>180</v>
      </c>
      <c r="L46" s="676"/>
      <c r="M46" s="542">
        <v>0</v>
      </c>
      <c r="N46" s="1"/>
      <c r="P46" s="373"/>
      <c r="Q46" s="373"/>
      <c r="R46" s="373"/>
      <c r="S46" s="373"/>
      <c r="T46" s="373"/>
      <c r="U46" s="373"/>
    </row>
    <row r="47" spans="1:21" ht="15.75" thickTop="1" x14ac:dyDescent="0.25">
      <c r="A47" s="373"/>
      <c r="B47" s="373"/>
      <c r="C47" s="373"/>
      <c r="D47" s="373"/>
      <c r="E47" s="373"/>
      <c r="F47" s="373"/>
      <c r="G47" s="373"/>
      <c r="H47" s="735"/>
      <c r="I47" s="735"/>
      <c r="J47" s="735"/>
      <c r="K47" s="735"/>
      <c r="L47" s="373"/>
      <c r="M47" s="460"/>
      <c r="N47" s="1"/>
      <c r="P47" s="373"/>
      <c r="Q47" s="373"/>
      <c r="R47" s="373"/>
      <c r="S47" s="373"/>
      <c r="T47" s="373"/>
      <c r="U47" s="373"/>
    </row>
    <row r="48" spans="1:21" ht="15" customHeight="1" x14ac:dyDescent="0.25">
      <c r="A48" s="733" t="s">
        <v>280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1"/>
      <c r="P48" s="1"/>
      <c r="Q48" s="373"/>
      <c r="R48" s="373"/>
      <c r="S48" s="373"/>
      <c r="T48" s="373"/>
    </row>
    <row r="49" spans="1:20" ht="15.75" customHeight="1" thickBot="1" x14ac:dyDescent="0.3">
      <c r="A49" s="734"/>
      <c r="B49" s="734"/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1"/>
      <c r="P49" s="1"/>
      <c r="Q49" s="373"/>
      <c r="R49" s="372"/>
      <c r="S49" s="557"/>
      <c r="T49" s="373"/>
    </row>
    <row r="50" spans="1:20" ht="15.75" thickTop="1" x14ac:dyDescent="0.25">
      <c r="A50" s="732" t="s">
        <v>28</v>
      </c>
      <c r="B50" s="695"/>
      <c r="C50" s="695"/>
      <c r="D50" s="695"/>
      <c r="E50" s="695"/>
      <c r="F50" s="695"/>
      <c r="G50" s="696"/>
      <c r="H50" s="736" t="s">
        <v>279</v>
      </c>
      <c r="I50" s="737"/>
      <c r="J50" s="737"/>
      <c r="K50" s="737"/>
      <c r="L50" s="737"/>
      <c r="M50" s="738"/>
      <c r="N50" s="1"/>
      <c r="P50" s="1"/>
      <c r="Q50" s="459"/>
      <c r="R50" s="205"/>
      <c r="S50" s="280"/>
      <c r="T50" s="373"/>
    </row>
    <row r="51" spans="1:20" x14ac:dyDescent="0.25">
      <c r="A51" s="330" t="s">
        <v>2</v>
      </c>
      <c r="B51" s="554" t="s">
        <v>34</v>
      </c>
      <c r="C51" s="36" t="s">
        <v>35</v>
      </c>
      <c r="D51" s="36" t="s">
        <v>38</v>
      </c>
      <c r="E51" s="36" t="s">
        <v>42</v>
      </c>
      <c r="F51" s="554" t="s">
        <v>36</v>
      </c>
      <c r="G51" s="101" t="s">
        <v>173</v>
      </c>
      <c r="H51" s="43"/>
      <c r="I51" s="550" t="s">
        <v>35</v>
      </c>
      <c r="J51" s="550" t="s">
        <v>38</v>
      </c>
      <c r="K51" s="550" t="s">
        <v>42</v>
      </c>
      <c r="L51" s="269" t="s">
        <v>44</v>
      </c>
      <c r="M51" s="461"/>
      <c r="N51" s="1"/>
      <c r="P51" s="1"/>
      <c r="Q51" s="459"/>
      <c r="R51" s="205"/>
      <c r="S51" s="280"/>
      <c r="T51" s="373"/>
    </row>
    <row r="52" spans="1:20" x14ac:dyDescent="0.25">
      <c r="A52" s="331" t="s">
        <v>260</v>
      </c>
      <c r="B52" s="164" t="s">
        <v>262</v>
      </c>
      <c r="C52" s="99" t="s">
        <v>261</v>
      </c>
      <c r="D52" s="99"/>
      <c r="E52" s="163"/>
      <c r="F52" s="165"/>
      <c r="G52" s="469"/>
      <c r="H52" s="43"/>
      <c r="I52" s="595">
        <v>529.24</v>
      </c>
      <c r="J52" s="598">
        <v>529.24</v>
      </c>
      <c r="K52" s="163">
        <f t="shared" ref="K52" si="5">I52-J52</f>
        <v>0</v>
      </c>
      <c r="L52" s="3">
        <v>43886</v>
      </c>
      <c r="M52" s="451"/>
      <c r="N52" s="1"/>
      <c r="P52" s="1"/>
      <c r="Q52" s="373"/>
      <c r="R52" s="373"/>
      <c r="S52" s="373"/>
      <c r="T52" s="373"/>
    </row>
    <row r="53" spans="1:20" x14ac:dyDescent="0.25">
      <c r="A53" s="331">
        <v>43868</v>
      </c>
      <c r="B53" s="164" t="s">
        <v>264</v>
      </c>
      <c r="C53" s="99">
        <v>519.79999999999995</v>
      </c>
      <c r="D53" s="99">
        <v>519.79999999999995</v>
      </c>
      <c r="E53" s="163" t="str">
        <f>IF(C53-D53=0,"",C53-D53)</f>
        <v/>
      </c>
      <c r="F53" s="165" t="str">
        <f t="shared" ref="F53" si="6">IF(C53=0,"",IF(C53-D53=0,"оплачено","ОЖИДАЕТСЯ оплата"))</f>
        <v>оплачено</v>
      </c>
      <c r="G53" s="469"/>
      <c r="H53" s="43"/>
      <c r="I53" s="299"/>
      <c r="J53" s="299"/>
      <c r="K53" s="462"/>
      <c r="L53" s="147"/>
      <c r="M53" s="451"/>
      <c r="N53" s="1"/>
      <c r="P53" s="1"/>
      <c r="Q53" s="373"/>
      <c r="R53" s="373"/>
      <c r="S53" s="373"/>
      <c r="T53" s="373"/>
    </row>
    <row r="54" spans="1:20" x14ac:dyDescent="0.25">
      <c r="A54" s="331">
        <v>43871</v>
      </c>
      <c r="B54" s="164" t="s">
        <v>265</v>
      </c>
      <c r="C54" s="281">
        <v>172.49</v>
      </c>
      <c r="D54" s="281">
        <v>172.49</v>
      </c>
      <c r="E54" s="163" t="str">
        <f t="shared" ref="E54:E67" si="7">IF(C54-D54=0,"",C54-D54)</f>
        <v/>
      </c>
      <c r="F54" s="165" t="str">
        <f t="shared" ref="F54:F67" si="8">IF(C54=0,"",IF(C54-D54=0,"оплачено","ОЖИДАЕТСЯ оплата"))</f>
        <v>оплачено</v>
      </c>
      <c r="G54" s="469"/>
      <c r="H54" s="43"/>
      <c r="I54" s="1"/>
      <c r="J54" s="373"/>
      <c r="K54" s="1"/>
      <c r="L54" s="1"/>
      <c r="M54" s="44"/>
      <c r="N54" s="1"/>
      <c r="O54" s="373"/>
      <c r="P54" s="1"/>
    </row>
    <row r="55" spans="1:20" x14ac:dyDescent="0.25">
      <c r="A55" s="331">
        <v>43872</v>
      </c>
      <c r="B55" s="164" t="s">
        <v>205</v>
      </c>
      <c r="C55" s="99">
        <v>107.47</v>
      </c>
      <c r="D55" s="99">
        <v>107.47</v>
      </c>
      <c r="E55" s="163" t="str">
        <f t="shared" si="7"/>
        <v/>
      </c>
      <c r="F55" s="165" t="str">
        <f t="shared" si="8"/>
        <v>оплачено</v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>
        <v>43873</v>
      </c>
      <c r="B56" s="164" t="s">
        <v>224</v>
      </c>
      <c r="C56" s="99">
        <v>259.39</v>
      </c>
      <c r="D56" s="99">
        <v>259.39</v>
      </c>
      <c r="E56" s="163" t="str">
        <f t="shared" si="7"/>
        <v/>
      </c>
      <c r="F56" s="165" t="str">
        <f t="shared" si="8"/>
        <v>оплачено</v>
      </c>
      <c r="G56" s="469"/>
      <c r="H56" s="43"/>
      <c r="I56" s="1"/>
      <c r="J56" s="373"/>
      <c r="K56" s="1"/>
      <c r="L56" s="1"/>
      <c r="M56" s="44"/>
      <c r="N56" s="1"/>
      <c r="P56" s="1"/>
    </row>
    <row r="57" spans="1:20" x14ac:dyDescent="0.25">
      <c r="A57" s="331">
        <v>43874</v>
      </c>
      <c r="B57" s="164" t="s">
        <v>264</v>
      </c>
      <c r="C57" s="281">
        <v>53</v>
      </c>
      <c r="D57" s="281">
        <v>53</v>
      </c>
      <c r="E57" s="163" t="str">
        <f t="shared" si="7"/>
        <v/>
      </c>
      <c r="F57" s="165" t="str">
        <f t="shared" si="8"/>
        <v>оплачено</v>
      </c>
      <c r="G57" s="469"/>
      <c r="H57" s="43"/>
      <c r="I57" s="1"/>
      <c r="J57" s="373"/>
      <c r="K57" s="1"/>
      <c r="L57" s="1"/>
      <c r="M57" s="44"/>
      <c r="N57" s="1"/>
      <c r="P57" s="1"/>
    </row>
    <row r="58" spans="1:20" x14ac:dyDescent="0.25">
      <c r="A58" s="331">
        <v>43880</v>
      </c>
      <c r="B58" s="164" t="s">
        <v>205</v>
      </c>
      <c r="C58" s="281">
        <v>249.96</v>
      </c>
      <c r="D58" s="281">
        <v>249.96</v>
      </c>
      <c r="E58" s="163" t="str">
        <f t="shared" si="7"/>
        <v/>
      </c>
      <c r="F58" s="165" t="str">
        <f t="shared" si="8"/>
        <v>оплачено</v>
      </c>
      <c r="G58" s="469"/>
      <c r="H58" s="43"/>
      <c r="I58" s="1"/>
      <c r="J58" s="373"/>
      <c r="K58" s="1"/>
      <c r="L58" s="1"/>
      <c r="M58" s="44"/>
      <c r="N58" s="1"/>
      <c r="P58" s="1"/>
    </row>
    <row r="59" spans="1:20" x14ac:dyDescent="0.25">
      <c r="A59" s="331">
        <v>43882</v>
      </c>
      <c r="B59" s="164" t="s">
        <v>264</v>
      </c>
      <c r="C59" s="281">
        <v>129.15</v>
      </c>
      <c r="D59" s="281">
        <v>129.15</v>
      </c>
      <c r="E59" s="163" t="str">
        <f t="shared" si="7"/>
        <v/>
      </c>
      <c r="F59" s="165" t="str">
        <f>IF(C59=0,"",IF(C59-D59=0,"оплачено","ОЖИДАЕТСЯ оплата"))</f>
        <v>оплачено</v>
      </c>
      <c r="G59" s="165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>
        <v>43887</v>
      </c>
      <c r="B60" s="164" t="s">
        <v>212</v>
      </c>
      <c r="C60" s="281">
        <v>266.66000000000003</v>
      </c>
      <c r="D60" s="281">
        <v>266.66000000000003</v>
      </c>
      <c r="E60" s="163" t="str">
        <f t="shared" si="7"/>
        <v/>
      </c>
      <c r="F60" s="165" t="str">
        <f t="shared" si="8"/>
        <v>оплачено</v>
      </c>
      <c r="G60" s="165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1"/>
      <c r="B61" s="164"/>
      <c r="C61" s="281"/>
      <c r="D61" s="164"/>
      <c r="E61" s="163" t="str">
        <f t="shared" si="7"/>
        <v/>
      </c>
      <c r="F61" s="165" t="str">
        <f t="shared" si="8"/>
        <v/>
      </c>
      <c r="G61" s="165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1"/>
      <c r="B62" s="164"/>
      <c r="C62" s="281"/>
      <c r="D62" s="164"/>
      <c r="E62" s="163" t="str">
        <f t="shared" si="7"/>
        <v/>
      </c>
      <c r="F62" s="165" t="str">
        <f t="shared" si="8"/>
        <v/>
      </c>
      <c r="G62" s="165" t="str">
        <f t="shared" ref="G62:G67" si="9">IF(C62=0,"",IF(C62-D62=0,"","нет накладной"))</f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1"/>
      <c r="B63" s="164"/>
      <c r="C63" s="281"/>
      <c r="D63" s="281"/>
      <c r="E63" s="163" t="str">
        <f t="shared" si="7"/>
        <v/>
      </c>
      <c r="F63" s="165" t="str">
        <f t="shared" si="8"/>
        <v/>
      </c>
      <c r="G63" s="165" t="str">
        <f t="shared" si="9"/>
        <v/>
      </c>
      <c r="H63" s="43"/>
      <c r="I63" s="1"/>
      <c r="J63" s="373"/>
      <c r="K63" s="1"/>
      <c r="L63" s="1"/>
      <c r="M63" s="44"/>
      <c r="N63" s="1"/>
      <c r="O63" s="373"/>
      <c r="P63" s="1"/>
    </row>
    <row r="64" spans="1:20" x14ac:dyDescent="0.25">
      <c r="A64" s="333"/>
      <c r="B64" s="164"/>
      <c r="C64" s="164"/>
      <c r="D64" s="164"/>
      <c r="E64" s="163" t="str">
        <f t="shared" si="7"/>
        <v/>
      </c>
      <c r="F64" s="165" t="str">
        <f t="shared" si="8"/>
        <v/>
      </c>
      <c r="G64" s="165" t="str">
        <f t="shared" si="9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3" x14ac:dyDescent="0.25">
      <c r="A65" s="334"/>
      <c r="B65" s="164"/>
      <c r="C65" s="164"/>
      <c r="D65" s="164"/>
      <c r="E65" s="163" t="str">
        <f t="shared" si="7"/>
        <v/>
      </c>
      <c r="F65" s="165" t="str">
        <f t="shared" si="8"/>
        <v/>
      </c>
      <c r="G65" s="165" t="str">
        <f t="shared" si="9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3" x14ac:dyDescent="0.25">
      <c r="A66" s="334"/>
      <c r="B66" s="164"/>
      <c r="C66" s="164"/>
      <c r="D66" s="164"/>
      <c r="E66" s="163" t="str">
        <f t="shared" si="7"/>
        <v/>
      </c>
      <c r="F66" s="165" t="str">
        <f t="shared" si="8"/>
        <v/>
      </c>
      <c r="G66" s="165" t="str">
        <f t="shared" si="9"/>
        <v/>
      </c>
      <c r="H66" s="43"/>
      <c r="I66" s="1"/>
      <c r="J66" s="373"/>
      <c r="K66" s="1"/>
      <c r="L66" s="1"/>
      <c r="M66" s="44"/>
      <c r="N66" s="1"/>
      <c r="O66" s="373"/>
      <c r="P66" s="373"/>
    </row>
    <row r="67" spans="1:23" x14ac:dyDescent="0.25">
      <c r="A67" s="333"/>
      <c r="B67" s="164"/>
      <c r="C67" s="164"/>
      <c r="D67" s="164"/>
      <c r="E67" s="163" t="str">
        <f t="shared" si="7"/>
        <v/>
      </c>
      <c r="F67" s="165" t="str">
        <f t="shared" si="8"/>
        <v/>
      </c>
      <c r="G67" s="165" t="str">
        <f t="shared" si="9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3" ht="15.75" thickBot="1" x14ac:dyDescent="0.3">
      <c r="A68" s="765" t="s">
        <v>278</v>
      </c>
      <c r="B68" s="766"/>
      <c r="C68" s="365">
        <f>SUM(C53:C67)</f>
        <v>1757.9200000000003</v>
      </c>
      <c r="D68" s="365"/>
      <c r="E68" s="163">
        <f>SUM(E52:E67)</f>
        <v>0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3" ht="15.75" thickTop="1" x14ac:dyDescent="0.25">
      <c r="A69" s="358"/>
      <c r="B69" s="359"/>
      <c r="C69" s="360"/>
      <c r="D69" s="360"/>
      <c r="E69" s="361"/>
      <c r="F69" s="359"/>
      <c r="G69" s="392"/>
      <c r="H69" s="697" t="s">
        <v>16</v>
      </c>
      <c r="I69" s="699" t="s">
        <v>17</v>
      </c>
      <c r="J69" s="699" t="s">
        <v>21</v>
      </c>
      <c r="K69" s="699"/>
      <c r="L69" s="701" t="s">
        <v>93</v>
      </c>
      <c r="M69" s="703" t="s">
        <v>95</v>
      </c>
      <c r="N69" s="1"/>
      <c r="O69" s="373"/>
      <c r="P69" s="457"/>
    </row>
    <row r="70" spans="1:23" ht="24" x14ac:dyDescent="0.25">
      <c r="A70" s="362"/>
      <c r="B70" s="207"/>
      <c r="C70" s="207"/>
      <c r="D70" s="207"/>
      <c r="E70" s="222"/>
      <c r="F70" s="207"/>
      <c r="G70" s="207"/>
      <c r="H70" s="698"/>
      <c r="I70" s="700"/>
      <c r="J70" s="551" t="s">
        <v>21</v>
      </c>
      <c r="K70" s="551" t="s">
        <v>25</v>
      </c>
      <c r="L70" s="702"/>
      <c r="M70" s="704"/>
      <c r="N70" s="1"/>
      <c r="O70" s="373"/>
      <c r="P70" s="457"/>
    </row>
    <row r="71" spans="1:23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555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3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3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3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3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3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</row>
    <row r="77" spans="1:23" ht="15.75" thickTop="1" x14ac:dyDescent="0.25">
      <c r="A77" s="346"/>
      <c r="B77" s="205"/>
      <c r="C77" s="1"/>
      <c r="D77" s="279"/>
      <c r="E77" s="85"/>
      <c r="F77" s="373"/>
      <c r="G77" s="373"/>
      <c r="H77" s="681" t="s">
        <v>36</v>
      </c>
      <c r="I77" s="683" t="s">
        <v>178</v>
      </c>
      <c r="J77" s="684"/>
      <c r="K77" s="685"/>
      <c r="L77" s="689" t="s">
        <v>159</v>
      </c>
      <c r="M77" s="690"/>
      <c r="N77" s="1"/>
      <c r="O77" s="373"/>
      <c r="P77" s="455"/>
      <c r="Q77" s="87"/>
      <c r="R77" s="87"/>
    </row>
    <row r="78" spans="1:23" x14ac:dyDescent="0.25">
      <c r="A78" s="346"/>
      <c r="B78" s="205"/>
      <c r="C78" s="290"/>
      <c r="D78" s="279"/>
      <c r="E78" s="290"/>
      <c r="F78" s="373"/>
      <c r="G78" s="394"/>
      <c r="H78" s="682"/>
      <c r="I78" s="686"/>
      <c r="J78" s="687"/>
      <c r="K78" s="688"/>
      <c r="L78" s="691"/>
      <c r="M78" s="692"/>
      <c r="N78" s="1"/>
      <c r="O78" s="373"/>
      <c r="P78" s="455"/>
      <c r="Q78" s="373"/>
      <c r="R78" s="373"/>
      <c r="S78" s="1"/>
      <c r="T78" s="1"/>
      <c r="U78" s="1"/>
      <c r="V78" s="1"/>
      <c r="W78" s="1"/>
    </row>
    <row r="79" spans="1:23" x14ac:dyDescent="0.25">
      <c r="A79" s="346"/>
      <c r="B79" s="205"/>
      <c r="C79" s="205"/>
      <c r="D79" s="279"/>
      <c r="E79" s="205"/>
      <c r="F79" s="373"/>
      <c r="G79" s="394"/>
      <c r="H79" s="393" t="s">
        <v>259</v>
      </c>
      <c r="I79" s="693" t="s">
        <v>47</v>
      </c>
      <c r="J79" s="693"/>
      <c r="K79" s="603">
        <v>131.25</v>
      </c>
      <c r="L79" s="288">
        <v>46</v>
      </c>
      <c r="M79" s="44" t="s">
        <v>207</v>
      </c>
      <c r="P79" s="455"/>
      <c r="Q79" s="529"/>
      <c r="R79" s="373"/>
      <c r="S79" s="1"/>
      <c r="T79" s="1"/>
      <c r="U79" s="1"/>
      <c r="V79" s="1"/>
      <c r="W79" s="1"/>
    </row>
    <row r="80" spans="1:23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78" t="s">
        <v>51</v>
      </c>
      <c r="J80" s="678"/>
      <c r="K80" s="604">
        <v>21.35</v>
      </c>
      <c r="L80" s="288">
        <v>46</v>
      </c>
      <c r="M80" s="44" t="s">
        <v>207</v>
      </c>
      <c r="P80" s="455"/>
      <c r="Q80" s="87"/>
      <c r="R80" s="87"/>
      <c r="S80" s="1"/>
      <c r="T80" s="1"/>
      <c r="U80" s="1"/>
      <c r="V80" s="1"/>
      <c r="W80" s="1"/>
    </row>
    <row r="81" spans="1:23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78" t="s">
        <v>52</v>
      </c>
      <c r="J81" s="678"/>
      <c r="K81" s="604">
        <v>2.25</v>
      </c>
      <c r="L81" s="288">
        <v>46</v>
      </c>
      <c r="M81" s="44" t="s">
        <v>207</v>
      </c>
      <c r="R81" s="557"/>
      <c r="S81" s="1"/>
      <c r="T81" s="288"/>
      <c r="U81" s="1"/>
      <c r="V81" s="1"/>
      <c r="W81" s="1"/>
    </row>
    <row r="82" spans="1:23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78" t="s">
        <v>49</v>
      </c>
      <c r="J82" s="678"/>
      <c r="K82" s="604">
        <v>89</v>
      </c>
      <c r="L82" s="288">
        <v>46</v>
      </c>
      <c r="M82" s="44" t="s">
        <v>256</v>
      </c>
      <c r="S82" s="1"/>
      <c r="T82" s="288"/>
      <c r="U82" s="1"/>
      <c r="V82" s="1"/>
      <c r="W82" s="1"/>
    </row>
    <row r="83" spans="1:23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4" t="s">
        <v>59</v>
      </c>
      <c r="J83" s="764"/>
      <c r="K83" s="480">
        <v>234.83</v>
      </c>
      <c r="L83" s="308" t="s">
        <v>177</v>
      </c>
      <c r="M83" s="44" t="s">
        <v>207</v>
      </c>
      <c r="P83" s="625"/>
      <c r="Q83" s="540"/>
      <c r="R83" s="557"/>
      <c r="S83" s="1"/>
      <c r="T83" s="288"/>
      <c r="U83" s="1"/>
      <c r="V83" s="1"/>
      <c r="W83" s="1"/>
    </row>
    <row r="84" spans="1:23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59" t="s">
        <v>68</v>
      </c>
      <c r="J84" s="760"/>
      <c r="K84" s="604">
        <v>56.96</v>
      </c>
      <c r="L84" s="288">
        <v>51</v>
      </c>
      <c r="M84" s="44" t="s">
        <v>207</v>
      </c>
      <c r="P84" s="369"/>
      <c r="Q84" s="557"/>
      <c r="R84" s="557"/>
      <c r="S84" s="1"/>
      <c r="T84" s="288"/>
      <c r="U84" s="1"/>
      <c r="V84" s="1"/>
      <c r="W84" s="1"/>
    </row>
    <row r="85" spans="1:23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9" t="s">
        <v>174</v>
      </c>
      <c r="J85" s="680"/>
      <c r="K85" s="604">
        <v>257.08999999999997</v>
      </c>
      <c r="L85" s="288">
        <v>46</v>
      </c>
      <c r="M85" s="44" t="s">
        <v>207</v>
      </c>
      <c r="P85" s="369"/>
      <c r="Q85" s="557"/>
      <c r="R85" s="557"/>
      <c r="S85" s="1"/>
      <c r="T85" s="1"/>
      <c r="U85" s="1"/>
      <c r="V85" s="1"/>
      <c r="W85" s="1"/>
    </row>
    <row r="86" spans="1:23" x14ac:dyDescent="0.25">
      <c r="A86" s="347"/>
      <c r="B86" s="205"/>
      <c r="C86" s="373"/>
      <c r="D86" s="279"/>
      <c r="E86" s="205"/>
      <c r="F86" s="373"/>
      <c r="G86" s="373"/>
      <c r="H86" s="357" t="s">
        <v>267</v>
      </c>
      <c r="I86" s="552" t="s">
        <v>176</v>
      </c>
      <c r="J86" s="553"/>
      <c r="K86" s="604"/>
      <c r="L86" s="288">
        <v>51</v>
      </c>
      <c r="M86" s="44" t="s">
        <v>207</v>
      </c>
      <c r="P86" s="369"/>
      <c r="Q86" s="557"/>
      <c r="R86" s="540"/>
      <c r="S86" s="1"/>
      <c r="T86" s="288"/>
      <c r="U86" s="1"/>
      <c r="V86" s="1"/>
      <c r="W86" s="1"/>
    </row>
    <row r="87" spans="1:23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9" t="s">
        <v>81</v>
      </c>
      <c r="J87" s="680"/>
      <c r="K87" s="604">
        <v>588.48</v>
      </c>
      <c r="L87" s="288">
        <v>43871</v>
      </c>
      <c r="M87" s="44" t="s">
        <v>207</v>
      </c>
      <c r="P87" s="373"/>
      <c r="Q87" s="373"/>
      <c r="R87" s="372"/>
      <c r="S87" s="1"/>
      <c r="T87" s="288"/>
      <c r="U87" s="373"/>
      <c r="V87" s="1"/>
      <c r="W87" s="1"/>
    </row>
    <row r="88" spans="1:23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9" t="s">
        <v>53</v>
      </c>
      <c r="J88" s="680"/>
      <c r="K88" s="477">
        <v>10</v>
      </c>
      <c r="L88" s="288">
        <v>46</v>
      </c>
      <c r="M88" s="44" t="s">
        <v>207</v>
      </c>
      <c r="P88" s="455"/>
      <c r="Q88" s="87"/>
      <c r="R88" s="87"/>
      <c r="S88" s="1"/>
      <c r="T88" s="288"/>
      <c r="U88" s="373"/>
      <c r="V88" s="1"/>
      <c r="W88" s="1"/>
    </row>
    <row r="89" spans="1:23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3" t="s">
        <v>61</v>
      </c>
      <c r="J89" s="763"/>
      <c r="K89" s="598">
        <v>529.24</v>
      </c>
      <c r="L89" s="288">
        <v>51</v>
      </c>
      <c r="M89" s="44" t="s">
        <v>207</v>
      </c>
      <c r="S89" s="373"/>
      <c r="T89" s="288"/>
      <c r="U89" s="1"/>
      <c r="V89" s="1"/>
      <c r="W89" s="1"/>
    </row>
    <row r="90" spans="1:23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1920.45</v>
      </c>
      <c r="K90" s="676" t="s">
        <v>180</v>
      </c>
      <c r="L90" s="676"/>
      <c r="M90" s="605">
        <v>0</v>
      </c>
      <c r="P90" s="373"/>
      <c r="Q90" s="372"/>
      <c r="R90" s="372"/>
      <c r="S90" s="373"/>
      <c r="T90" s="288"/>
      <c r="U90" s="1"/>
      <c r="V90" s="1"/>
      <c r="W90" s="1"/>
    </row>
    <row r="91" spans="1:23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1"/>
    </row>
    <row r="92" spans="1:23" x14ac:dyDescent="0.25">
      <c r="C92" s="465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E94" s="87"/>
      <c r="P94" s="195"/>
      <c r="R94" s="1"/>
      <c r="S94" s="1"/>
      <c r="T94" s="1"/>
      <c r="U94" s="1"/>
      <c r="V94" s="1"/>
      <c r="W94" s="1"/>
    </row>
    <row r="95" spans="1:23" x14ac:dyDescent="0.25">
      <c r="C95" s="465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65"/>
      <c r="K96" s="565"/>
      <c r="P96" s="468"/>
      <c r="Q96" s="1"/>
      <c r="R96" s="1"/>
      <c r="S96" s="1"/>
      <c r="T96" s="1"/>
      <c r="U96" s="1"/>
      <c r="V96" s="1"/>
      <c r="W96" s="1"/>
    </row>
    <row r="97" spans="3:23" x14ac:dyDescent="0.25">
      <c r="C97" s="465"/>
      <c r="P97" s="468"/>
      <c r="Q97" s="1"/>
      <c r="R97" s="1"/>
      <c r="S97" s="1"/>
      <c r="T97" s="1"/>
      <c r="U97" s="1"/>
      <c r="V97" s="1"/>
      <c r="W97" s="1"/>
    </row>
    <row r="98" spans="3:23" x14ac:dyDescent="0.25">
      <c r="C98" s="465"/>
      <c r="M98" s="565"/>
      <c r="P98" s="468"/>
    </row>
    <row r="99" spans="3:23" x14ac:dyDescent="0.25">
      <c r="C99" s="465"/>
      <c r="P99" s="468"/>
    </row>
    <row r="100" spans="3:23" x14ac:dyDescent="0.25">
      <c r="C100" s="465"/>
      <c r="M100" s="1"/>
      <c r="P100" s="468"/>
    </row>
    <row r="101" spans="3:23" x14ac:dyDescent="0.25">
      <c r="C101" s="465"/>
      <c r="M101" s="1"/>
      <c r="P101" s="468"/>
    </row>
    <row r="102" spans="3:23" x14ac:dyDescent="0.25">
      <c r="C102" s="465"/>
      <c r="M102" s="1"/>
      <c r="P102" s="468"/>
    </row>
    <row r="103" spans="3:23" x14ac:dyDescent="0.25">
      <c r="C103" s="465"/>
      <c r="M103" s="373"/>
      <c r="P103" s="468"/>
    </row>
    <row r="104" spans="3:23" x14ac:dyDescent="0.25">
      <c r="C104" s="465"/>
      <c r="M104" s="373"/>
      <c r="P104" s="468"/>
    </row>
    <row r="105" spans="3:23" x14ac:dyDescent="0.25">
      <c r="C105" s="465"/>
      <c r="M105" s="1"/>
      <c r="P105" s="468"/>
    </row>
    <row r="106" spans="3:23" x14ac:dyDescent="0.25">
      <c r="C106" s="465"/>
      <c r="M106" s="1"/>
      <c r="P106" s="468"/>
    </row>
    <row r="107" spans="3:23" x14ac:dyDescent="0.25">
      <c r="C107" s="465"/>
      <c r="M107" s="1"/>
      <c r="P107" s="468"/>
    </row>
    <row r="108" spans="3:23" x14ac:dyDescent="0.25">
      <c r="C108" s="465"/>
      <c r="M108" s="1"/>
      <c r="P108" s="468"/>
    </row>
    <row r="109" spans="3:23" x14ac:dyDescent="0.25">
      <c r="C109" s="465"/>
      <c r="P109" s="468"/>
    </row>
    <row r="110" spans="3:23" x14ac:dyDescent="0.25">
      <c r="C110" s="465"/>
      <c r="P110" s="468"/>
    </row>
    <row r="111" spans="3:23" x14ac:dyDescent="0.25">
      <c r="C111" s="465"/>
      <c r="P111" s="468"/>
    </row>
    <row r="112" spans="3:23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7.1406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32"/>
      <c r="G2" s="232">
        <v>588.9</v>
      </c>
      <c r="H2" s="86"/>
      <c r="I2" s="491">
        <v>221.15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32"/>
      <c r="G3" s="22">
        <v>520.79999999999995</v>
      </c>
      <c r="H3" s="232"/>
      <c r="I3" s="491">
        <v>137</v>
      </c>
      <c r="J3" s="490"/>
      <c r="K3" s="490"/>
      <c r="L3" s="490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32">
        <v>238.6</v>
      </c>
      <c r="G4" s="232"/>
      <c r="H4" s="232"/>
      <c r="I4" s="491"/>
      <c r="J4" s="490"/>
      <c r="K4" s="490"/>
      <c r="L4" s="490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32">
        <v>234.1</v>
      </c>
      <c r="G5" s="232"/>
      <c r="H5" s="86"/>
      <c r="I5" s="491">
        <v>139.55000000000001</v>
      </c>
      <c r="J5" s="490"/>
      <c r="K5" s="490"/>
      <c r="L5" s="490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32"/>
      <c r="G6" s="232">
        <v>237</v>
      </c>
      <c r="H6" s="86"/>
      <c r="I6" s="491">
        <v>228.6</v>
      </c>
      <c r="J6" s="490"/>
      <c r="K6" s="490"/>
      <c r="L6" s="490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32"/>
      <c r="G7" s="232">
        <v>321.89999999999998</v>
      </c>
      <c r="H7" s="86"/>
      <c r="I7" s="491">
        <v>65</v>
      </c>
      <c r="J7" s="490"/>
      <c r="K7" s="490"/>
      <c r="L7" s="490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32">
        <v>158</v>
      </c>
      <c r="G8" s="232"/>
      <c r="H8" s="86"/>
      <c r="I8" s="491">
        <v>89</v>
      </c>
      <c r="J8" s="490"/>
      <c r="K8" s="490"/>
      <c r="L8" s="490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32"/>
      <c r="G9" s="232"/>
      <c r="H9" s="18">
        <v>460.72</v>
      </c>
      <c r="I9" s="491">
        <v>151.94999999999999</v>
      </c>
      <c r="J9" s="490"/>
      <c r="K9" s="490"/>
      <c r="L9" s="490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32"/>
      <c r="G10" s="232">
        <v>252.3</v>
      </c>
      <c r="H10" s="448"/>
      <c r="I10" s="491">
        <v>130.19999999999999</v>
      </c>
      <c r="J10" s="490"/>
      <c r="K10" s="490"/>
      <c r="L10" s="490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32"/>
      <c r="G11" s="232">
        <v>106.7</v>
      </c>
      <c r="H11" s="232"/>
      <c r="I11" s="491"/>
      <c r="J11" s="491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32"/>
      <c r="G12" s="232">
        <v>118.9</v>
      </c>
      <c r="H12" s="232"/>
      <c r="I12" s="491">
        <v>74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32"/>
      <c r="G13" s="232">
        <v>351.1</v>
      </c>
      <c r="H13" s="232"/>
      <c r="I13" s="491">
        <v>259.5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32"/>
      <c r="G14" s="232"/>
      <c r="H14" s="232">
        <v>329.8</v>
      </c>
      <c r="I14" s="491">
        <v>126.9</v>
      </c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32"/>
      <c r="G15" s="232">
        <v>93.5</v>
      </c>
      <c r="I15" s="14">
        <v>122.6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32"/>
      <c r="G16" s="232">
        <v>612.70000000000005</v>
      </c>
      <c r="H16" s="14"/>
      <c r="I16" s="491">
        <v>105.43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32"/>
      <c r="G17" s="232">
        <v>305.89999999999998</v>
      </c>
      <c r="H17" s="14"/>
      <c r="I17" s="491">
        <v>71.2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32"/>
      <c r="G18" s="232"/>
      <c r="H18" s="239">
        <v>160</v>
      </c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32">
        <v>279.8</v>
      </c>
      <c r="G19" s="232"/>
      <c r="H19" s="14"/>
      <c r="I19" s="491">
        <v>181.1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3</v>
      </c>
      <c r="C20" s="17">
        <v>43880</v>
      </c>
      <c r="D20" s="22"/>
      <c r="E20" s="22">
        <v>1393.2</v>
      </c>
      <c r="F20" s="232">
        <v>148</v>
      </c>
      <c r="G20" s="232"/>
      <c r="H20" s="22"/>
      <c r="I20" s="497">
        <v>198.7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4</v>
      </c>
      <c r="C21" s="17">
        <v>43881</v>
      </c>
      <c r="D21" s="22">
        <v>994.55</v>
      </c>
      <c r="E21" s="22"/>
      <c r="F21" s="232"/>
      <c r="G21" s="232">
        <v>326.5</v>
      </c>
      <c r="H21" s="232"/>
      <c r="I21" s="497">
        <v>113.45</v>
      </c>
      <c r="J21" s="492"/>
      <c r="K21" s="497"/>
      <c r="L21" s="492"/>
    </row>
    <row r="22" spans="1:16" s="87" customFormat="1" ht="11.1" customHeight="1" x14ac:dyDescent="0.25">
      <c r="B22" s="483">
        <f>IF(C22="","",WEEKDAY(C22,2))</f>
        <v>5</v>
      </c>
      <c r="C22" s="17">
        <v>43882</v>
      </c>
      <c r="D22" s="22">
        <v>987.85</v>
      </c>
      <c r="E22" s="22"/>
      <c r="F22" s="232"/>
      <c r="G22" s="232">
        <v>256.10000000000002</v>
      </c>
      <c r="H22" s="232"/>
      <c r="I22" s="497">
        <v>141.65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6</v>
      </c>
      <c r="C23" s="17">
        <v>43883</v>
      </c>
      <c r="D23" s="22"/>
      <c r="E23" s="22">
        <v>930.6</v>
      </c>
      <c r="F23" s="232">
        <v>281.10000000000002</v>
      </c>
      <c r="G23" s="232"/>
      <c r="H23" s="520"/>
      <c r="I23" s="497">
        <v>42.15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7</v>
      </c>
      <c r="C24" s="17">
        <v>43884</v>
      </c>
      <c r="D24" s="22"/>
      <c r="E24" s="22">
        <v>695.42</v>
      </c>
      <c r="F24" s="232"/>
      <c r="G24" s="232">
        <v>298.2</v>
      </c>
      <c r="H24" s="232"/>
      <c r="I24" s="497">
        <v>25.5</v>
      </c>
      <c r="J24" s="492"/>
      <c r="K24" s="492"/>
      <c r="L24" s="492"/>
    </row>
    <row r="25" spans="1:16" s="87" customFormat="1" ht="11.1" customHeight="1" x14ac:dyDescent="0.25">
      <c r="B25" s="483">
        <f t="shared" si="0"/>
        <v>1</v>
      </c>
      <c r="C25" s="17">
        <v>43885</v>
      </c>
      <c r="D25" s="22"/>
      <c r="E25" s="22">
        <v>667.1</v>
      </c>
      <c r="F25" s="232"/>
      <c r="G25" s="232">
        <v>128.19999999999999</v>
      </c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2</v>
      </c>
      <c r="C26" s="17">
        <v>43886</v>
      </c>
      <c r="D26" s="22"/>
      <c r="E26" s="22"/>
      <c r="F26" s="22">
        <v>785.7</v>
      </c>
      <c r="G26" s="578">
        <v>213.3</v>
      </c>
      <c r="H26" s="232"/>
      <c r="I26" s="497">
        <v>208.45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3</v>
      </c>
      <c r="C27" s="17">
        <v>43887</v>
      </c>
      <c r="D27" s="22"/>
      <c r="E27" s="22">
        <v>1096.75</v>
      </c>
      <c r="F27" s="232">
        <v>207</v>
      </c>
      <c r="G27" s="561"/>
      <c r="H27" s="232"/>
      <c r="I27" s="496">
        <v>103.1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4</v>
      </c>
      <c r="C28" s="17">
        <v>43888</v>
      </c>
      <c r="D28" s="22"/>
      <c r="E28" s="22">
        <v>726.31</v>
      </c>
      <c r="F28" s="232">
        <v>326.5</v>
      </c>
      <c r="G28" s="232"/>
      <c r="H28" s="232"/>
      <c r="I28" s="496">
        <v>173.9</v>
      </c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5</v>
      </c>
      <c r="C29" s="17">
        <v>43889</v>
      </c>
      <c r="D29" s="22">
        <v>1409</v>
      </c>
      <c r="E29" s="22"/>
      <c r="F29" s="232"/>
      <c r="G29" s="232">
        <v>710.4</v>
      </c>
      <c r="H29" s="232"/>
      <c r="I29" s="496">
        <v>88.5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6</v>
      </c>
      <c r="C30" s="17">
        <v>43890</v>
      </c>
      <c r="D30" s="22">
        <v>1221.9000000000001</v>
      </c>
      <c r="E30" s="22"/>
      <c r="F30" s="232"/>
      <c r="G30" s="232">
        <v>587</v>
      </c>
      <c r="H30" s="232"/>
      <c r="I30" s="496">
        <v>137.19999999999999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309" t="str">
        <f t="shared" si="0"/>
        <v/>
      </c>
      <c r="C31" s="116"/>
      <c r="D31" s="488"/>
      <c r="E31" s="488"/>
      <c r="F31" s="311"/>
      <c r="G31" s="311"/>
      <c r="H31" s="488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309" t="str">
        <f t="shared" si="0"/>
        <v/>
      </c>
      <c r="C32" s="116"/>
      <c r="D32" s="242"/>
      <c r="E32" s="242"/>
      <c r="F32" s="311"/>
      <c r="G32" s="311"/>
      <c r="H32" s="373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544" t="s">
        <v>229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12672.090000000002</v>
      </c>
      <c r="E34" s="244">
        <f>SUM(E2:E32)</f>
        <v>14881.58</v>
      </c>
      <c r="F34" s="244">
        <f>SUM(F2:F32)</f>
        <v>2658.8</v>
      </c>
      <c r="G34" s="244">
        <f t="shared" ref="G34" si="1">SUM(G2:G32)</f>
        <v>6029.4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SUM(D2:E32)+F26</f>
        <v>28339.369999999995</v>
      </c>
      <c r="J35" s="298">
        <f>SUM(F2:G25)+H9+H14+H18+SUM(F27:G30)</f>
        <v>8639.7200000000012</v>
      </c>
      <c r="K35" s="475">
        <f>SUM(I2:I32)</f>
        <v>3335.7799999999997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260</v>
      </c>
      <c r="E40" s="88">
        <f>ROUND(20*E33,2)</f>
        <v>300</v>
      </c>
      <c r="F40" s="549">
        <f>ROUND(23*F33,2)</f>
        <v>207</v>
      </c>
      <c r="G40" s="89">
        <f>ROUND(23*G33,2)</f>
        <v>414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433.77000000000004</v>
      </c>
      <c r="E43" s="478">
        <f>E37+E38+E39+E40-E41-E42</f>
        <v>470.93999999999994</v>
      </c>
      <c r="F43" s="478">
        <f>F37+F38+F40</f>
        <v>282.22000000000003</v>
      </c>
      <c r="G43" s="478">
        <f>G37+G38+G39+G40-G41-G42</f>
        <v>330.0800000000001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771.48</v>
      </c>
      <c r="E44" s="293">
        <f>E37+E38+E39+E40</f>
        <v>751.81999999999994</v>
      </c>
      <c r="F44" s="293">
        <f>F37+F38+F39+F40</f>
        <v>282.22000000000003</v>
      </c>
      <c r="G44" s="293">
        <f>G37+G38+G39+G40</f>
        <v>587.17000000000007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450"/>
      <c r="J49" s="589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268</v>
      </c>
    </row>
    <row r="3" spans="1:10" x14ac:dyDescent="0.25">
      <c r="A3" t="s">
        <v>269</v>
      </c>
    </row>
    <row r="4" spans="1:10" x14ac:dyDescent="0.25">
      <c r="A4" s="597" t="s">
        <v>16</v>
      </c>
      <c r="B4" s="726" t="s">
        <v>270</v>
      </c>
      <c r="C4" s="726"/>
      <c r="D4" s="597" t="s">
        <v>271</v>
      </c>
      <c r="E4" s="597" t="s">
        <v>272</v>
      </c>
      <c r="F4" s="597" t="s">
        <v>273</v>
      </c>
      <c r="G4" s="597" t="s">
        <v>16</v>
      </c>
      <c r="H4" s="726" t="s">
        <v>274</v>
      </c>
      <c r="I4" s="726"/>
      <c r="J4" s="597" t="s">
        <v>273</v>
      </c>
    </row>
    <row r="5" spans="1:10" x14ac:dyDescent="0.25">
      <c r="A5" s="599" t="s">
        <v>275</v>
      </c>
    </row>
    <row r="6" spans="1:10" x14ac:dyDescent="0.25">
      <c r="A6" s="600">
        <v>43876</v>
      </c>
      <c r="B6" t="s">
        <v>276</v>
      </c>
    </row>
    <row r="7" spans="1:10" x14ac:dyDescent="0.25">
      <c r="B7" t="s">
        <v>277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ОБЩЕЕ</vt:lpstr>
      <vt:lpstr>ОБЩАЯ СВЕРКА</vt:lpstr>
      <vt:lpstr>сверка ДЕКАБРЬ</vt:lpstr>
      <vt:lpstr>ЗП ДЕКАБРЬ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'ЗП МАРТ'!Область_печати</vt:lpstr>
      <vt:lpstr>'ЗП ФЕВРАЛЬ'!Область_печати</vt:lpstr>
      <vt:lpstr>МАРТ!Область_печати</vt:lpstr>
      <vt:lpstr>'ОБЩАЯ СВЕРКА'!Область_печати</vt:lpstr>
      <vt:lpstr>'сверка ДЕКАБРЬ'!Область_печати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2020-02-29T23:24:55Z</cp:lastPrinted>
  <dcterms:created xsi:type="dcterms:W3CDTF">2019-05-31T14:37:56Z</dcterms:created>
  <dcterms:modified xsi:type="dcterms:W3CDTF">2020-03-27T18:07:58Z</dcterms:modified>
</cp:coreProperties>
</file>