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firstSheet="2" activeTab="14"/>
  </bookViews>
  <sheets>
    <sheet name="ОБЩЕЕ" sheetId="3" r:id="rId1"/>
    <sheet name="ОБЩАЯ СВЕРКА" sheetId="6" r:id="rId2"/>
    <sheet name="ФЕВРАЛЬ" sheetId="27" r:id="rId3"/>
    <sheet name="ЗП ФЕВРАЛЬ" sheetId="28" r:id="rId4"/>
    <sheet name="МАРТ" sheetId="30" r:id="rId5"/>
    <sheet name="ЗП МАРТ" sheetId="31" r:id="rId6"/>
    <sheet name="апрель" sheetId="35" r:id="rId7"/>
    <sheet name="зп апрель" sheetId="36" r:id="rId8"/>
    <sheet name="май" sheetId="37" r:id="rId9"/>
    <sheet name="зп май" sheetId="38" r:id="rId10"/>
    <sheet name="ИЮНЬ" sheetId="39" r:id="rId11"/>
    <sheet name="ЗП ИЮНЬ" sheetId="40" r:id="rId12"/>
    <sheet name="июЛь" sheetId="41" r:id="rId13"/>
    <sheet name="ЗП июЛь" sheetId="42" r:id="rId14"/>
    <sheet name="АВГУСТ" sheetId="43" r:id="rId15"/>
    <sheet name="ЗП АВГУСТ" sheetId="44" r:id="rId16"/>
  </sheets>
  <definedNames>
    <definedName name="_xlnm.Print_Area" localSheetId="14">АВГУСТ!$A$54:$M$101</definedName>
    <definedName name="_xlnm.Print_Area" localSheetId="6">апрель!$A$1:$N$52</definedName>
    <definedName name="_xlnm.Print_Area" localSheetId="15">'ЗП АВГУСТ'!$B$1:$D$45</definedName>
    <definedName name="_xlnm.Print_Area" localSheetId="7">'зп апрель'!$B$1:$D$44</definedName>
    <definedName name="_xlnm.Print_Area" localSheetId="13">'ЗП июЛь'!$B$1:$D$45</definedName>
    <definedName name="_xlnm.Print_Area" localSheetId="11">'ЗП ИЮНЬ'!$B$1:$F$44</definedName>
    <definedName name="_xlnm.Print_Area" localSheetId="9">'зп май'!$B$1:$D$44</definedName>
    <definedName name="_xlnm.Print_Area" localSheetId="5">'ЗП МАРТ'!$B$1:$E$45</definedName>
    <definedName name="_xlnm.Print_Area" localSheetId="3">'ЗП ФЕВРАЛЬ'!$B$1:$G$44</definedName>
    <definedName name="_xlnm.Print_Area" localSheetId="12">июЛь!$A$1:$N$52</definedName>
    <definedName name="_xlnm.Print_Area" localSheetId="10">ИЮНЬ!$A$56:$M$102</definedName>
    <definedName name="_xlnm.Print_Area" localSheetId="8">май!$A$1:$M$52</definedName>
    <definedName name="_xlnm.Print_Area" localSheetId="4">МАРТ!$A$1:$M$50</definedName>
    <definedName name="_xlnm.Print_Area" localSheetId="1">'ОБЩАЯ СВЕРКА'!$A$1:$Q$29</definedName>
    <definedName name="_xlnm.Print_Area" localSheetId="2">ФЕВРАЛЬ!$A$48:$M$90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43" l="1"/>
  <c r="L35" i="44"/>
  <c r="K35" i="44"/>
  <c r="N69" i="41"/>
  <c r="E58" i="43" l="1"/>
  <c r="M35" i="44" l="1"/>
  <c r="G2" i="44"/>
  <c r="B3" i="44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F40" i="44"/>
  <c r="H38" i="44"/>
  <c r="G38" i="44"/>
  <c r="F38" i="44"/>
  <c r="E38" i="44"/>
  <c r="D38" i="44"/>
  <c r="I35" i="44"/>
  <c r="I38" i="44" s="1"/>
  <c r="I34" i="44"/>
  <c r="I36" i="44" s="1"/>
  <c r="I37" i="44" s="1"/>
  <c r="H34" i="44"/>
  <c r="H36" i="44" s="1"/>
  <c r="H37" i="44" s="1"/>
  <c r="G34" i="44"/>
  <c r="G36" i="44" s="1"/>
  <c r="G37" i="44" s="1"/>
  <c r="F34" i="44"/>
  <c r="F36" i="44" s="1"/>
  <c r="F37" i="44" s="1"/>
  <c r="D34" i="44"/>
  <c r="D36" i="44" s="1"/>
  <c r="D37" i="44" s="1"/>
  <c r="I33" i="44"/>
  <c r="I40" i="44" s="1"/>
  <c r="H33" i="44"/>
  <c r="H40" i="44" s="1"/>
  <c r="G33" i="44"/>
  <c r="G40" i="44" s="1"/>
  <c r="F33" i="44"/>
  <c r="D33" i="44"/>
  <c r="D40" i="44" s="1"/>
  <c r="E34" i="44"/>
  <c r="E36" i="44" s="1"/>
  <c r="E37" i="44" s="1"/>
  <c r="B2" i="44"/>
  <c r="C108" i="43"/>
  <c r="E107" i="43"/>
  <c r="J101" i="43"/>
  <c r="L85" i="43"/>
  <c r="K85" i="43"/>
  <c r="M84" i="43"/>
  <c r="M85" i="43" s="1"/>
  <c r="L83" i="43"/>
  <c r="K83" i="43"/>
  <c r="J83" i="43"/>
  <c r="M82" i="43"/>
  <c r="M77" i="43"/>
  <c r="M78" i="43" s="1"/>
  <c r="M79" i="43" s="1"/>
  <c r="M80" i="43" s="1"/>
  <c r="C74" i="43"/>
  <c r="K73" i="43"/>
  <c r="I73" i="43"/>
  <c r="H73" i="43"/>
  <c r="F73" i="43"/>
  <c r="E73" i="43"/>
  <c r="K72" i="43"/>
  <c r="I72" i="43"/>
  <c r="H72" i="43"/>
  <c r="F72" i="43"/>
  <c r="E72" i="43"/>
  <c r="K71" i="43"/>
  <c r="I71" i="43"/>
  <c r="H71" i="43"/>
  <c r="F71" i="43"/>
  <c r="E71" i="43"/>
  <c r="K70" i="43"/>
  <c r="I70" i="43"/>
  <c r="H70" i="43"/>
  <c r="F70" i="43"/>
  <c r="E70" i="43"/>
  <c r="K69" i="43"/>
  <c r="I69" i="43"/>
  <c r="H69" i="43"/>
  <c r="F69" i="43"/>
  <c r="E69" i="43"/>
  <c r="K68" i="43"/>
  <c r="I68" i="43"/>
  <c r="H68" i="43"/>
  <c r="F68" i="43"/>
  <c r="E68" i="43"/>
  <c r="K67" i="43"/>
  <c r="I67" i="43"/>
  <c r="H67" i="43"/>
  <c r="F67" i="43"/>
  <c r="E67" i="43"/>
  <c r="K66" i="43"/>
  <c r="I66" i="43"/>
  <c r="H66" i="43"/>
  <c r="F66" i="43"/>
  <c r="E66" i="43"/>
  <c r="H65" i="43"/>
  <c r="F65" i="43"/>
  <c r="E65" i="43"/>
  <c r="F64" i="43"/>
  <c r="E64" i="43"/>
  <c r="F63" i="43"/>
  <c r="E63" i="43"/>
  <c r="F62" i="43"/>
  <c r="E62" i="43"/>
  <c r="F61" i="43"/>
  <c r="E61" i="43"/>
  <c r="F60" i="43"/>
  <c r="E60" i="43"/>
  <c r="K74" i="43"/>
  <c r="F59" i="43"/>
  <c r="E59" i="43"/>
  <c r="F58" i="43"/>
  <c r="N51" i="43"/>
  <c r="N45" i="43"/>
  <c r="N44" i="43"/>
  <c r="N43" i="43"/>
  <c r="K42" i="43"/>
  <c r="N42" i="43" s="1"/>
  <c r="N41" i="43"/>
  <c r="L33" i="43"/>
  <c r="K33" i="43"/>
  <c r="J33" i="43"/>
  <c r="K31" i="43"/>
  <c r="J31" i="43"/>
  <c r="M31" i="43" s="1"/>
  <c r="M32" i="43" s="1"/>
  <c r="M33" i="43" s="1"/>
  <c r="J30" i="43"/>
  <c r="M24" i="43"/>
  <c r="M25" i="43" s="1"/>
  <c r="M26" i="43" s="1"/>
  <c r="M27" i="43" s="1"/>
  <c r="M28" i="43" s="1"/>
  <c r="M29" i="43" s="1"/>
  <c r="M23" i="43"/>
  <c r="K20" i="43"/>
  <c r="C20" i="43"/>
  <c r="F19" i="43"/>
  <c r="E19" i="43"/>
  <c r="F18" i="43"/>
  <c r="E18" i="43"/>
  <c r="F17" i="43"/>
  <c r="E17" i="43"/>
  <c r="F16" i="43"/>
  <c r="E16" i="43"/>
  <c r="F15" i="43"/>
  <c r="E15" i="43"/>
  <c r="F14" i="43"/>
  <c r="E14" i="43"/>
  <c r="F13" i="43"/>
  <c r="E13" i="43"/>
  <c r="F12" i="43"/>
  <c r="E12" i="43"/>
  <c r="F11" i="43"/>
  <c r="E11" i="43"/>
  <c r="F10" i="43"/>
  <c r="E10" i="43"/>
  <c r="F9" i="43"/>
  <c r="E9" i="43"/>
  <c r="F8" i="43"/>
  <c r="E8" i="43"/>
  <c r="F7" i="43"/>
  <c r="E7" i="43"/>
  <c r="F6" i="43"/>
  <c r="E6" i="43"/>
  <c r="F5" i="43"/>
  <c r="E5" i="43"/>
  <c r="E20" i="43" s="1"/>
  <c r="G46" i="42"/>
  <c r="D46" i="42"/>
  <c r="M85" i="41"/>
  <c r="L85" i="41"/>
  <c r="K20" i="41"/>
  <c r="M33" i="41"/>
  <c r="L33" i="41"/>
  <c r="K85" i="41"/>
  <c r="K33" i="41"/>
  <c r="L35" i="42"/>
  <c r="K35" i="42"/>
  <c r="J33" i="41"/>
  <c r="N52" i="43" l="1"/>
  <c r="E74" i="43"/>
  <c r="D45" i="44"/>
  <c r="D44" i="44"/>
  <c r="G45" i="44"/>
  <c r="G44" i="44"/>
  <c r="I45" i="44"/>
  <c r="I44" i="44"/>
  <c r="F45" i="44"/>
  <c r="F44" i="44"/>
  <c r="H45" i="44"/>
  <c r="H44" i="44"/>
  <c r="E33" i="44"/>
  <c r="E40" i="44" s="1"/>
  <c r="E45" i="44" s="1"/>
  <c r="J52" i="43"/>
  <c r="D44" i="42"/>
  <c r="D45" i="42"/>
  <c r="D40" i="42"/>
  <c r="D34" i="42"/>
  <c r="D33" i="42"/>
  <c r="H45" i="42"/>
  <c r="H34" i="42"/>
  <c r="H33" i="42"/>
  <c r="H40" i="42"/>
  <c r="G46" i="44" l="1"/>
  <c r="E44" i="44"/>
  <c r="D46" i="44" s="1"/>
  <c r="I44" i="42"/>
  <c r="I40" i="42"/>
  <c r="I35" i="42"/>
  <c r="I34" i="42"/>
  <c r="I33" i="42"/>
  <c r="I38" i="42"/>
  <c r="I36" i="42"/>
  <c r="I37" i="42" s="1"/>
  <c r="G40" i="42"/>
  <c r="G38" i="42"/>
  <c r="G36" i="42"/>
  <c r="G34" i="42"/>
  <c r="F40" i="42"/>
  <c r="E34" i="42"/>
  <c r="E33" i="42"/>
  <c r="E31" i="42"/>
  <c r="E40" i="42"/>
  <c r="E38" i="42"/>
  <c r="I45" i="42" l="1"/>
  <c r="E17" i="42" l="1"/>
  <c r="G33" i="42"/>
  <c r="G37" i="42"/>
  <c r="G44" i="42" s="1"/>
  <c r="F34" i="42"/>
  <c r="F36" i="42" s="1"/>
  <c r="F37" i="42" s="1"/>
  <c r="F38" i="42"/>
  <c r="D107" i="41"/>
  <c r="E107" i="41" s="1"/>
  <c r="G45" i="42" l="1"/>
  <c r="F44" i="42"/>
  <c r="K64" i="41"/>
  <c r="K5" i="41"/>
  <c r="K42" i="41" l="1"/>
  <c r="K63" i="41" l="1"/>
  <c r="K62" i="41"/>
  <c r="K61" i="41"/>
  <c r="K60" i="41"/>
  <c r="K59" i="41"/>
  <c r="D65" i="3" l="1"/>
  <c r="L60" i="3"/>
  <c r="J101" i="41"/>
  <c r="M23" i="41"/>
  <c r="M24" i="41"/>
  <c r="M25" i="41" s="1"/>
  <c r="M26" i="41" s="1"/>
  <c r="M27" i="41" s="1"/>
  <c r="M28" i="41" s="1"/>
  <c r="M29" i="41" s="1"/>
  <c r="L35" i="40"/>
  <c r="K35" i="40"/>
  <c r="E6" i="41"/>
  <c r="F6" i="41"/>
  <c r="E7" i="41"/>
  <c r="F7" i="41"/>
  <c r="E8" i="41"/>
  <c r="F8" i="41"/>
  <c r="E9" i="41"/>
  <c r="F9" i="41"/>
  <c r="E10" i="41"/>
  <c r="F10" i="41"/>
  <c r="E11" i="41"/>
  <c r="F11" i="41"/>
  <c r="E12" i="41"/>
  <c r="F12" i="41"/>
  <c r="E13" i="41"/>
  <c r="F13" i="41"/>
  <c r="E14" i="41"/>
  <c r="F14" i="41"/>
  <c r="E15" i="41"/>
  <c r="F15" i="41"/>
  <c r="E16" i="41"/>
  <c r="F16" i="41"/>
  <c r="E17" i="41"/>
  <c r="F17" i="41"/>
  <c r="E18" i="41"/>
  <c r="F18" i="41"/>
  <c r="E19" i="41"/>
  <c r="F19" i="41"/>
  <c r="F5" i="41"/>
  <c r="E5" i="41"/>
  <c r="BR39" i="3"/>
  <c r="BQ39" i="3"/>
  <c r="BP39" i="3"/>
  <c r="BO39" i="3"/>
  <c r="BV35" i="3"/>
  <c r="BU36" i="3"/>
  <c r="BR35" i="3"/>
  <c r="BR37" i="3" s="1"/>
  <c r="BR38" i="3" s="1"/>
  <c r="BQ35" i="3"/>
  <c r="BQ37" i="3" s="1"/>
  <c r="BQ38" i="3" s="1"/>
  <c r="BQ45" i="3" s="1"/>
  <c r="BP35" i="3"/>
  <c r="BP37" i="3" s="1"/>
  <c r="BP38" i="3" s="1"/>
  <c r="BR34" i="3"/>
  <c r="BR42" i="3" s="1"/>
  <c r="BQ34" i="3"/>
  <c r="BQ42" i="3" s="1"/>
  <c r="BP34" i="3"/>
  <c r="BP42" i="3" s="1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9" i="3"/>
  <c r="BM18" i="3"/>
  <c r="BM17" i="3"/>
  <c r="BM16" i="3"/>
  <c r="BO15" i="3"/>
  <c r="BT36" i="3" s="1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J371" i="6"/>
  <c r="M352" i="6"/>
  <c r="M353" i="6" s="1"/>
  <c r="M354" i="6" s="1"/>
  <c r="F349" i="6"/>
  <c r="E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K333" i="6"/>
  <c r="F333" i="6"/>
  <c r="E333" i="6"/>
  <c r="K322" i="6"/>
  <c r="M307" i="6"/>
  <c r="M308" i="6" s="1"/>
  <c r="M309" i="6" s="1"/>
  <c r="M310" i="6" s="1"/>
  <c r="M311" i="6" s="1"/>
  <c r="M312" i="6" s="1"/>
  <c r="M313" i="6" s="1"/>
  <c r="M306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J289" i="6"/>
  <c r="K326" i="6" s="1"/>
  <c r="F289" i="6"/>
  <c r="E289" i="6"/>
  <c r="L288" i="6"/>
  <c r="F288" i="6"/>
  <c r="E288" i="6"/>
  <c r="L287" i="6"/>
  <c r="K287" i="6"/>
  <c r="F287" i="6"/>
  <c r="E287" i="6"/>
  <c r="H38" i="42"/>
  <c r="D38" i="42"/>
  <c r="M35" i="42"/>
  <c r="O57" i="3" s="1"/>
  <c r="H36" i="42"/>
  <c r="H37" i="42" s="1"/>
  <c r="E36" i="42"/>
  <c r="E37" i="42" s="1"/>
  <c r="D36" i="42"/>
  <c r="D37" i="42" s="1"/>
  <c r="F33" i="42"/>
  <c r="B32" i="42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" i="42"/>
  <c r="B2" i="42"/>
  <c r="C108" i="41"/>
  <c r="M84" i="41"/>
  <c r="L83" i="41"/>
  <c r="K83" i="41"/>
  <c r="J83" i="41"/>
  <c r="M82" i="41"/>
  <c r="M77" i="41"/>
  <c r="M78" i="41" s="1"/>
  <c r="M79" i="41" s="1"/>
  <c r="M80" i="41" s="1"/>
  <c r="C74" i="41"/>
  <c r="K73" i="41"/>
  <c r="I73" i="41"/>
  <c r="H73" i="41"/>
  <c r="F73" i="41"/>
  <c r="E73" i="41"/>
  <c r="K72" i="41"/>
  <c r="I72" i="41"/>
  <c r="H72" i="41"/>
  <c r="F72" i="41"/>
  <c r="E72" i="41"/>
  <c r="K71" i="41"/>
  <c r="I71" i="41"/>
  <c r="H71" i="41"/>
  <c r="F71" i="41"/>
  <c r="E71" i="41"/>
  <c r="K70" i="41"/>
  <c r="I70" i="41"/>
  <c r="H70" i="41"/>
  <c r="F70" i="41"/>
  <c r="E70" i="41"/>
  <c r="K69" i="41"/>
  <c r="I69" i="41"/>
  <c r="H69" i="41"/>
  <c r="F69" i="41"/>
  <c r="E69" i="41"/>
  <c r="K68" i="41"/>
  <c r="I68" i="41"/>
  <c r="H68" i="41"/>
  <c r="F68" i="41"/>
  <c r="E68" i="41"/>
  <c r="K67" i="41"/>
  <c r="I67" i="41"/>
  <c r="H67" i="41"/>
  <c r="F67" i="41"/>
  <c r="E67" i="41"/>
  <c r="K66" i="41"/>
  <c r="I66" i="41"/>
  <c r="H66" i="41"/>
  <c r="F66" i="41"/>
  <c r="H65" i="41"/>
  <c r="F65" i="41"/>
  <c r="E65" i="41"/>
  <c r="H64" i="41"/>
  <c r="F64" i="41"/>
  <c r="E64" i="41"/>
  <c r="H63" i="41"/>
  <c r="F63" i="41"/>
  <c r="E63" i="41"/>
  <c r="H62" i="41"/>
  <c r="F62" i="41"/>
  <c r="E62" i="41"/>
  <c r="H61" i="41"/>
  <c r="F61" i="41"/>
  <c r="E61" i="41"/>
  <c r="H60" i="41"/>
  <c r="F60" i="41"/>
  <c r="E60" i="41"/>
  <c r="H59" i="41"/>
  <c r="F59" i="41"/>
  <c r="E59" i="41"/>
  <c r="F58" i="41"/>
  <c r="E58" i="41"/>
  <c r="N51" i="41"/>
  <c r="N45" i="41"/>
  <c r="N44" i="41"/>
  <c r="N43" i="41"/>
  <c r="J52" i="41"/>
  <c r="N41" i="41"/>
  <c r="K31" i="41"/>
  <c r="J31" i="41"/>
  <c r="J30" i="41"/>
  <c r="C20" i="41"/>
  <c r="J54" i="39"/>
  <c r="J102" i="39"/>
  <c r="J45" i="40"/>
  <c r="N53" i="39"/>
  <c r="K53" i="39"/>
  <c r="M86" i="39"/>
  <c r="J35" i="40"/>
  <c r="H44" i="42" l="1"/>
  <c r="E45" i="42"/>
  <c r="E44" i="42"/>
  <c r="F45" i="42"/>
  <c r="M31" i="41"/>
  <c r="M32" i="41" s="1"/>
  <c r="E20" i="41"/>
  <c r="K74" i="41"/>
  <c r="E66" i="41"/>
  <c r="E74" i="41" s="1"/>
  <c r="BP46" i="3"/>
  <c r="BP45" i="3"/>
  <c r="BR46" i="3"/>
  <c r="BR45" i="3"/>
  <c r="BO34" i="3"/>
  <c r="BO42" i="3" s="1"/>
  <c r="BO35" i="3"/>
  <c r="BO37" i="3" s="1"/>
  <c r="BO38" i="3" s="1"/>
  <c r="BO46" i="3" s="1"/>
  <c r="J327" i="6"/>
  <c r="N42" i="41"/>
  <c r="N52" i="41" s="1"/>
  <c r="F71" i="39"/>
  <c r="D34" i="40" l="1"/>
  <c r="D36" i="40"/>
  <c r="D33" i="40"/>
  <c r="D40" i="40" s="1"/>
  <c r="G40" i="38" l="1"/>
  <c r="G38" i="40"/>
  <c r="G34" i="40"/>
  <c r="E33" i="40" l="1"/>
  <c r="E40" i="40" s="1"/>
  <c r="E34" i="40"/>
  <c r="N43" i="39" l="1"/>
  <c r="K20" i="39" l="1"/>
  <c r="C109" i="39"/>
  <c r="D44" i="38"/>
  <c r="J37" i="38"/>
  <c r="N47" i="39"/>
  <c r="N46" i="39"/>
  <c r="N45" i="39"/>
  <c r="C76" i="39"/>
  <c r="D68" i="39" l="1"/>
  <c r="K44" i="39" l="1"/>
  <c r="N44" i="39" s="1"/>
  <c r="N54" i="39" s="1"/>
  <c r="K34" i="39" l="1"/>
  <c r="E61" i="39" l="1"/>
  <c r="F61" i="39"/>
  <c r="E62" i="39"/>
  <c r="F62" i="39"/>
  <c r="E63" i="39"/>
  <c r="F63" i="39"/>
  <c r="E64" i="39"/>
  <c r="F64" i="39"/>
  <c r="E65" i="39"/>
  <c r="F65" i="39"/>
  <c r="E66" i="39"/>
  <c r="F66" i="39"/>
  <c r="E67" i="39"/>
  <c r="F67" i="39"/>
  <c r="E68" i="39"/>
  <c r="F68" i="39"/>
  <c r="E69" i="39"/>
  <c r="F69" i="39"/>
  <c r="E70" i="39"/>
  <c r="F70" i="39"/>
  <c r="E71" i="39"/>
  <c r="E72" i="39"/>
  <c r="F72" i="39"/>
  <c r="E73" i="39"/>
  <c r="F73" i="39"/>
  <c r="E74" i="39"/>
  <c r="F74" i="39"/>
  <c r="E75" i="39"/>
  <c r="F75" i="39"/>
  <c r="E6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F5" i="39"/>
  <c r="E5" i="39"/>
  <c r="F60" i="39"/>
  <c r="E60" i="39"/>
  <c r="K61" i="39"/>
  <c r="K62" i="39"/>
  <c r="K63" i="39"/>
  <c r="K64" i="39"/>
  <c r="K65" i="39"/>
  <c r="K66" i="39"/>
  <c r="K67" i="39"/>
  <c r="K68" i="39"/>
  <c r="K69" i="39"/>
  <c r="K70" i="39"/>
  <c r="K71" i="39"/>
  <c r="K72" i="39"/>
  <c r="K73" i="39"/>
  <c r="K74" i="39"/>
  <c r="K75" i="39"/>
  <c r="K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75" i="39"/>
  <c r="I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60" i="39"/>
  <c r="F38" i="40"/>
  <c r="E38" i="40"/>
  <c r="D38" i="40"/>
  <c r="G36" i="40"/>
  <c r="G37" i="40" s="1"/>
  <c r="F34" i="40"/>
  <c r="F36" i="40" s="1"/>
  <c r="F37" i="40" s="1"/>
  <c r="F44" i="40" s="1"/>
  <c r="E36" i="40"/>
  <c r="D37" i="40"/>
  <c r="H33" i="40"/>
  <c r="G33" i="40"/>
  <c r="G40" i="40" s="1"/>
  <c r="F33" i="40"/>
  <c r="F40" i="40" s="1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L85" i="39"/>
  <c r="K85" i="39"/>
  <c r="J85" i="39"/>
  <c r="M84" i="39"/>
  <c r="M79" i="39"/>
  <c r="M80" i="39" s="1"/>
  <c r="M81" i="39" s="1"/>
  <c r="M82" i="39" s="1"/>
  <c r="J34" i="39"/>
  <c r="I34" i="39"/>
  <c r="J33" i="39"/>
  <c r="M23" i="39"/>
  <c r="M24" i="39" s="1"/>
  <c r="M25" i="39" s="1"/>
  <c r="M26" i="39" s="1"/>
  <c r="M27" i="39" s="1"/>
  <c r="M28" i="39" s="1"/>
  <c r="M29" i="39" s="1"/>
  <c r="M30" i="39" s="1"/>
  <c r="M31" i="39" s="1"/>
  <c r="M32" i="39" s="1"/>
  <c r="C20" i="39"/>
  <c r="L83" i="37"/>
  <c r="M34" i="37"/>
  <c r="M34" i="35"/>
  <c r="J34" i="37"/>
  <c r="G44" i="40" l="1"/>
  <c r="G45" i="40"/>
  <c r="K37" i="40" s="1"/>
  <c r="D45" i="40"/>
  <c r="D44" i="40"/>
  <c r="E37" i="40"/>
  <c r="E44" i="40" s="1"/>
  <c r="E76" i="39"/>
  <c r="E20" i="39"/>
  <c r="M34" i="39"/>
  <c r="M35" i="39" s="1"/>
  <c r="F45" i="40"/>
  <c r="K76" i="39"/>
  <c r="K35" i="38"/>
  <c r="J83" i="37"/>
  <c r="J37" i="40" l="1"/>
  <c r="E45" i="40"/>
  <c r="M82" i="37"/>
  <c r="K83" i="37"/>
  <c r="J35" i="38"/>
  <c r="K5" i="37" l="1"/>
  <c r="D43" i="38"/>
  <c r="D33" i="38"/>
  <c r="D40" i="38"/>
  <c r="D34" i="38"/>
  <c r="H33" i="38"/>
  <c r="F43" i="38"/>
  <c r="F40" i="38"/>
  <c r="F33" i="38"/>
  <c r="F34" i="38"/>
  <c r="G44" i="38" l="1"/>
  <c r="K37" i="38" s="1"/>
  <c r="G37" i="38"/>
  <c r="G43" i="38"/>
  <c r="G42" i="38"/>
  <c r="G34" i="38"/>
  <c r="M23" i="37" l="1"/>
  <c r="J35" i="36"/>
  <c r="M77" i="37"/>
  <c r="E71" i="37" l="1"/>
  <c r="K66" i="37" l="1"/>
  <c r="I66" i="37"/>
  <c r="I65" i="37"/>
  <c r="K42" i="37" l="1"/>
  <c r="E34" i="38" l="1"/>
  <c r="D58" i="37" l="1"/>
  <c r="R4" i="37" l="1"/>
  <c r="K67" i="37" l="1"/>
  <c r="K68" i="37"/>
  <c r="K69" i="37"/>
  <c r="K70" i="37"/>
  <c r="K71" i="37"/>
  <c r="K72" i="37"/>
  <c r="K73" i="37"/>
  <c r="I67" i="37"/>
  <c r="I68" i="37"/>
  <c r="I69" i="37"/>
  <c r="I70" i="37"/>
  <c r="I71" i="37"/>
  <c r="I72" i="37"/>
  <c r="I73" i="37"/>
  <c r="K64" i="37"/>
  <c r="I64" i="37"/>
  <c r="H66" i="37"/>
  <c r="H67" i="37"/>
  <c r="H68" i="37"/>
  <c r="H69" i="37"/>
  <c r="H70" i="37"/>
  <c r="H71" i="37"/>
  <c r="H72" i="37"/>
  <c r="H73" i="37"/>
  <c r="H64" i="37"/>
  <c r="K59" i="37"/>
  <c r="K60" i="37"/>
  <c r="K61" i="37"/>
  <c r="K63" i="37"/>
  <c r="I59" i="37"/>
  <c r="I60" i="37"/>
  <c r="I61" i="37"/>
  <c r="I62" i="37"/>
  <c r="I63" i="37"/>
  <c r="H59" i="37"/>
  <c r="H60" i="37"/>
  <c r="H61" i="37"/>
  <c r="H62" i="37"/>
  <c r="H63" i="37"/>
  <c r="K58" i="37"/>
  <c r="I58" i="37"/>
  <c r="H58" i="37"/>
  <c r="J99" i="37"/>
  <c r="U8" i="37" l="1"/>
  <c r="Q8" i="37"/>
  <c r="Q21" i="37" s="1"/>
  <c r="K62" i="37" l="1"/>
  <c r="K74" i="37" s="1"/>
  <c r="U21" i="37"/>
  <c r="I34" i="37"/>
  <c r="L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F71" i="37"/>
  <c r="E72" i="37"/>
  <c r="F72" i="37"/>
  <c r="E73" i="37"/>
  <c r="F73" i="37"/>
  <c r="E63" i="37"/>
  <c r="F63" i="37"/>
  <c r="E62" i="37"/>
  <c r="F62" i="37"/>
  <c r="K43" i="37"/>
  <c r="E38" i="38" l="1"/>
  <c r="E36" i="38"/>
  <c r="E37" i="38" s="1"/>
  <c r="G33" i="38"/>
  <c r="E33" i="38"/>
  <c r="E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78" i="37"/>
  <c r="M79" i="37" s="1"/>
  <c r="M80" i="37" s="1"/>
  <c r="C74" i="37"/>
  <c r="F61" i="37"/>
  <c r="E61" i="37"/>
  <c r="F60" i="37"/>
  <c r="E60" i="37"/>
  <c r="F59" i="37"/>
  <c r="E59" i="37"/>
  <c r="F58" i="37"/>
  <c r="E58" i="37"/>
  <c r="J33" i="37"/>
  <c r="M24" i="37"/>
  <c r="M25" i="37" s="1"/>
  <c r="M26" i="37" s="1"/>
  <c r="M27" i="37" s="1"/>
  <c r="M28" i="37" s="1"/>
  <c r="M29" i="37" s="1"/>
  <c r="M30" i="37" s="1"/>
  <c r="M31" i="37" s="1"/>
  <c r="M32" i="37" s="1"/>
  <c r="C20" i="37"/>
  <c r="J6" i="37"/>
  <c r="L5" i="37"/>
  <c r="K47" i="37" s="1"/>
  <c r="M52" i="37" s="1"/>
  <c r="E20" i="37"/>
  <c r="D38" i="38" l="1"/>
  <c r="G38" i="38"/>
  <c r="F38" i="38"/>
  <c r="E43" i="38"/>
  <c r="J40" i="38" s="1"/>
  <c r="E74" i="37"/>
  <c r="J52" i="37"/>
  <c r="E44" i="38"/>
  <c r="J34" i="35"/>
  <c r="D36" i="38" l="1"/>
  <c r="D37" i="38" s="1"/>
  <c r="G36" i="38"/>
  <c r="F36" i="38"/>
  <c r="F37" i="38" s="1"/>
  <c r="E43" i="36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F44" i="38" l="1"/>
  <c r="U14" i="35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G34" i="28" l="1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D43" i="28" l="1"/>
  <c r="D44" i="28"/>
  <c r="Q32" i="30" s="1"/>
  <c r="S32" i="30" s="1"/>
  <c r="R31" i="30" l="1"/>
  <c r="Q31" i="30" l="1"/>
  <c r="S31" i="30" s="1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<sst xmlns="http://schemas.openxmlformats.org/spreadsheetml/2006/main" count="2693" uniqueCount="399">
  <si>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</si>
  <si>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</si>
  <si>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</si>
  <si>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</si>
  <si>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</si>
  <si>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</si>
  <si>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</si>
  <si>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</si>
  <si>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</si>
  <si>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</si>
  <si>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</si>
  <si>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</si>
  <si>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</si>
  <si>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</si>
  <si>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</si>
  <si>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</si>
  <si>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</si>
  <si>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</si>
  <si>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</si>
  <si>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</si>
  <si>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</si>
  <si>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</si>
  <si>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</si>
  <si>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</si>
  <si>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</si>
  <si>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</si>
  <si>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</si>
  <si>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</si>
  <si>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</si>
  <si>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</si>
  <si>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</si>
  <si>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</si>
  <si>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</si>
  <si>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</si>
  <si>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</si>
  <si>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</si>
  <si>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</si>
  <si>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</si>
  <si>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</si>
  <si>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</si>
  <si>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</si>
  <si>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</si>
  <si>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</si>
  <si>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</si>
  <si>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</si>
  <si>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</si>
  <si>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</si>
  <si>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</si>
  <si>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</si>
  <si>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</si>
  <si>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</si>
  <si>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</si>
  <si>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</si>
  <si>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</si>
  <si>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</si>
  <si>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</si>
  <si>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</si>
  <si>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</si>
  <si>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</si>
  <si>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</si>
  <si>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</si>
  <si>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</si>
  <si>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</si>
  <si>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</si>
  <si>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</si>
  <si>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</si>
  <si>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</si>
  <si>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</si>
  <si>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</si>
  <si>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</si>
  <si>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</si>
  <si>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</si>
  <si>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</si>
  <si>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</si>
  <si>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</si>
  <si>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</si>
  <si>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</si>
  <si>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</si>
  <si>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</si>
  <si>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</si>
  <si>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</si>
  <si>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</si>
  <si>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</si>
  <si>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</si>
  <si>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</si>
  <si>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</si>
  <si>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</si>
  <si>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</si>
  <si>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</si>
  <si>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</si>
  <si>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</si>
  <si>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</si>
  <si>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</si>
  <si>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</si>
  <si>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</si>
  <si>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</si>
  <si>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</si>
  <si>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</si>
  <si>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</si>
  <si>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</si>
  <si>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</si>
  <si>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</si>
  <si>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</si>
  <si>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</si>
  <si>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</si>
  <si>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</si>
  <si>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</si>
  <si>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</si>
  <si>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</si>
  <si>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</si>
  <si>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</si>
  <si>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</si>
  <si>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</si>
  <si>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</si>
  <si>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</si>
  <si>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</si>
  <si>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</si>
  <si>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</si>
  <si>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</si>
  <si>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</si>
  <si>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</si>
  <si>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</si>
  <si>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</si>
  <si>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</si>
  <si>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</si>
  <si>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</si>
  <si>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</si>
  <si>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</si>
  <si>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</si>
  <si>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</si>
  <si>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</si>
  <si>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</si>
  <si>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</si>
  <si>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</si>
  <si>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</si>
  <si>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</si>
  <si>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</si>
  <si>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</si>
  <si>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</si>
  <si>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</si>
  <si>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</si>
  <si>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</si>
  <si>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</si>
  <si>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</si>
  <si>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</si>
  <si>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</si>
  <si>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</si>
  <si>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</si>
  <si>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</si>
  <si>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</si>
  <si>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</si>
  <si>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</si>
  <si>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</si>
  <si>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</si>
  <si>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</si>
  <si>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</si>
  <si>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</si>
  <si>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</si>
  <si>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</si>
  <si>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</si>
  <si>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</si>
  <si>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</si>
  <si>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</si>
  <si>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</si>
  <si>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</si>
  <si>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</si>
  <si>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</si>
  <si>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</si>
  <si>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</si>
  <si>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</si>
  <si>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</si>
  <si>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</si>
  <si>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</si>
  <si>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</si>
  <si>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</si>
  <si>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</si>
  <si>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</si>
  <si>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</si>
  <si>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</si>
  <si>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</si>
  <si>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</si>
  <si>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</si>
  <si>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</si>
  <si>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</si>
  <si>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</si>
  <si>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</si>
  <si>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</si>
  <si>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</si>
  <si>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</si>
  <si>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</si>
  <si>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</si>
  <si>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</si>
  <si>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</si>
  <si>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</si>
  <si>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</si>
  <si>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</si>
  <si>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</si>
  <si>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</si>
  <si>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</si>
  <si>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</si>
  <si>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</si>
  <si>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</si>
  <si>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</si>
  <si>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</si>
  <si>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</si>
  <si>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</si>
  <si>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</si>
  <si>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</si>
  <si>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</si>
  <si>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</si>
  <si>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</si>
  <si>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</si>
  <si>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</si>
  <si>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</si>
  <si>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</si>
  <si>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</si>
  <si>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</si>
  <si>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</si>
  <si>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</si>
  <si>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</si>
  <si>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</si>
  <si>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</si>
  <si>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</si>
  <si>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</si>
  <si>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</si>
  <si>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</si>
  <si>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</si>
  <si>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</si>
  <si>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</si>
  <si>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</si>
  <si>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</si>
  <si>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</si>
  <si>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</si>
  <si>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</si>
  <si>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</si>
  <si>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</si>
  <si>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</si>
  <si>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</si>
  <si>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</si>
  <si>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</si>
  <si>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</si>
  <si>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</si>
  <si>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</si>
  <si>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</si>
  <si>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</si>
  <si>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</si>
  <si>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</si>
  <si>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</si>
  <si>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</si>
  <si>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</si>
  <si>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</si>
  <si>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</si>
  <si>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</si>
  <si>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</si>
  <si>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</si>
  <si>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</si>
  <si>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</si>
  <si>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</si>
  <si>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</si>
  <si>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</si>
  <si>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</si>
  <si>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</si>
  <si>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</si>
  <si>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</si>
  <si>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</si>
  <si>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</si>
  <si>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</si>
  <si>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</si>
  <si>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</si>
  <si>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</si>
  <si>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</si>
  <si>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</si>
  <si>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</si>
  <si>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</si>
  <si>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</si>
  <si>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</si>
  <si>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</si>
  <si>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</si>
  <si>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</si>
  <si>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</si>
  <si>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</si>
  <si>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</si>
  <si>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</si>
  <si>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</si>
  <si>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</si>
  <si>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</si>
  <si>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</si>
  <si>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</si>
  <si>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</si>
  <si>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</si>
  <si>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</si>
  <si>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</si>
  <si>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</si>
  <si>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</si>
  <si>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</si>
  <si>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</si>
  <si>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</si>
  <si>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</si>
  <si>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</si>
  <si>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</si>
  <si>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</si>
  <si>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</si>
  <si>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</si>
  <si>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</si>
  <si>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</si>
  <si>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</si>
  <si>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</si>
  <si>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</si>
  <si>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</si>
  <si>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</si>
  <si>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</si>
  <si>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</si>
  <si>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</si>
  <si>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</si>
  <si>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</si>
  <si>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</si>
  <si>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</si>
  <si>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</si>
  <si>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</si>
  <si>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</si>
  <si>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</si>
  <si>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</si>
  <si>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</si>
  <si>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</si>
  <si>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</si>
  <si>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</si>
  <si>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</si>
  <si>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</si>
  <si>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</si>
  <si>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</si>
  <si>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</si>
  <si>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</si>
  <si>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</si>
  <si>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</si>
  <si>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</si>
  <si>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</si>
  <si>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</si>
  <si>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</si>
  <si>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</si>
  <si>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</si>
  <si>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</si>
  <si>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</si>
  <si>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</si>
  <si>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</si>
  <si>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</si>
  <si>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</si>
  <si>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</si>
  <si>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</si>
  <si>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</si>
  <si>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</si>
  <si>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</si>
  <si>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469 долл за май аренда</t>
  </si>
  <si>
    <t>олесе аванс карта не давать в июне</t>
  </si>
  <si>
    <t>мария</t>
  </si>
  <si>
    <t>ИП Мороз</t>
  </si>
  <si>
    <t>переучет на 01.06</t>
  </si>
  <si>
    <t>зп</t>
  </si>
  <si>
    <t>ВЕСТ май (ИП ЛОСИК)</t>
  </si>
  <si>
    <t>ГАЛЕРЕЯ июнь (ИП КОНОПЛЯНИК)</t>
  </si>
  <si>
    <t>ГАЛЕРЕЯ май (ИП КОНОПЛЯНИК)</t>
  </si>
  <si>
    <t>реализация за МАЙ месяц</t>
  </si>
  <si>
    <t>накл у лены</t>
  </si>
  <si>
    <t>олеся 100р взяяла в июне и мария 300р взяла</t>
  </si>
  <si>
    <t>Данделион</t>
  </si>
  <si>
    <t>переплата</t>
  </si>
  <si>
    <t>скрин в вайбере и на тел по оплатам</t>
  </si>
  <si>
    <t>не нужно</t>
  </si>
  <si>
    <t>не платил</t>
  </si>
  <si>
    <t>ира на весте +370,5</t>
  </si>
  <si>
    <t>ЖИТКОВИЧИ МАЙ</t>
  </si>
  <si>
    <t xml:space="preserve">РАСХОДЫ </t>
  </si>
  <si>
    <t>Магазин</t>
  </si>
  <si>
    <t>Кейр пойнт москва</t>
  </si>
  <si>
    <t>аванс 100</t>
  </si>
  <si>
    <t>зарплаты без аванса</t>
  </si>
  <si>
    <t>ВЕСТ июнь (ИП ЛОСИК)</t>
  </si>
  <si>
    <t>ЯНВАРЬ</t>
  </si>
  <si>
    <t>ГАЛЕРЕЯ июль (ИП КОНОПЛЯНИК)</t>
  </si>
  <si>
    <t>ВЕСТ июль (ИП ЛОСИК)</t>
  </si>
  <si>
    <t>ЖИТКОВИЧИ июль</t>
  </si>
  <si>
    <t>за август</t>
  </si>
  <si>
    <t>25 РУБЛЕЙ ОКЛАД</t>
  </si>
  <si>
    <t>ООО "Бьюти левел"</t>
  </si>
  <si>
    <t>эльпаза</t>
  </si>
  <si>
    <t>старлет</t>
  </si>
  <si>
    <t>НЕТ</t>
  </si>
  <si>
    <t>за июЛь</t>
  </si>
  <si>
    <t>ЗА 2 КВАРТАЛ ПЕРЕПЛАТА 133,5. СТАВКИ ИЗМЕНИЛИСЬ ЗА 3 КВАРТАЛ И СОСТ 133,5</t>
  </si>
  <si>
    <t>ЗА ИЮЛЬ, АВГ, СЕНТ ЕДИНЫЙ НЕ ПЛАТИМ</t>
  </si>
  <si>
    <t>одноразка</t>
  </si>
  <si>
    <t xml:space="preserve">блек </t>
  </si>
  <si>
    <t xml:space="preserve">ИП Филипович </t>
  </si>
  <si>
    <t>НЕ ВЕРНОЕ ИП</t>
  </si>
  <si>
    <t>настя</t>
  </si>
  <si>
    <t>даша</t>
  </si>
  <si>
    <t>ООО "Наши Волосы"</t>
  </si>
  <si>
    <t>ООО "МиланКосметикс"</t>
  </si>
  <si>
    <t>ООО"Данделион"</t>
  </si>
  <si>
    <t>НЕТ НАКЛД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</si>
</sst>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3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rgb="FF000000"/>
      <name val="Yandex-sans"/>
      <charset val="204"/>
    </font>
    <font>
      <sz val="7.5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i/>
      <sz val="48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theme="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2" fillId="0" borderId="0"/>
  </cellStyleXfs>
  <cellXfs count="1131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165" fontId="0" fillId="0" borderId="0" xfId="0" applyNumberFormat="1" applyFill="1" applyBorder="1" applyAlignment="1"/>
    <xf numFmtId="4" fontId="0" fillId="12" borderId="56" xfId="0" applyNumberFormat="1" applyFill="1" applyBorder="1"/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2" fontId="0" fillId="15" borderId="1" xfId="0" applyNumberFormat="1" applyFill="1" applyBorder="1"/>
    <xf numFmtId="2" fontId="0" fillId="2" borderId="0" xfId="0" applyNumberFormat="1" applyFill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/>
    <xf numFmtId="0" fontId="0" fillId="0" borderId="63" xfId="0" applyFill="1" applyBorder="1" applyAlignment="1">
      <alignment horizontal="left"/>
    </xf>
    <xf numFmtId="0" fontId="3" fillId="0" borderId="1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Protection="1">
      <protection hidden="1"/>
    </xf>
    <xf numFmtId="2" fontId="4" fillId="6" borderId="0" xfId="0" applyNumberFormat="1" applyFont="1" applyFill="1" applyBorder="1" applyProtection="1">
      <protection hidden="1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2" borderId="62" xfId="0" applyFill="1" applyBorder="1" applyAlignment="1">
      <alignment horizontal="right"/>
    </xf>
    <xf numFmtId="0" fontId="0" fillId="0" borderId="1" xfId="0" applyFill="1" applyBorder="1"/>
    <xf numFmtId="0" fontId="8" fillId="0" borderId="1" xfId="0" applyFont="1" applyBorder="1" applyAlignment="1" applyProtection="1">
      <alignment wrapText="1"/>
      <protection hidden="1"/>
    </xf>
    <xf numFmtId="0" fontId="24" fillId="0" borderId="1" xfId="0" applyFont="1" applyBorder="1" applyAlignment="1" applyProtection="1">
      <protection hidden="1"/>
    </xf>
    <xf numFmtId="0" fontId="25" fillId="2" borderId="0" xfId="0" applyFont="1" applyFill="1" applyBorder="1"/>
    <xf numFmtId="0" fontId="25" fillId="0" borderId="1" xfId="0" applyFont="1" applyFill="1" applyBorder="1"/>
    <xf numFmtId="165" fontId="0" fillId="0" borderId="0" xfId="0" applyNumberFormat="1" applyFill="1"/>
    <xf numFmtId="0" fontId="3" fillId="0" borderId="0" xfId="0" applyNumberFormat="1" applyFont="1" applyFill="1"/>
    <xf numFmtId="165" fontId="3" fillId="19" borderId="2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0" fillId="0" borderId="0" xfId="0" applyNumberFormat="1" applyFill="1" applyBorder="1" applyAlignment="1">
      <alignment horizontal="center" vertical="center"/>
    </xf>
    <xf numFmtId="4" fontId="0" fillId="19" borderId="0" xfId="0" applyNumberFormat="1" applyFill="1" applyBorder="1"/>
    <xf numFmtId="0" fontId="0" fillId="19" borderId="0" xfId="0" applyFill="1" applyBorder="1"/>
    <xf numFmtId="165" fontId="3" fillId="2" borderId="0" xfId="0" applyNumberFormat="1" applyFont="1" applyFill="1" applyBorder="1" applyAlignment="1">
      <alignment horizontal="center" vertical="center" wrapText="1"/>
    </xf>
    <xf numFmtId="0" fontId="25" fillId="0" borderId="0" xfId="0" applyFont="1" applyFill="1" applyBorder="1"/>
    <xf numFmtId="2" fontId="3" fillId="0" borderId="1" xfId="0" applyNumberFormat="1" applyFont="1" applyBorder="1"/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/>
    <xf numFmtId="2" fontId="10" fillId="0" borderId="0" xfId="0" applyNumberFormat="1" applyFont="1" applyFill="1"/>
    <xf numFmtId="0" fontId="0" fillId="16" borderId="0" xfId="0" applyFill="1"/>
    <xf numFmtId="0" fontId="26" fillId="0" borderId="1" xfId="0" applyFont="1" applyFill="1" applyBorder="1"/>
    <xf numFmtId="0" fontId="3" fillId="0" borderId="83" xfId="0" applyFont="1" applyFill="1" applyBorder="1" applyAlignment="1">
      <alignment horizontal="center" vertical="center"/>
    </xf>
    <xf numFmtId="165" fontId="3" fillId="0" borderId="94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2" fontId="3" fillId="0" borderId="96" xfId="0" applyNumberFormat="1" applyFont="1" applyFill="1" applyBorder="1" applyAlignment="1">
      <alignment horizontal="center" vertical="center"/>
    </xf>
    <xf numFmtId="4" fontId="3" fillId="0" borderId="96" xfId="0" applyNumberFormat="1" applyFont="1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165" fontId="3" fillId="19" borderId="94" xfId="0" applyNumberFormat="1" applyFont="1" applyFill="1" applyBorder="1" applyAlignment="1">
      <alignment horizontal="center" vertical="center" wrapText="1"/>
    </xf>
    <xf numFmtId="2" fontId="25" fillId="0" borderId="1" xfId="0" applyNumberFormat="1" applyFont="1" applyFill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/>
    <xf numFmtId="0" fontId="0" fillId="2" borderId="63" xfId="0" applyFill="1" applyBorder="1" applyAlignment="1">
      <alignment horizontal="right"/>
    </xf>
    <xf numFmtId="16" fontId="0" fillId="2" borderId="0" xfId="0" applyNumberFormat="1" applyFill="1" applyBorder="1"/>
    <xf numFmtId="16" fontId="0" fillId="0" borderId="0" xfId="0" applyNumberFormat="1" applyFill="1" applyBorder="1" applyAlignment="1">
      <alignment vertical="center"/>
    </xf>
    <xf numFmtId="4" fontId="0" fillId="12" borderId="49" xfId="0" applyNumberFormat="1" applyFill="1" applyBorder="1"/>
    <xf numFmtId="0" fontId="0" fillId="20" borderId="97" xfId="0" applyFill="1" applyBorder="1"/>
    <xf numFmtId="0" fontId="0" fillId="20" borderId="98" xfId="0" applyFill="1" applyBorder="1"/>
    <xf numFmtId="4" fontId="0" fillId="0" borderId="98" xfId="0" applyNumberFormat="1" applyBorder="1"/>
    <xf numFmtId="0" fontId="0" fillId="0" borderId="98" xfId="0" applyBorder="1"/>
    <xf numFmtId="0" fontId="0" fillId="0" borderId="98" xfId="0" applyFill="1" applyBorder="1"/>
    <xf numFmtId="2" fontId="0" fillId="0" borderId="98" xfId="0" applyNumberFormat="1" applyBorder="1"/>
    <xf numFmtId="4" fontId="0" fillId="20" borderId="99" xfId="0" applyNumberFormat="1" applyFill="1" applyBorder="1"/>
    <xf numFmtId="0" fontId="0" fillId="0" borderId="0" xfId="0" applyFont="1"/>
    <xf numFmtId="0" fontId="0" fillId="0" borderId="0" xfId="0" applyFill="1" applyBorder="1" applyAlignment="1"/>
    <xf numFmtId="2" fontId="8" fillId="0" borderId="1" xfId="0" applyNumberFormat="1" applyFont="1" applyBorder="1" applyAlignment="1"/>
    <xf numFmtId="2" fontId="27" fillId="0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4" fontId="0" fillId="0" borderId="98" xfId="0" applyNumberFormat="1" applyFill="1" applyBorder="1"/>
    <xf numFmtId="0" fontId="0" fillId="15" borderId="18" xfId="0" applyFill="1" applyBorder="1"/>
    <xf numFmtId="0" fontId="0" fillId="15" borderId="19" xfId="0" applyFill="1" applyBorder="1"/>
    <xf numFmtId="0" fontId="0" fillId="15" borderId="27" xfId="0" applyFill="1" applyBorder="1"/>
    <xf numFmtId="0" fontId="0" fillId="15" borderId="1" xfId="0" applyFill="1" applyBorder="1" applyAlignment="1">
      <alignment horizontal="left"/>
    </xf>
    <xf numFmtId="0" fontId="0" fillId="15" borderId="1" xfId="0" applyFill="1" applyBorder="1" applyAlignment="1"/>
    <xf numFmtId="0" fontId="0" fillId="15" borderId="26" xfId="0" applyFill="1" applyBorder="1"/>
    <xf numFmtId="0" fontId="0" fillId="15" borderId="1" xfId="0" applyFill="1" applyBorder="1"/>
    <xf numFmtId="0" fontId="0" fillId="15" borderId="0" xfId="0" applyFill="1" applyBorder="1"/>
    <xf numFmtId="0" fontId="0" fillId="15" borderId="21" xfId="0" applyFill="1" applyBorder="1"/>
    <xf numFmtId="14" fontId="0" fillId="15" borderId="27" xfId="0" applyNumberFormat="1" applyFont="1" applyFill="1" applyBorder="1" applyAlignment="1">
      <alignment vertical="center"/>
    </xf>
    <xf numFmtId="0" fontId="0" fillId="15" borderId="1" xfId="0" applyFont="1" applyFill="1" applyBorder="1"/>
    <xf numFmtId="0" fontId="3" fillId="15" borderId="1" xfId="0" applyFont="1" applyFill="1" applyBorder="1" applyAlignment="1">
      <alignment horizontal="center"/>
    </xf>
    <xf numFmtId="4" fontId="3" fillId="15" borderId="1" xfId="0" applyNumberFormat="1" applyFont="1" applyFill="1" applyBorder="1" applyAlignment="1">
      <alignment horizontal="center" vertical="center" wrapText="1"/>
    </xf>
    <xf numFmtId="0" fontId="4" fillId="15" borderId="26" xfId="0" applyFont="1" applyFill="1" applyBorder="1"/>
    <xf numFmtId="0" fontId="0" fillId="15" borderId="1" xfId="0" applyFill="1" applyBorder="1" applyAlignment="1">
      <alignment horizontal="center"/>
    </xf>
    <xf numFmtId="14" fontId="0" fillId="15" borderId="26" xfId="0" applyNumberFormat="1" applyFill="1" applyBorder="1"/>
    <xf numFmtId="0" fontId="0" fillId="15" borderId="1" xfId="0" applyFill="1" applyBorder="1" applyAlignment="1">
      <alignment horizontal="center" wrapText="1"/>
    </xf>
    <xf numFmtId="0" fontId="0" fillId="15" borderId="15" xfId="0" applyFill="1" applyBorder="1"/>
    <xf numFmtId="4" fontId="0" fillId="15" borderId="0" xfId="0" applyNumberFormat="1" applyFill="1" applyBorder="1"/>
    <xf numFmtId="0" fontId="0" fillId="15" borderId="16" xfId="0" applyFill="1" applyBorder="1"/>
    <xf numFmtId="14" fontId="0" fillId="15" borderId="27" xfId="0" applyNumberFormat="1" applyFont="1" applyFill="1" applyBorder="1"/>
    <xf numFmtId="14" fontId="0" fillId="15" borderId="27" xfId="0" applyNumberFormat="1" applyFont="1" applyFill="1" applyBorder="1" applyAlignment="1"/>
    <xf numFmtId="14" fontId="0" fillId="15" borderId="75" xfId="0" applyNumberFormat="1" applyFont="1" applyFill="1" applyBorder="1"/>
    <xf numFmtId="0" fontId="0" fillId="15" borderId="47" xfId="0" applyFont="1" applyFill="1" applyBorder="1"/>
    <xf numFmtId="2" fontId="0" fillId="15" borderId="47" xfId="0" applyNumberFormat="1" applyFont="1" applyFill="1" applyBorder="1"/>
    <xf numFmtId="0" fontId="4" fillId="15" borderId="48" xfId="0" applyFont="1" applyFill="1" applyBorder="1"/>
    <xf numFmtId="14" fontId="0" fillId="15" borderId="74" xfId="0" applyNumberFormat="1" applyFont="1" applyFill="1" applyBorder="1"/>
    <xf numFmtId="0" fontId="0" fillId="15" borderId="51" xfId="0" applyFont="1" applyFill="1" applyBorder="1"/>
    <xf numFmtId="2" fontId="0" fillId="15" borderId="51" xfId="0" applyNumberFormat="1" applyFont="1" applyFill="1" applyBorder="1"/>
    <xf numFmtId="4" fontId="3" fillId="15" borderId="51" xfId="0" applyNumberFormat="1" applyFont="1" applyFill="1" applyBorder="1" applyAlignment="1">
      <alignment horizontal="center" vertical="center" wrapText="1"/>
    </xf>
    <xf numFmtId="0" fontId="0" fillId="15" borderId="61" xfId="0" applyFont="1" applyFill="1" applyBorder="1"/>
    <xf numFmtId="14" fontId="0" fillId="15" borderId="68" xfId="0" applyNumberFormat="1" applyFont="1" applyFill="1" applyBorder="1"/>
    <xf numFmtId="0" fontId="0" fillId="15" borderId="8" xfId="0" applyFont="1" applyFill="1" applyBorder="1"/>
    <xf numFmtId="4" fontId="0" fillId="15" borderId="8" xfId="0" applyNumberFormat="1" applyFill="1" applyBorder="1"/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5" borderId="20" xfId="0" applyFont="1" applyFill="1" applyBorder="1"/>
    <xf numFmtId="0" fontId="0" fillId="15" borderId="0" xfId="0" applyFont="1" applyFill="1" applyBorder="1"/>
    <xf numFmtId="0" fontId="0" fillId="15" borderId="0" xfId="0" applyFont="1" applyFill="1" applyBorder="1" applyAlignment="1">
      <alignment horizontal="right"/>
    </xf>
    <xf numFmtId="2" fontId="0" fillId="15" borderId="0" xfId="0" applyNumberFormat="1" applyFont="1" applyFill="1" applyBorder="1"/>
    <xf numFmtId="0" fontId="3" fillId="15" borderId="54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15" borderId="1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>
      <alignment horizontal="center" vertical="center" wrapText="1"/>
    </xf>
    <xf numFmtId="165" fontId="3" fillId="15" borderId="26" xfId="0" applyNumberFormat="1" applyFont="1" applyFill="1" applyBorder="1" applyAlignment="1">
      <alignment horizontal="center" vertical="center" wrapText="1"/>
    </xf>
    <xf numFmtId="0" fontId="0" fillId="15" borderId="20" xfId="0" applyNumberFormat="1" applyFill="1" applyBorder="1"/>
    <xf numFmtId="4" fontId="0" fillId="15" borderId="0" xfId="0" applyNumberFormat="1" applyFill="1" applyBorder="1" applyAlignment="1"/>
    <xf numFmtId="2" fontId="3" fillId="15" borderId="1" xfId="0" applyNumberFormat="1" applyFont="1" applyFill="1" applyBorder="1" applyAlignment="1">
      <alignment horizontal="center" vertical="center"/>
    </xf>
    <xf numFmtId="4" fontId="0" fillId="15" borderId="0" xfId="0" applyNumberFormat="1" applyFont="1" applyFill="1" applyBorder="1"/>
    <xf numFmtId="0" fontId="3" fillId="15" borderId="64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4" fontId="3" fillId="15" borderId="7" xfId="0" applyNumberFormat="1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3" fillId="15" borderId="0" xfId="0" applyFont="1" applyFill="1" applyBorder="1" applyAlignment="1">
      <alignment wrapText="1"/>
    </xf>
    <xf numFmtId="0" fontId="0" fillId="15" borderId="63" xfId="0" applyFill="1" applyBorder="1" applyAlignment="1">
      <alignment horizontal="right"/>
    </xf>
    <xf numFmtId="0" fontId="0" fillId="15" borderId="2" xfId="0" applyFill="1" applyBorder="1"/>
    <xf numFmtId="16" fontId="0" fillId="15" borderId="0" xfId="0" applyNumberFormat="1" applyFill="1" applyBorder="1"/>
    <xf numFmtId="0" fontId="3" fillId="15" borderId="0" xfId="0" applyFont="1" applyFill="1" applyBorder="1" applyAlignment="1">
      <alignment horizontal="center"/>
    </xf>
    <xf numFmtId="0" fontId="0" fillId="15" borderId="20" xfId="0" applyFill="1" applyBorder="1"/>
    <xf numFmtId="0" fontId="0" fillId="15" borderId="11" xfId="0" applyFill="1" applyBorder="1"/>
    <xf numFmtId="0" fontId="0" fillId="15" borderId="3" xfId="0" applyFill="1" applyBorder="1"/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77" xfId="0" applyFill="1" applyBorder="1"/>
    <xf numFmtId="0" fontId="0" fillId="15" borderId="49" xfId="0" applyFont="1" applyFill="1" applyBorder="1"/>
    <xf numFmtId="0" fontId="0" fillId="15" borderId="49" xfId="0" applyFill="1" applyBorder="1"/>
    <xf numFmtId="4" fontId="0" fillId="15" borderId="49" xfId="0" applyNumberFormat="1" applyFill="1" applyBorder="1" applyAlignment="1"/>
    <xf numFmtId="0" fontId="0" fillId="15" borderId="57" xfId="0" applyFill="1" applyBorder="1"/>
    <xf numFmtId="4" fontId="0" fillId="15" borderId="56" xfId="0" applyNumberFormat="1" applyFill="1" applyBorder="1"/>
    <xf numFmtId="4" fontId="12" fillId="15" borderId="0" xfId="0" applyNumberFormat="1" applyFont="1" applyFill="1" applyBorder="1" applyAlignment="1">
      <alignment horizontal="right"/>
    </xf>
    <xf numFmtId="0" fontId="3" fillId="15" borderId="1" xfId="0" applyFont="1" applyFill="1" applyBorder="1" applyAlignment="1"/>
    <xf numFmtId="0" fontId="3" fillId="15" borderId="16" xfId="0" applyFont="1" applyFill="1" applyBorder="1" applyAlignment="1"/>
    <xf numFmtId="14" fontId="0" fillId="15" borderId="16" xfId="0" applyNumberFormat="1" applyFill="1" applyBorder="1"/>
    <xf numFmtId="0" fontId="0" fillId="15" borderId="0" xfId="0" applyFill="1" applyBorder="1" applyAlignment="1">
      <alignment horizontal="center" wrapText="1"/>
    </xf>
    <xf numFmtId="4" fontId="3" fillId="15" borderId="0" xfId="0" applyNumberFormat="1" applyFont="1" applyFill="1" applyBorder="1" applyAlignment="1">
      <alignment horizontal="center" vertical="center" wrapText="1"/>
    </xf>
    <xf numFmtId="14" fontId="0" fillId="15" borderId="0" xfId="0" applyNumberFormat="1" applyFill="1" applyBorder="1"/>
    <xf numFmtId="0" fontId="0" fillId="15" borderId="0" xfId="0" applyFill="1" applyBorder="1" applyAlignment="1">
      <alignment horizontal="center"/>
    </xf>
    <xf numFmtId="0" fontId="0" fillId="15" borderId="7" xfId="0" applyFill="1" applyBorder="1"/>
    <xf numFmtId="165" fontId="3" fillId="15" borderId="65" xfId="0" applyNumberFormat="1" applyFont="1" applyFill="1" applyBorder="1" applyAlignment="1">
      <alignment horizontal="center" vertical="center" wrapText="1"/>
    </xf>
    <xf numFmtId="0" fontId="0" fillId="15" borderId="54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5" borderId="22" xfId="0" applyFill="1" applyBorder="1"/>
    <xf numFmtId="0" fontId="0" fillId="15" borderId="23" xfId="0" applyFont="1" applyFill="1" applyBorder="1"/>
    <xf numFmtId="0" fontId="0" fillId="15" borderId="23" xfId="0" applyFill="1" applyBorder="1"/>
    <xf numFmtId="4" fontId="0" fillId="15" borderId="23" xfId="0" applyNumberFormat="1" applyFill="1" applyBorder="1" applyAlignment="1"/>
    <xf numFmtId="0" fontId="0" fillId="15" borderId="101" xfId="0" applyFill="1" applyBorder="1"/>
    <xf numFmtId="0" fontId="0" fillId="15" borderId="102" xfId="0" applyFill="1" applyBorder="1"/>
    <xf numFmtId="0" fontId="0" fillId="15" borderId="24" xfId="0" applyFill="1" applyBorder="1"/>
    <xf numFmtId="0" fontId="4" fillId="0" borderId="86" xfId="0" applyFont="1" applyBorder="1"/>
    <xf numFmtId="0" fontId="4" fillId="0" borderId="87" xfId="0" applyFont="1" applyBorder="1"/>
    <xf numFmtId="0" fontId="3" fillId="0" borderId="18" xfId="0" applyFont="1" applyBorder="1"/>
    <xf numFmtId="0" fontId="3" fillId="0" borderId="19" xfId="0" applyFont="1" applyBorder="1"/>
    <xf numFmtId="2" fontId="3" fillId="0" borderId="0" xfId="0" applyNumberFormat="1" applyFont="1" applyBorder="1"/>
    <xf numFmtId="0" fontId="3" fillId="0" borderId="0" xfId="0" applyFont="1" applyBorder="1"/>
    <xf numFmtId="0" fontId="3" fillId="0" borderId="21" xfId="0" applyFont="1" applyBorder="1"/>
    <xf numFmtId="0" fontId="3" fillId="0" borderId="21" xfId="0" applyFont="1" applyFill="1" applyBorder="1"/>
    <xf numFmtId="0" fontId="4" fillId="0" borderId="27" xfId="0" applyFont="1" applyFill="1" applyBorder="1" applyAlignment="1">
      <alignment horizontal="center"/>
    </xf>
    <xf numFmtId="2" fontId="3" fillId="0" borderId="21" xfId="0" applyNumberFormat="1" applyFont="1" applyFill="1" applyBorder="1"/>
    <xf numFmtId="2" fontId="3" fillId="0" borderId="21" xfId="0" applyNumberFormat="1" applyFont="1" applyFill="1" applyBorder="1" applyAlignment="1"/>
    <xf numFmtId="2" fontId="0" fillId="0" borderId="21" xfId="0" applyNumberFormat="1" applyFill="1" applyBorder="1" applyAlignment="1"/>
    <xf numFmtId="2" fontId="4" fillId="0" borderId="9" xfId="0" applyNumberFormat="1" applyFont="1" applyFill="1" applyBorder="1"/>
    <xf numFmtId="2" fontId="0" fillId="2" borderId="0" xfId="0" applyNumberFormat="1" applyFill="1" applyBorder="1"/>
    <xf numFmtId="0" fontId="27" fillId="0" borderId="1" xfId="0" applyFont="1" applyFill="1" applyBorder="1"/>
    <xf numFmtId="0" fontId="25" fillId="0" borderId="11" xfId="0" applyFont="1" applyFill="1" applyBorder="1"/>
    <xf numFmtId="2" fontId="25" fillId="0" borderId="11" xfId="0" applyNumberFormat="1" applyFont="1" applyFill="1" applyBorder="1"/>
    <xf numFmtId="0" fontId="7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0" fontId="0" fillId="0" borderId="1" xfId="0" applyFill="1" applyBorder="1"/>
    <xf numFmtId="0" fontId="29" fillId="0" borderId="0" xfId="0" applyFont="1"/>
    <xf numFmtId="0" fontId="0" fillId="0" borderId="1" xfId="0" applyBorder="1"/>
    <xf numFmtId="0" fontId="0" fillId="0" borderId="1" xfId="0" applyFill="1" applyBorder="1"/>
    <xf numFmtId="0" fontId="7" fillId="10" borderId="1" xfId="0" applyFont="1" applyFill="1" applyBorder="1"/>
    <xf numFmtId="0" fontId="27" fillId="0" borderId="11" xfId="0" applyFont="1" applyFill="1" applyBorder="1"/>
    <xf numFmtId="0" fontId="25" fillId="0" borderId="1" xfId="0" applyFont="1" applyBorder="1"/>
    <xf numFmtId="0" fontId="25" fillId="12" borderId="1" xfId="0" applyFont="1" applyFill="1" applyBorder="1"/>
    <xf numFmtId="2" fontId="0" fillId="0" borderId="0" xfId="0" applyNumberFormat="1" applyFill="1" applyBorder="1" applyAlignment="1">
      <alignment horizontal="center"/>
    </xf>
    <xf numFmtId="0" fontId="4" fillId="0" borderId="35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2" fontId="3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/>
    <xf numFmtId="0" fontId="30" fillId="0" borderId="0" xfId="0" applyFont="1" applyFill="1"/>
    <xf numFmtId="0" fontId="0" fillId="0" borderId="0" xfId="0" applyFill="1" applyBorder="1" applyAlignment="1"/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5" borderId="23" xfId="0" applyFill="1" applyBorder="1" applyAlignment="1">
      <alignment horizontal="center"/>
    </xf>
    <xf numFmtId="0" fontId="28" fillId="15" borderId="0" xfId="0" applyFont="1" applyFill="1" applyBorder="1" applyAlignment="1">
      <alignment horizontal="center"/>
    </xf>
    <xf numFmtId="0" fontId="0" fillId="15" borderId="58" xfId="0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11" fillId="15" borderId="66" xfId="0" applyFont="1" applyFill="1" applyBorder="1" applyAlignment="1">
      <alignment horizontal="center" vertical="center"/>
    </xf>
    <xf numFmtId="0" fontId="11" fillId="15" borderId="53" xfId="0" applyFont="1" applyFill="1" applyBorder="1" applyAlignment="1">
      <alignment horizontal="center" vertical="center"/>
    </xf>
    <xf numFmtId="0" fontId="11" fillId="15" borderId="67" xfId="0" applyFont="1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/>
    </xf>
    <xf numFmtId="0" fontId="11" fillId="15" borderId="13" xfId="0" applyFont="1" applyFill="1" applyBorder="1" applyAlignment="1">
      <alignment horizontal="center" vertical="center"/>
    </xf>
    <xf numFmtId="0" fontId="11" fillId="15" borderId="32" xfId="0" applyFont="1" applyFill="1" applyBorder="1" applyAlignment="1">
      <alignment horizontal="center" vertical="center"/>
    </xf>
    <xf numFmtId="0" fontId="0" fillId="15" borderId="53" xfId="0" applyFill="1" applyBorder="1" applyAlignment="1">
      <alignment horizontal="center" vertical="center"/>
    </xf>
    <xf numFmtId="0" fontId="0" fillId="15" borderId="59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1" xfId="0" applyFill="1" applyBorder="1"/>
    <xf numFmtId="0" fontId="0" fillId="15" borderId="49" xfId="0" applyFill="1" applyBorder="1" applyAlignment="1">
      <alignment horizontal="center"/>
    </xf>
    <xf numFmtId="0" fontId="0" fillId="15" borderId="0" xfId="0" applyFill="1" applyBorder="1" applyAlignment="1"/>
    <xf numFmtId="0" fontId="16" fillId="15" borderId="0" xfId="0" applyFont="1" applyFill="1" applyBorder="1" applyAlignment="1">
      <alignment horizontal="center"/>
    </xf>
    <xf numFmtId="0" fontId="16" fillId="15" borderId="49" xfId="0" applyFont="1" applyFill="1" applyBorder="1" applyAlignment="1">
      <alignment horizontal="center"/>
    </xf>
    <xf numFmtId="0" fontId="0" fillId="15" borderId="74" xfId="0" applyFill="1" applyBorder="1" applyAlignment="1">
      <alignment horizontal="center"/>
    </xf>
    <xf numFmtId="0" fontId="0" fillId="15" borderId="51" xfId="0" applyFill="1" applyBorder="1" applyAlignment="1">
      <alignment horizontal="center"/>
    </xf>
    <xf numFmtId="0" fontId="0" fillId="15" borderId="52" xfId="0" applyFill="1" applyBorder="1" applyAlignment="1">
      <alignment horizontal="center"/>
    </xf>
    <xf numFmtId="0" fontId="0" fillId="15" borderId="58" xfId="0" applyFill="1" applyBorder="1" applyAlignment="1">
      <alignment horizontal="center"/>
    </xf>
    <xf numFmtId="0" fontId="0" fillId="15" borderId="53" xfId="0" applyFill="1" applyBorder="1" applyAlignment="1">
      <alignment horizontal="center"/>
    </xf>
    <xf numFmtId="0" fontId="0" fillId="15" borderId="59" xfId="0" applyFill="1" applyBorder="1" applyAlignment="1">
      <alignment horizontal="center"/>
    </xf>
    <xf numFmtId="0" fontId="1" fillId="21" borderId="50" xfId="0" applyFont="1" applyFill="1" applyBorder="1" applyAlignment="1">
      <alignment horizontal="center" vertical="center" wrapText="1"/>
    </xf>
    <xf numFmtId="0" fontId="1" fillId="21" borderId="54" xfId="0" applyFont="1" applyFill="1" applyBorder="1" applyAlignment="1">
      <alignment horizontal="center" vertical="center" wrapText="1"/>
    </xf>
    <xf numFmtId="164" fontId="2" fillId="21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51" xfId="0" applyNumberFormat="1" applyFont="1" applyFill="1" applyBorder="1" applyAlignment="1">
      <alignment horizontal="center" vertical="center" wrapText="1"/>
    </xf>
    <xf numFmtId="164" fontId="2" fillId="21" borderId="1" xfId="0" applyNumberFormat="1" applyFont="1" applyFill="1" applyBorder="1" applyAlignment="1">
      <alignment horizontal="center" vertical="center" wrapText="1"/>
    </xf>
    <xf numFmtId="164" fontId="2" fillId="21" borderId="52" xfId="0" applyNumberFormat="1" applyFont="1" applyFill="1" applyBorder="1" applyAlignment="1">
      <alignment horizontal="center" vertical="center" wrapText="1"/>
    </xf>
    <xf numFmtId="164" fontId="2" fillId="21" borderId="26" xfId="0" applyNumberFormat="1" applyFont="1" applyFill="1" applyBorder="1" applyAlignment="1">
      <alignment horizontal="center" vertical="center" wrapText="1"/>
    </xf>
    <xf numFmtId="0" fontId="0" fillId="15" borderId="86" xfId="0" applyFill="1" applyBorder="1" applyAlignment="1">
      <alignment horizontal="center"/>
    </xf>
    <xf numFmtId="0" fontId="0" fillId="15" borderId="87" xfId="0" applyFill="1" applyBorder="1" applyAlignment="1">
      <alignment horizontal="center"/>
    </xf>
    <xf numFmtId="0" fontId="0" fillId="15" borderId="88" xfId="0" applyFill="1" applyBorder="1" applyAlignment="1">
      <alignment horizontal="center"/>
    </xf>
    <xf numFmtId="0" fontId="0" fillId="15" borderId="89" xfId="0" applyFill="1" applyBorder="1" applyAlignment="1">
      <alignment horizontal="center"/>
    </xf>
    <xf numFmtId="0" fontId="0" fillId="15" borderId="33" xfId="0" applyFill="1" applyBorder="1" applyAlignment="1">
      <alignment horizontal="center"/>
    </xf>
    <xf numFmtId="0" fontId="0" fillId="15" borderId="71" xfId="0" applyFill="1" applyBorder="1" applyAlignment="1">
      <alignment horizontal="center"/>
    </xf>
    <xf numFmtId="0" fontId="0" fillId="15" borderId="78" xfId="0" applyFill="1" applyBorder="1" applyAlignment="1">
      <alignment horizontal="center"/>
    </xf>
    <xf numFmtId="0" fontId="0" fillId="15" borderId="79" xfId="0" applyFill="1" applyBorder="1" applyAlignment="1">
      <alignment horizontal="center"/>
    </xf>
    <xf numFmtId="0" fontId="0" fillId="15" borderId="83" xfId="0" applyFill="1" applyBorder="1"/>
    <xf numFmtId="0" fontId="0" fillId="15" borderId="9" xfId="0" applyFill="1" applyBorder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50" xfId="0" applyBorder="1" applyAlignment="1">
      <alignment horizontal="center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0" fillId="0" borderId="0" xfId="0" applyNumberFormat="1" applyFill="1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4" xfId="0" applyBorder="1"/>
    <xf numFmtId="0" fontId="0" fillId="0" borderId="92" xfId="0" applyBorder="1"/>
    <xf numFmtId="0" fontId="0" fillId="0" borderId="95" xfId="0" applyBorder="1"/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11" xfId="0" applyFill="1" applyBorder="1"/>
    <xf numFmtId="0" fontId="0" fillId="0" borderId="94" xfId="0" applyFill="1" applyBorder="1"/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13" borderId="57" xfId="0" applyFill="1" applyBorder="1" applyAlignment="1">
      <alignment horizontal="center"/>
    </xf>
    <xf numFmtId="0" fontId="4" fillId="6" borderId="35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54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F-4D51-9E3D-C25CB2364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159-90AA-500BB45AF4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ОБЩЕЕ!$D$52:$D$63</c:f>
              <c:strCache>
                <c:ptCount val="12"/>
                <c:pt idx="0">
                  <c:v>32809,90</c:v>
                </c:pt>
                <c:pt idx="1">
                  <c:v>35259,58</c:v>
                </c:pt>
                <c:pt idx="2">
                  <c:v>34690,22</c:v>
                </c:pt>
                <c:pt idx="3">
                  <c:v>30955,48</c:v>
                </c:pt>
                <c:pt idx="4">
                  <c:v>31239,44</c:v>
                </c:pt>
                <c:pt idx="5">
                  <c:v>28986,99</c:v>
                </c:pt>
                <c:pt idx="6">
                  <c:v>31654,69</c:v>
                </c:pt>
                <c:pt idx="7">
                  <c:v>28891,40</c:v>
                </c:pt>
                <c:pt idx="8">
                  <c:v>28339,37</c:v>
                </c:pt>
                <c:pt idx="9">
                  <c:v>28933,90</c:v>
                </c:pt>
                <c:pt idx="10">
                  <c:v>23375,09</c:v>
                </c:pt>
                <c:pt idx="11">
                  <c:v>22761,37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ОБЩЕЕ!$C$52:$C$63</c:f>
              <c:strCache>
                <c:ptCount val="12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ОБЩЕЕ!$D$52:$D$63</c:f>
              <c:numCache>
                <c:formatCode>0.00</c:formatCode>
                <c:ptCount val="12"/>
                <c:pt idx="0">
                  <c:v>32809.9</c:v>
                </c:pt>
                <c:pt idx="1">
                  <c:v>35259.58</c:v>
                </c:pt>
                <c:pt idx="2" formatCode="General">
                  <c:v>34690.219999999994</c:v>
                </c:pt>
                <c:pt idx="3" formatCode="General">
                  <c:v>30955.48</c:v>
                </c:pt>
                <c:pt idx="4" formatCode="General">
                  <c:v>31239.439999999995</c:v>
                </c:pt>
                <c:pt idx="5">
                  <c:v>28986.99</c:v>
                </c:pt>
                <c:pt idx="6" formatCode="General">
                  <c:v>31654.69</c:v>
                </c:pt>
                <c:pt idx="7">
                  <c:v>28891.4</c:v>
                </c:pt>
                <c:pt idx="8" formatCode="General">
                  <c:v>28339.37</c:v>
                </c:pt>
                <c:pt idx="9">
                  <c:v>28933.9</c:v>
                </c:pt>
                <c:pt idx="10">
                  <c:v>23375.089999999997</c:v>
                </c:pt>
                <c:pt idx="11">
                  <c:v>22761.37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cat>
          <c:val>
            <c:numRef>
              <c:f>ОБЩЕЕ!$L$52:$L$58</c:f>
              <c:numCache>
                <c:formatCode>#,##0.00</c:formatCode>
                <c:ptCount val="7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  <c:pt idx="6" formatCode="0.00">
                  <c:v>13612.520000000002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2-492B-A7D1-C5798CFE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72-492B-A7D1-C5798CFEBA43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ОБЩЕЕ!$D$53:$D$64</c:f>
              <c:strCache>
                <c:ptCount val="12"/>
                <c:pt idx="0">
                  <c:v>35259,58</c:v>
                </c:pt>
                <c:pt idx="1">
                  <c:v>34690,22</c:v>
                </c:pt>
                <c:pt idx="2">
                  <c:v>30955,48</c:v>
                </c:pt>
                <c:pt idx="3">
                  <c:v>31239,44</c:v>
                </c:pt>
                <c:pt idx="4">
                  <c:v>28986,99</c:v>
                </c:pt>
                <c:pt idx="5">
                  <c:v>31654,69</c:v>
                </c:pt>
                <c:pt idx="6">
                  <c:v>28891,40</c:v>
                </c:pt>
                <c:pt idx="7">
                  <c:v>28339,37</c:v>
                </c:pt>
                <c:pt idx="8">
                  <c:v>28933,90</c:v>
                </c:pt>
                <c:pt idx="9">
                  <c:v>23375,09</c:v>
                </c:pt>
                <c:pt idx="10">
                  <c:v>22761,37</c:v>
                </c:pt>
                <c:pt idx="11">
                  <c:v>23251,61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ОБЩЕЕ!$C$53:$C$64</c:f>
              <c:strCache>
                <c:ptCount val="12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январь</c:v>
                </c:pt>
                <c:pt idx="7">
                  <c:v>февраль</c:v>
                </c:pt>
                <c:pt idx="8">
                  <c:v>март</c:v>
                </c:pt>
                <c:pt idx="9">
                  <c:v>апрель</c:v>
                </c:pt>
                <c:pt idx="10">
                  <c:v>май</c:v>
                </c:pt>
                <c:pt idx="11">
                  <c:v>июнь</c:v>
                </c:pt>
              </c:strCache>
            </c:strRef>
          </c:cat>
          <c:val>
            <c:numRef>
              <c:f>ОБЩЕЕ!$D$53:$D$64</c:f>
              <c:numCache>
                <c:formatCode>General</c:formatCode>
                <c:ptCount val="12"/>
                <c:pt idx="0" formatCode="0.00">
                  <c:v>35259.58</c:v>
                </c:pt>
                <c:pt idx="1">
                  <c:v>34690.219999999994</c:v>
                </c:pt>
                <c:pt idx="2">
                  <c:v>30955.48</c:v>
                </c:pt>
                <c:pt idx="3">
                  <c:v>31239.439999999995</c:v>
                </c:pt>
                <c:pt idx="4" formatCode="0.00">
                  <c:v>28986.99</c:v>
                </c:pt>
                <c:pt idx="5">
                  <c:v>31654.69</c:v>
                </c:pt>
                <c:pt idx="6" formatCode="0.00">
                  <c:v>28891.4</c:v>
                </c:pt>
                <c:pt idx="7">
                  <c:v>28339.37</c:v>
                </c:pt>
                <c:pt idx="8" formatCode="0.00">
                  <c:v>28933.9</c:v>
                </c:pt>
                <c:pt idx="9" formatCode="0.00">
                  <c:v>23375.089999999997</c:v>
                </c:pt>
                <c:pt idx="10" formatCode="0.00">
                  <c:v>22761.37</c:v>
                </c:pt>
                <c:pt idx="11" formatCode="0.00">
                  <c:v>23251.61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293-88B7-2E4898ADB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cat>
          <c:val>
            <c:numRef>
              <c:f>ОБЩЕЕ!$L$53:$L$59</c:f>
              <c:numCache>
                <c:formatCode>#,##0.00</c:formatCode>
                <c:ptCount val="7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192-97D2-8512BCC49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2-4EBD-8A08-F4428006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92-4EBD-8A08-F4428006835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ОБЩЕЕ!$D$55:$D$65</c:f>
              <c:strCache>
                <c:ptCount val="11"/>
                <c:pt idx="0">
                  <c:v>30955,48</c:v>
                </c:pt>
                <c:pt idx="1">
                  <c:v>31239,44</c:v>
                </c:pt>
                <c:pt idx="2">
                  <c:v>28986,99</c:v>
                </c:pt>
                <c:pt idx="3">
                  <c:v>31654,69</c:v>
                </c:pt>
                <c:pt idx="4">
                  <c:v>28891,40</c:v>
                </c:pt>
                <c:pt idx="5">
                  <c:v>28339,37</c:v>
                </c:pt>
                <c:pt idx="6">
                  <c:v>28933,90</c:v>
                </c:pt>
                <c:pt idx="7">
                  <c:v>23375,09</c:v>
                </c:pt>
                <c:pt idx="8">
                  <c:v>22761,37</c:v>
                </c:pt>
                <c:pt idx="9">
                  <c:v>23251,61</c:v>
                </c:pt>
                <c:pt idx="10">
                  <c:v>30633,54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ОБЩЕЕ!$C$55:$C$65</c:f>
              <c:strCache>
                <c:ptCount val="11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  <c:pt idx="9">
                  <c:v>июнь</c:v>
                </c:pt>
                <c:pt idx="10">
                  <c:v>июль</c:v>
                </c:pt>
              </c:strCache>
            </c:strRef>
          </c:cat>
          <c:val>
            <c:numRef>
              <c:f>ОБЩЕЕ!$D$55:$D$65</c:f>
              <c:numCache>
                <c:formatCode>General</c:formatCode>
                <c:ptCount val="11"/>
                <c:pt idx="0">
                  <c:v>30955.48</c:v>
                </c:pt>
                <c:pt idx="1">
                  <c:v>31239.439999999995</c:v>
                </c:pt>
                <c:pt idx="2" formatCode="0.00">
                  <c:v>28986.99</c:v>
                </c:pt>
                <c:pt idx="3">
                  <c:v>31654.69</c:v>
                </c:pt>
                <c:pt idx="4" formatCode="0.00">
                  <c:v>28891.4</c:v>
                </c:pt>
                <c:pt idx="5">
                  <c:v>28339.37</c:v>
                </c:pt>
                <c:pt idx="6" formatCode="0.00">
                  <c:v>28933.9</c:v>
                </c:pt>
                <c:pt idx="7" formatCode="0.00">
                  <c:v>23375.089999999997</c:v>
                </c:pt>
                <c:pt idx="8" formatCode="0.00">
                  <c:v>22761.37</c:v>
                </c:pt>
                <c:pt idx="9" formatCode="0.00">
                  <c:v>23251.61</c:v>
                </c:pt>
                <c:pt idx="10" formatCode="0.00">
                  <c:v>30633.54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F-4067-84BD-2BA25DDB21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cat>
          <c:val>
            <c:numRef>
              <c:f>ОБЩЕЕ!$L$53:$L$60</c:f>
              <c:numCache>
                <c:formatCode>#,##0.00</c:formatCode>
                <c:ptCount val="8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C-4AE0-8062-5C3F7197C1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E-4E09-A3D1-9B1F28AB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8EE-4E09-A3D1-9B1F28AB1276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ОБЩЕЕ!$D$55:$D$65</c:f>
              <c:strCache>
                <c:ptCount val="11"/>
                <c:pt idx="0">
                  <c:v>30955,48</c:v>
                </c:pt>
                <c:pt idx="1">
                  <c:v>31239,44</c:v>
                </c:pt>
                <c:pt idx="2">
                  <c:v>28986,99</c:v>
                </c:pt>
                <c:pt idx="3">
                  <c:v>31654,69</c:v>
                </c:pt>
                <c:pt idx="4">
                  <c:v>28891,40</c:v>
                </c:pt>
                <c:pt idx="5">
                  <c:v>28339,37</c:v>
                </c:pt>
                <c:pt idx="6">
                  <c:v>28933,90</c:v>
                </c:pt>
                <c:pt idx="7">
                  <c:v>23375,09</c:v>
                </c:pt>
                <c:pt idx="8">
                  <c:v>22761,37</c:v>
                </c:pt>
                <c:pt idx="9">
                  <c:v>23251,61</c:v>
                </c:pt>
                <c:pt idx="10">
                  <c:v>30633,54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ОБЩЕЕ!$C$55:$C$65</c:f>
              <c:strCache>
                <c:ptCount val="11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  <c:pt idx="9">
                  <c:v>июнь</c:v>
                </c:pt>
                <c:pt idx="10">
                  <c:v>июль</c:v>
                </c:pt>
              </c:strCache>
            </c:strRef>
          </c:cat>
          <c:val>
            <c:numRef>
              <c:f>ОБЩЕЕ!$D$55:$D$65</c:f>
              <c:numCache>
                <c:formatCode>General</c:formatCode>
                <c:ptCount val="11"/>
                <c:pt idx="0">
                  <c:v>30955.48</c:v>
                </c:pt>
                <c:pt idx="1">
                  <c:v>31239.439999999995</c:v>
                </c:pt>
                <c:pt idx="2" formatCode="0.00">
                  <c:v>28986.99</c:v>
                </c:pt>
                <c:pt idx="3">
                  <c:v>31654.69</c:v>
                </c:pt>
                <c:pt idx="4" formatCode="0.00">
                  <c:v>28891.4</c:v>
                </c:pt>
                <c:pt idx="5">
                  <c:v>28339.37</c:v>
                </c:pt>
                <c:pt idx="6" formatCode="0.00">
                  <c:v>28933.9</c:v>
                </c:pt>
                <c:pt idx="7" formatCode="0.00">
                  <c:v>23375.089999999997</c:v>
                </c:pt>
                <c:pt idx="8" formatCode="0.00">
                  <c:v>22761.37</c:v>
                </c:pt>
                <c:pt idx="9" formatCode="0.00">
                  <c:v>23251.61</c:v>
                </c:pt>
                <c:pt idx="10" formatCode="0.00">
                  <c:v>30633.54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1-4480-BA92-7D2EB36E56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cat>
          <c:val>
            <c:numRef>
              <c:f>ОБЩЕЕ!$L$53:$L$60</c:f>
              <c:numCache>
                <c:formatCode>#,##0.00</c:formatCode>
                <c:ptCount val="8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B-4A0C-83F0-12D5CB61DF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4244-8F3E-5D8C1A36C7D4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4-4244-8F3E-5D8C1A36C7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4B6C-AE46-2D86AFB56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8068</xdr:colOff>
      <xdr:row>289</xdr:row>
      <xdr:rowOff>3362</xdr:rowOff>
    </xdr:from>
    <xdr:to>
      <xdr:col>12</xdr:col>
      <xdr:colOff>891989</xdr:colOff>
      <xdr:row>302</xdr:row>
      <xdr:rowOff>179293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763865</xdr:colOff>
      <xdr:row>285</xdr:row>
      <xdr:rowOff>62677</xdr:rowOff>
    </xdr:from>
    <xdr:ext cx="807759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47886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284</xdr:row>
      <xdr:rowOff>151758</xdr:rowOff>
    </xdr:from>
    <xdr:ext cx="917860" cy="436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303</xdr:row>
      <xdr:rowOff>38100</xdr:rowOff>
    </xdr:from>
    <xdr:to>
      <xdr:col>6</xdr:col>
      <xdr:colOff>803237</xdr:colOff>
      <xdr:row>326</xdr:row>
      <xdr:rowOff>163285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22860</xdr:colOff>
      <xdr:row>349</xdr:row>
      <xdr:rowOff>22860</xdr:rowOff>
    </xdr:from>
    <xdr:to>
      <xdr:col>6</xdr:col>
      <xdr:colOff>806824</xdr:colOff>
      <xdr:row>370</xdr:row>
      <xdr:rowOff>178929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448</xdr:colOff>
      <xdr:row>332</xdr:row>
      <xdr:rowOff>186465</xdr:rowOff>
    </xdr:from>
    <xdr:to>
      <xdr:col>12</xdr:col>
      <xdr:colOff>897703</xdr:colOff>
      <xdr:row>348</xdr:row>
      <xdr:rowOff>171225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98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105</xdr:row>
      <xdr:rowOff>29339</xdr:rowOff>
    </xdr:from>
    <xdr:to>
      <xdr:col>12</xdr:col>
      <xdr:colOff>870856</xdr:colOff>
      <xdr:row>122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53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76</xdr:row>
      <xdr:rowOff>22860</xdr:rowOff>
    </xdr:from>
    <xdr:to>
      <xdr:col>6</xdr:col>
      <xdr:colOff>959224</xdr:colOff>
      <xdr:row>101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104</xdr:row>
      <xdr:rowOff>29339</xdr:rowOff>
    </xdr:from>
    <xdr:to>
      <xdr:col>12</xdr:col>
      <xdr:colOff>870856</xdr:colOff>
      <xdr:row>121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51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74</xdr:row>
      <xdr:rowOff>22860</xdr:rowOff>
    </xdr:from>
    <xdr:to>
      <xdr:col>6</xdr:col>
      <xdr:colOff>1154205</xdr:colOff>
      <xdr:row>100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104</xdr:row>
      <xdr:rowOff>29339</xdr:rowOff>
    </xdr:from>
    <xdr:to>
      <xdr:col>12</xdr:col>
      <xdr:colOff>870856</xdr:colOff>
      <xdr:row>121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51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74</xdr:row>
      <xdr:rowOff>22860</xdr:rowOff>
    </xdr:from>
    <xdr:to>
      <xdr:col>6</xdr:col>
      <xdr:colOff>1154205</xdr:colOff>
      <xdr:row>100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7"/>
  <sheetViews>
    <sheetView zoomScale="85" zoomScaleNormal="85" zoomScaleSheetLayoutView="70" workbookViewId="0">
      <selection activeCell="A2" sqref="A2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74" ht="27" thickBot="1">
      <c r="A1" s="107"/>
      <c r="B1" s="108"/>
      <c r="C1" s="108"/>
      <c r="D1" s="946" t="s">
        <v>9</v>
      </c>
      <c r="E1" s="946"/>
      <c r="F1" s="108"/>
      <c r="G1" s="108"/>
      <c r="H1" s="107"/>
      <c r="I1" s="108"/>
      <c r="J1" s="108"/>
      <c r="K1" s="946" t="s">
        <v>18</v>
      </c>
      <c r="L1" s="946"/>
      <c r="M1" s="108"/>
      <c r="N1" s="108"/>
      <c r="O1" s="109"/>
      <c r="P1" s="107"/>
      <c r="Q1" s="108"/>
      <c r="R1" s="108"/>
      <c r="S1" s="108"/>
      <c r="T1" s="946" t="s">
        <v>19</v>
      </c>
      <c r="U1" s="946"/>
      <c r="V1" s="946"/>
      <c r="W1" s="108"/>
      <c r="X1" s="108"/>
      <c r="Y1" s="108"/>
      <c r="Z1" s="108"/>
      <c r="AA1" s="109"/>
      <c r="AB1" s="107"/>
      <c r="AC1" s="108"/>
      <c r="AD1" s="108"/>
      <c r="AE1" s="108"/>
      <c r="AF1" s="108"/>
      <c r="AG1" s="946" t="s">
        <v>20</v>
      </c>
      <c r="AH1" s="946"/>
      <c r="AI1" s="947"/>
      <c r="AJ1" s="107"/>
      <c r="AK1" s="108"/>
      <c r="AL1" s="946" t="s">
        <v>194</v>
      </c>
      <c r="AM1" s="946"/>
      <c r="AN1" s="947"/>
      <c r="AO1" s="108" t="s">
        <v>21</v>
      </c>
      <c r="AP1" s="109"/>
      <c r="AQ1" s="107"/>
      <c r="AR1" s="946" t="s">
        <v>162</v>
      </c>
      <c r="AS1" s="946"/>
      <c r="AT1" s="947"/>
      <c r="AU1" s="108"/>
      <c r="AV1" s="109"/>
      <c r="AW1" s="107"/>
      <c r="AX1" s="108"/>
      <c r="AY1" s="946" t="s">
        <v>264</v>
      </c>
      <c r="AZ1" s="946"/>
      <c r="BA1" s="947"/>
      <c r="BB1" s="108"/>
      <c r="BC1" s="108"/>
      <c r="BD1" s="109"/>
      <c r="BE1" s="107"/>
      <c r="BF1" s="108"/>
      <c r="BG1" s="946" t="s">
        <v>310</v>
      </c>
      <c r="BH1" s="946"/>
      <c r="BI1" s="947"/>
      <c r="BJ1" s="108"/>
      <c r="BK1" s="108"/>
      <c r="BL1" s="109"/>
      <c r="BM1" s="35"/>
      <c r="BN1" s="35"/>
      <c r="BO1" s="946" t="s">
        <v>376</v>
      </c>
      <c r="BP1" s="946"/>
      <c r="BQ1" s="947"/>
      <c r="BR1" s="35"/>
      <c r="BS1" s="35"/>
      <c r="BT1" s="35"/>
      <c r="BU1" s="35"/>
      <c r="BV1" s="901"/>
    </row>
    <row r="2" spans="1:74">
      <c r="A2" s="110"/>
      <c r="B2" s="1"/>
      <c r="C2" s="1"/>
      <c r="D2" s="1"/>
      <c r="E2" s="1"/>
      <c r="F2" s="1"/>
      <c r="G2" s="1"/>
      <c r="H2" s="110"/>
      <c r="I2" s="1"/>
      <c r="J2" s="1"/>
      <c r="K2" s="1"/>
      <c r="L2" s="1"/>
      <c r="M2" s="1"/>
      <c r="N2" s="1"/>
      <c r="O2" s="111"/>
      <c r="P2" s="110"/>
      <c r="Q2" s="1"/>
      <c r="R2" s="1"/>
      <c r="S2" s="1"/>
      <c r="T2" s="1"/>
      <c r="U2" s="1"/>
      <c r="V2" s="1"/>
      <c r="W2" s="1"/>
      <c r="X2" s="1"/>
      <c r="Y2" s="1"/>
      <c r="Z2" s="1"/>
      <c r="AA2" s="111"/>
      <c r="AB2" s="110"/>
      <c r="AC2" s="1"/>
      <c r="AD2" s="1"/>
      <c r="AE2" s="1"/>
      <c r="AF2" s="1"/>
      <c r="AG2" s="1"/>
      <c r="AH2" s="1"/>
      <c r="AI2" s="111" t="s">
        <v>21</v>
      </c>
      <c r="AJ2" s="112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3"/>
      <c r="AP2" s="387"/>
      <c r="AQ2" s="112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3"/>
      <c r="AW2" s="112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3" t="s">
        <v>191</v>
      </c>
      <c r="BD2" s="387"/>
      <c r="BE2" s="110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3" t="s">
        <v>191</v>
      </c>
      <c r="BM2" s="898" t="s">
        <v>10</v>
      </c>
      <c r="BN2" s="899" t="s">
        <v>2</v>
      </c>
      <c r="BO2" s="899" t="s">
        <v>46</v>
      </c>
      <c r="BP2" s="899" t="s">
        <v>1</v>
      </c>
      <c r="BQ2" s="899" t="s">
        <v>12</v>
      </c>
      <c r="BR2" s="899" t="s">
        <v>184</v>
      </c>
      <c r="BS2" s="63" t="s">
        <v>191</v>
      </c>
      <c r="BT2" s="900" t="s">
        <v>240</v>
      </c>
      <c r="BU2" s="900"/>
      <c r="BV2" s="904"/>
    </row>
    <row r="3" spans="1:74" ht="12.6" customHeight="1">
      <c r="A3" s="110"/>
      <c r="B3" s="90" t="s">
        <v>10</v>
      </c>
      <c r="C3" s="90" t="s">
        <v>2</v>
      </c>
      <c r="D3" s="90" t="s">
        <v>0</v>
      </c>
      <c r="E3" s="90" t="s">
        <v>1</v>
      </c>
      <c r="F3" s="90" t="s">
        <v>11</v>
      </c>
      <c r="G3" s="91" t="s">
        <v>12</v>
      </c>
      <c r="H3" s="110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3"/>
      <c r="P3" s="112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3"/>
      <c r="W3" s="10"/>
      <c r="X3" s="1"/>
      <c r="Y3" s="1"/>
      <c r="Z3" s="1"/>
      <c r="AA3" s="111"/>
      <c r="AB3" s="110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3">
        <v>70.5</v>
      </c>
      <c r="AJ3" s="114">
        <f t="shared" ref="AJ3:AJ33" si="0">IF(AK3="","",WEEKDAY(AK3,2))</f>
        <v>7</v>
      </c>
      <c r="AK3" s="17">
        <v>43709</v>
      </c>
      <c r="AL3" s="22">
        <v>1121.2</v>
      </c>
      <c r="AM3" s="22"/>
      <c r="AN3" s="226"/>
      <c r="AO3" s="113"/>
      <c r="AP3" s="387"/>
      <c r="AQ3" s="114">
        <f t="shared" ref="AQ3:AQ33" si="1">IF(AR3="","",WEEKDAY(AR3,2))</f>
        <v>2</v>
      </c>
      <c r="AR3" s="17">
        <v>43739</v>
      </c>
      <c r="AS3" s="22">
        <v>925.87</v>
      </c>
      <c r="AT3" s="22"/>
      <c r="AU3" s="226"/>
      <c r="AV3" s="133"/>
      <c r="AW3" s="114">
        <f t="shared" ref="AW3:AW32" si="2">IF(AX3="","",WEEKDAY(AX3,2))</f>
        <v>5</v>
      </c>
      <c r="AX3" s="17">
        <v>43770</v>
      </c>
      <c r="AY3" s="22"/>
      <c r="AZ3" s="22">
        <v>705.1</v>
      </c>
      <c r="BA3" s="226"/>
      <c r="BB3" s="226"/>
      <c r="BC3" s="85"/>
      <c r="BD3" s="387"/>
      <c r="BE3" s="110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6">
        <v>181.84</v>
      </c>
      <c r="BK3" s="226"/>
      <c r="BL3" s="119">
        <f>423.5+453.2</f>
        <v>876.7</v>
      </c>
      <c r="BM3" s="114">
        <f>IF(BN3="","",WEEKDAY(BN3,2))</f>
        <v>3</v>
      </c>
      <c r="BN3" s="17">
        <v>43831</v>
      </c>
      <c r="BO3" s="22"/>
      <c r="BP3" s="22"/>
      <c r="BQ3" s="226"/>
      <c r="BR3" s="226"/>
      <c r="BS3" s="85"/>
      <c r="BT3" s="902"/>
      <c r="BU3" s="903"/>
      <c r="BV3" s="904"/>
    </row>
    <row r="4" spans="1:74" ht="12.6" customHeight="1">
      <c r="A4" s="110"/>
      <c r="B4" s="4">
        <f>IF(C4="","",WEEKDAY(C4,2))</f>
        <v>3</v>
      </c>
      <c r="C4" s="3">
        <v>43586</v>
      </c>
      <c r="D4" s="5">
        <v>1033.5</v>
      </c>
      <c r="E4" s="5"/>
      <c r="F4" s="90"/>
      <c r="G4" s="91"/>
      <c r="H4" s="110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3"/>
      <c r="P4" s="114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3"/>
      <c r="W4" s="10"/>
      <c r="X4" s="12"/>
      <c r="Y4" s="12"/>
      <c r="Z4" s="1"/>
      <c r="AA4" s="111"/>
      <c r="AB4" s="110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3">
        <v>5.5</v>
      </c>
      <c r="AJ4" s="114">
        <f t="shared" si="0"/>
        <v>1</v>
      </c>
      <c r="AK4" s="17">
        <v>43710</v>
      </c>
      <c r="AL4" s="22"/>
      <c r="AM4" s="22">
        <v>704.9</v>
      </c>
      <c r="AN4" s="226"/>
      <c r="AO4" s="113"/>
      <c r="AP4" s="387"/>
      <c r="AQ4" s="114">
        <f t="shared" si="1"/>
        <v>3</v>
      </c>
      <c r="AR4" s="17">
        <v>43740</v>
      </c>
      <c r="AS4" s="22">
        <v>1072.46</v>
      </c>
      <c r="AT4" s="22"/>
      <c r="AU4" s="226"/>
      <c r="AV4" s="393"/>
      <c r="AW4" s="114">
        <f t="shared" si="2"/>
        <v>6</v>
      </c>
      <c r="AX4" s="17">
        <v>43771</v>
      </c>
      <c r="AY4" s="22">
        <v>1356.15</v>
      </c>
      <c r="AZ4" s="22"/>
      <c r="BA4" s="226"/>
      <c r="BB4" s="226"/>
      <c r="BC4" s="226"/>
      <c r="BD4" s="555"/>
      <c r="BE4" s="110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6">
        <v>152.6</v>
      </c>
      <c r="BK4" s="226"/>
      <c r="BL4" s="614"/>
      <c r="BM4" s="114">
        <f t="shared" ref="BM4:BM33" si="5">IF(BN4="","",WEEKDAY(BN4,2))</f>
        <v>4</v>
      </c>
      <c r="BN4" s="17">
        <v>43832</v>
      </c>
      <c r="BO4" s="22">
        <v>431.4</v>
      </c>
      <c r="BP4" s="22"/>
      <c r="BQ4" s="226">
        <v>183.7</v>
      </c>
      <c r="BR4" s="226"/>
      <c r="BS4" s="226"/>
      <c r="BT4" s="902"/>
      <c r="BU4" s="903"/>
      <c r="BV4" s="904"/>
    </row>
    <row r="5" spans="1:74" ht="12.6" customHeight="1">
      <c r="A5" s="110"/>
      <c r="B5" s="4">
        <f t="shared" ref="B5:B34" si="6">IF(C5="","",WEEKDAY(C5,2))</f>
        <v>4</v>
      </c>
      <c r="C5" s="3">
        <f>IF(C4="","",IF(C4+1&gt;EOMONTH($C$4,0),"",C4+1))</f>
        <v>43587</v>
      </c>
      <c r="D5" s="5">
        <v>813.2</v>
      </c>
      <c r="E5" s="5"/>
      <c r="F5" s="90"/>
      <c r="G5" s="91"/>
      <c r="H5" s="110"/>
      <c r="I5" s="16">
        <f t="shared" ref="I5:I33" si="7">IF(J5="","",WEEKDAY(J5,2))</f>
        <v>7</v>
      </c>
      <c r="J5" s="17">
        <v>43618</v>
      </c>
      <c r="K5" s="18"/>
      <c r="L5" s="18">
        <v>895.4</v>
      </c>
      <c r="M5" s="14"/>
      <c r="N5" s="14"/>
      <c r="O5" s="133"/>
      <c r="P5" s="114">
        <f t="shared" ref="P5:P33" si="8">IF(Q5="","",WEEKDAY(Q5,2))</f>
        <v>2</v>
      </c>
      <c r="Q5" s="17">
        <v>43648</v>
      </c>
      <c r="R5" s="18">
        <v>1169.2</v>
      </c>
      <c r="S5" s="18"/>
      <c r="T5" s="14"/>
      <c r="U5" s="14"/>
      <c r="V5" s="113"/>
      <c r="W5" s="10"/>
      <c r="X5" s="12"/>
      <c r="Y5" s="12"/>
      <c r="Z5" s="1"/>
      <c r="AA5" s="111"/>
      <c r="AB5" s="110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3">
        <v>0</v>
      </c>
      <c r="AJ5" s="114">
        <f t="shared" si="0"/>
        <v>2</v>
      </c>
      <c r="AK5" s="17">
        <v>43711</v>
      </c>
      <c r="AL5" s="22">
        <v>1046.4000000000001</v>
      </c>
      <c r="AM5" s="22"/>
      <c r="AN5" s="226"/>
      <c r="AO5" s="113"/>
      <c r="AP5" s="387"/>
      <c r="AQ5" s="114">
        <f t="shared" si="1"/>
        <v>4</v>
      </c>
      <c r="AR5" s="17">
        <v>43741</v>
      </c>
      <c r="AS5" s="22"/>
      <c r="AT5" s="22">
        <v>644</v>
      </c>
      <c r="AU5" s="226" t="s">
        <v>152</v>
      </c>
      <c r="AV5" s="631" t="s">
        <v>142</v>
      </c>
      <c r="AW5" s="114">
        <f t="shared" si="2"/>
        <v>7</v>
      </c>
      <c r="AX5" s="17">
        <v>43772</v>
      </c>
      <c r="AY5" s="22">
        <f>904+8</f>
        <v>912</v>
      </c>
      <c r="AZ5" s="22"/>
      <c r="BA5" s="226"/>
      <c r="BB5" s="226"/>
      <c r="BC5" s="226"/>
      <c r="BD5" s="387"/>
      <c r="BE5" s="110"/>
      <c r="BF5" s="16">
        <f t="shared" si="4"/>
        <v>2</v>
      </c>
      <c r="BG5" s="17">
        <v>43802</v>
      </c>
      <c r="BH5" s="22">
        <v>574</v>
      </c>
      <c r="BI5" s="22"/>
      <c r="BJ5" s="226"/>
      <c r="BK5" s="226">
        <v>18.5</v>
      </c>
      <c r="BL5" s="614"/>
      <c r="BM5" s="114">
        <f t="shared" si="5"/>
        <v>5</v>
      </c>
      <c r="BN5" s="17">
        <v>43833</v>
      </c>
      <c r="BO5" s="22"/>
      <c r="BP5" s="22">
        <v>570.35</v>
      </c>
      <c r="BQ5" s="226"/>
      <c r="BR5" s="226">
        <v>316.8</v>
      </c>
      <c r="BS5" s="226"/>
      <c r="BT5" s="902">
        <v>329.05</v>
      </c>
      <c r="BU5" s="903"/>
      <c r="BV5" s="904"/>
    </row>
    <row r="6" spans="1:74" ht="12.6" customHeight="1">
      <c r="A6" s="110"/>
      <c r="B6" s="4">
        <f t="shared" si="6"/>
        <v>5</v>
      </c>
      <c r="C6" s="3">
        <f t="shared" ref="C6:C34" si="9">IF(C5="","",IF(C5+1&gt;EOMONTH($C$4,0),"",C5+1))</f>
        <v>43588</v>
      </c>
      <c r="D6" s="5"/>
      <c r="E6" s="5">
        <v>1215</v>
      </c>
      <c r="F6" s="90"/>
      <c r="G6" s="91"/>
      <c r="H6" s="110"/>
      <c r="I6" s="16">
        <f t="shared" si="7"/>
        <v>1</v>
      </c>
      <c r="J6" s="17">
        <v>43619</v>
      </c>
      <c r="K6" s="18"/>
      <c r="L6" s="18"/>
      <c r="M6" s="14">
        <v>1103.43</v>
      </c>
      <c r="N6" s="14"/>
      <c r="O6" s="133"/>
      <c r="P6" s="114">
        <f t="shared" si="8"/>
        <v>3</v>
      </c>
      <c r="Q6" s="17">
        <v>43649</v>
      </c>
      <c r="R6" s="18"/>
      <c r="S6" s="18">
        <v>928.8</v>
      </c>
      <c r="T6" s="14"/>
      <c r="U6" s="14"/>
      <c r="V6" s="113"/>
      <c r="W6" s="10"/>
      <c r="X6" s="12"/>
      <c r="Y6" s="12"/>
      <c r="Z6" s="1"/>
      <c r="AA6" s="111"/>
      <c r="AB6" s="110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3">
        <v>0</v>
      </c>
      <c r="AJ6" s="114">
        <f t="shared" si="0"/>
        <v>3</v>
      </c>
      <c r="AK6" s="17">
        <v>43712</v>
      </c>
      <c r="AL6" s="22">
        <v>704.2</v>
      </c>
      <c r="AM6" s="22"/>
      <c r="AN6" s="226"/>
      <c r="AO6" s="113"/>
      <c r="AP6" s="387"/>
      <c r="AQ6" s="114">
        <f t="shared" si="1"/>
        <v>5</v>
      </c>
      <c r="AR6" s="17">
        <v>43742</v>
      </c>
      <c r="AS6" s="22"/>
      <c r="AT6" s="22"/>
      <c r="AU6" s="226">
        <v>1081.8</v>
      </c>
      <c r="AV6" s="133"/>
      <c r="AW6" s="114">
        <f t="shared" si="2"/>
        <v>1</v>
      </c>
      <c r="AX6" s="17">
        <v>43773</v>
      </c>
      <c r="AY6" s="22"/>
      <c r="AZ6" s="22">
        <v>500.3</v>
      </c>
      <c r="BA6" s="226"/>
      <c r="BB6" s="226"/>
      <c r="BC6" s="85"/>
      <c r="BD6" s="387"/>
      <c r="BE6" s="110"/>
      <c r="BF6" s="16">
        <f t="shared" si="4"/>
        <v>3</v>
      </c>
      <c r="BG6" s="17">
        <v>43803</v>
      </c>
      <c r="BH6" s="22">
        <v>1175</v>
      </c>
      <c r="BI6" s="22"/>
      <c r="BJ6" s="226"/>
      <c r="BK6" s="226">
        <v>201.7</v>
      </c>
      <c r="BL6" s="119"/>
      <c r="BM6" s="114">
        <f t="shared" si="5"/>
        <v>6</v>
      </c>
      <c r="BN6" s="17">
        <v>43834</v>
      </c>
      <c r="BO6" s="22"/>
      <c r="BP6" s="22">
        <v>568.9</v>
      </c>
      <c r="BQ6" s="226"/>
      <c r="BR6" s="226">
        <v>216.6</v>
      </c>
      <c r="BS6" s="85"/>
      <c r="BT6" s="902">
        <v>23.2</v>
      </c>
      <c r="BU6" s="903"/>
      <c r="BV6" s="904"/>
    </row>
    <row r="7" spans="1:74" ht="12.6" customHeight="1">
      <c r="A7" s="110"/>
      <c r="B7" s="4">
        <f t="shared" si="6"/>
        <v>6</v>
      </c>
      <c r="C7" s="3">
        <f t="shared" si="9"/>
        <v>43589</v>
      </c>
      <c r="D7" s="5"/>
      <c r="E7" s="5">
        <v>806.9</v>
      </c>
      <c r="F7" s="90"/>
      <c r="G7" s="91"/>
      <c r="H7" s="110"/>
      <c r="I7" s="16">
        <f t="shared" si="7"/>
        <v>2</v>
      </c>
      <c r="J7" s="17">
        <v>43620</v>
      </c>
      <c r="K7" s="18"/>
      <c r="L7" s="18"/>
      <c r="M7" s="14">
        <v>836.05</v>
      </c>
      <c r="N7" s="14"/>
      <c r="O7" s="133"/>
      <c r="P7" s="114">
        <f t="shared" si="8"/>
        <v>4</v>
      </c>
      <c r="Q7" s="17">
        <v>43650</v>
      </c>
      <c r="R7" s="18"/>
      <c r="S7" s="18">
        <v>1046.01</v>
      </c>
      <c r="T7" s="14"/>
      <c r="U7" s="14"/>
      <c r="V7" s="113"/>
      <c r="W7" s="10"/>
      <c r="X7" s="12"/>
      <c r="Y7" s="12"/>
      <c r="Z7" s="1"/>
      <c r="AA7" s="111"/>
      <c r="AB7" s="110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3">
        <v>47.2</v>
      </c>
      <c r="AJ7" s="114">
        <f t="shared" si="0"/>
        <v>4</v>
      </c>
      <c r="AK7" s="17">
        <v>43713</v>
      </c>
      <c r="AL7" s="22"/>
      <c r="AM7" s="22">
        <v>517.20000000000005</v>
      </c>
      <c r="AN7" s="226"/>
      <c r="AO7" s="113"/>
      <c r="AP7" s="387"/>
      <c r="AQ7" s="114">
        <f t="shared" si="1"/>
        <v>6</v>
      </c>
      <c r="AR7" s="17">
        <v>43743</v>
      </c>
      <c r="AS7" s="22">
        <v>508.37</v>
      </c>
      <c r="AT7" s="22"/>
      <c r="AU7" s="226"/>
      <c r="AV7" s="133"/>
      <c r="AW7" s="114">
        <f t="shared" si="2"/>
        <v>2</v>
      </c>
      <c r="AX7" s="17">
        <v>43774</v>
      </c>
      <c r="AY7" s="22"/>
      <c r="AZ7" s="22">
        <v>718.6</v>
      </c>
      <c r="BA7" s="226"/>
      <c r="BB7" s="226"/>
      <c r="BC7" s="85"/>
      <c r="BD7" s="387"/>
      <c r="BE7" s="110"/>
      <c r="BF7" s="16">
        <f t="shared" si="4"/>
        <v>4</v>
      </c>
      <c r="BG7" s="17">
        <v>43804</v>
      </c>
      <c r="BH7" s="22"/>
      <c r="BI7" s="22">
        <v>663.2</v>
      </c>
      <c r="BJ7" s="226"/>
      <c r="BK7" s="226">
        <v>83</v>
      </c>
      <c r="BL7" s="119"/>
      <c r="BM7" s="114">
        <f t="shared" si="5"/>
        <v>7</v>
      </c>
      <c r="BN7" s="17">
        <v>43835</v>
      </c>
      <c r="BO7" s="22">
        <v>766.15</v>
      </c>
      <c r="BP7" s="22"/>
      <c r="BQ7" s="226"/>
      <c r="BR7" s="226">
        <v>195.9</v>
      </c>
      <c r="BS7" s="85"/>
      <c r="BT7" s="902">
        <v>135.85</v>
      </c>
      <c r="BU7" s="903"/>
      <c r="BV7" s="904"/>
    </row>
    <row r="8" spans="1:74" ht="12.6" customHeight="1">
      <c r="A8" s="110"/>
      <c r="B8" s="4">
        <f t="shared" si="6"/>
        <v>7</v>
      </c>
      <c r="C8" s="3">
        <f t="shared" si="9"/>
        <v>43590</v>
      </c>
      <c r="D8" s="5">
        <v>1118.1500000000001</v>
      </c>
      <c r="E8" s="5"/>
      <c r="F8" s="90"/>
      <c r="G8" s="91"/>
      <c r="H8" s="110"/>
      <c r="I8" s="16">
        <f t="shared" si="7"/>
        <v>3</v>
      </c>
      <c r="J8" s="17">
        <v>43621</v>
      </c>
      <c r="K8" s="18"/>
      <c r="L8" s="18">
        <v>885.4</v>
      </c>
      <c r="M8" s="14"/>
      <c r="N8" s="14"/>
      <c r="O8" s="133"/>
      <c r="P8" s="114">
        <f t="shared" si="8"/>
        <v>5</v>
      </c>
      <c r="Q8" s="17">
        <v>43651</v>
      </c>
      <c r="R8" s="18">
        <v>1154.25</v>
      </c>
      <c r="S8" s="18"/>
      <c r="T8" s="14"/>
      <c r="U8" s="14"/>
      <c r="V8" s="113"/>
      <c r="W8" s="10"/>
      <c r="X8" s="12"/>
      <c r="Y8" s="12"/>
      <c r="Z8" s="1"/>
      <c r="AA8" s="111"/>
      <c r="AB8" s="110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3">
        <v>209.5</v>
      </c>
      <c r="AJ8" s="114">
        <f t="shared" si="0"/>
        <v>5</v>
      </c>
      <c r="AK8" s="17">
        <v>43714</v>
      </c>
      <c r="AL8" s="22"/>
      <c r="AM8" s="22">
        <v>945.75</v>
      </c>
      <c r="AN8" s="226"/>
      <c r="AO8" s="113"/>
      <c r="AP8" s="387"/>
      <c r="AQ8" s="114">
        <f t="shared" si="1"/>
        <v>7</v>
      </c>
      <c r="AR8" s="17">
        <v>43744</v>
      </c>
      <c r="AS8" s="22"/>
      <c r="AT8" s="22">
        <v>755.5</v>
      </c>
      <c r="AU8" s="226"/>
      <c r="AV8" s="133"/>
      <c r="AW8" s="114">
        <f t="shared" si="2"/>
        <v>3</v>
      </c>
      <c r="AX8" s="17">
        <v>43775</v>
      </c>
      <c r="AY8" s="22">
        <v>641.70000000000005</v>
      </c>
      <c r="AZ8" s="22"/>
      <c r="BA8" s="226"/>
      <c r="BB8" s="226"/>
      <c r="BC8" s="85"/>
      <c r="BD8" s="387"/>
      <c r="BE8" s="110"/>
      <c r="BF8" s="16">
        <f t="shared" si="4"/>
        <v>5</v>
      </c>
      <c r="BG8" s="17">
        <v>43805</v>
      </c>
      <c r="BH8" s="22"/>
      <c r="BI8" s="22">
        <v>943.1</v>
      </c>
      <c r="BJ8" s="226">
        <v>105.65</v>
      </c>
      <c r="BK8" s="226"/>
      <c r="BL8" s="119"/>
      <c r="BM8" s="114">
        <f t="shared" si="5"/>
        <v>1</v>
      </c>
      <c r="BN8" s="17">
        <v>43836</v>
      </c>
      <c r="BO8" s="22">
        <v>1186</v>
      </c>
      <c r="BP8" s="22"/>
      <c r="BQ8" s="226">
        <v>142.30000000000001</v>
      </c>
      <c r="BR8" s="226"/>
      <c r="BS8" s="85"/>
      <c r="BT8" s="902">
        <v>78.7</v>
      </c>
      <c r="BU8" s="903"/>
      <c r="BV8" s="904"/>
    </row>
    <row r="9" spans="1:74" ht="12.6" customHeight="1">
      <c r="A9" s="110"/>
      <c r="B9" s="4">
        <f t="shared" si="6"/>
        <v>1</v>
      </c>
      <c r="C9" s="3">
        <f t="shared" si="9"/>
        <v>43591</v>
      </c>
      <c r="D9" s="5">
        <v>595.54999999999995</v>
      </c>
      <c r="E9" s="5"/>
      <c r="F9" s="90"/>
      <c r="G9" s="91"/>
      <c r="H9" s="110"/>
      <c r="I9" s="16">
        <f t="shared" si="7"/>
        <v>4</v>
      </c>
      <c r="J9" s="17">
        <v>43622</v>
      </c>
      <c r="K9" s="18"/>
      <c r="L9" s="18">
        <v>877.7</v>
      </c>
      <c r="M9" s="14"/>
      <c r="N9" s="14"/>
      <c r="O9" s="133"/>
      <c r="P9" s="114">
        <f t="shared" si="8"/>
        <v>6</v>
      </c>
      <c r="Q9" s="17">
        <v>43652</v>
      </c>
      <c r="R9" s="18">
        <v>841.8</v>
      </c>
      <c r="S9" s="18"/>
      <c r="T9" s="14"/>
      <c r="U9" s="14"/>
      <c r="V9" s="113"/>
      <c r="W9" s="10"/>
      <c r="X9" s="12"/>
      <c r="Y9" s="12"/>
      <c r="Z9" s="1"/>
      <c r="AA9" s="111"/>
      <c r="AB9" s="110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3">
        <v>0</v>
      </c>
      <c r="AJ9" s="114">
        <f t="shared" si="0"/>
        <v>6</v>
      </c>
      <c r="AK9" s="17">
        <v>43715</v>
      </c>
      <c r="AL9" s="22">
        <v>513.85</v>
      </c>
      <c r="AM9" s="22"/>
      <c r="AN9" s="226"/>
      <c r="AO9" s="113"/>
      <c r="AP9" s="387"/>
      <c r="AQ9" s="114">
        <f t="shared" si="1"/>
        <v>1</v>
      </c>
      <c r="AR9" s="17">
        <v>43745</v>
      </c>
      <c r="AS9" s="22">
        <v>706.15</v>
      </c>
      <c r="AT9" s="22"/>
      <c r="AU9" s="226"/>
      <c r="AV9" s="632" t="s">
        <v>147</v>
      </c>
      <c r="AW9" s="114">
        <f t="shared" si="2"/>
        <v>4</v>
      </c>
      <c r="AX9" s="17">
        <v>43776</v>
      </c>
      <c r="AY9" s="22"/>
      <c r="AZ9" s="22">
        <v>1144.5</v>
      </c>
      <c r="BA9" s="226"/>
      <c r="BB9" s="226"/>
      <c r="BC9" s="85"/>
      <c r="BD9" s="556"/>
      <c r="BE9" s="110"/>
      <c r="BF9" s="16">
        <f t="shared" si="4"/>
        <v>6</v>
      </c>
      <c r="BG9" s="17">
        <v>43806</v>
      </c>
      <c r="BH9" s="22">
        <v>1016.9</v>
      </c>
      <c r="BI9" s="22"/>
      <c r="BJ9" s="226">
        <v>74</v>
      </c>
      <c r="BK9" s="226">
        <v>78.5</v>
      </c>
      <c r="BL9" s="119" t="s">
        <v>226</v>
      </c>
      <c r="BM9" s="114">
        <f t="shared" si="5"/>
        <v>2</v>
      </c>
      <c r="BN9" s="17">
        <v>43837</v>
      </c>
      <c r="BO9" s="22"/>
      <c r="BP9" s="22">
        <v>336.1</v>
      </c>
      <c r="BQ9" s="226"/>
      <c r="BR9" s="226">
        <v>123.2</v>
      </c>
      <c r="BS9" s="85"/>
      <c r="BT9" s="902"/>
      <c r="BU9" s="903"/>
      <c r="BV9" s="904"/>
    </row>
    <row r="10" spans="1:74" ht="12.6" customHeight="1">
      <c r="A10" s="110"/>
      <c r="B10" s="4">
        <f t="shared" si="6"/>
        <v>2</v>
      </c>
      <c r="C10" s="3">
        <f t="shared" si="9"/>
        <v>43592</v>
      </c>
      <c r="D10" s="5"/>
      <c r="E10" s="5">
        <v>705.4</v>
      </c>
      <c r="F10" s="90"/>
      <c r="G10" s="91"/>
      <c r="H10" s="110"/>
      <c r="I10" s="16">
        <f t="shared" si="7"/>
        <v>5</v>
      </c>
      <c r="J10" s="17">
        <v>43623</v>
      </c>
      <c r="K10" s="18"/>
      <c r="L10" s="18"/>
      <c r="M10" s="14">
        <v>982</v>
      </c>
      <c r="N10" s="14"/>
      <c r="O10" s="133"/>
      <c r="P10" s="114">
        <f t="shared" si="8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3"/>
      <c r="W10" s="10"/>
      <c r="X10" s="12"/>
      <c r="Y10" s="12"/>
      <c r="Z10" s="1"/>
      <c r="AA10" s="111"/>
      <c r="AB10" s="110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3">
        <v>0</v>
      </c>
      <c r="AJ10" s="114">
        <f t="shared" si="0"/>
        <v>7</v>
      </c>
      <c r="AK10" s="17">
        <v>43716</v>
      </c>
      <c r="AL10" s="22">
        <v>817.55</v>
      </c>
      <c r="AM10" s="22"/>
      <c r="AN10" s="226"/>
      <c r="AO10" s="75"/>
      <c r="AP10" s="390"/>
      <c r="AQ10" s="114">
        <f t="shared" si="1"/>
        <v>2</v>
      </c>
      <c r="AR10" s="17">
        <v>43746</v>
      </c>
      <c r="AS10" s="22"/>
      <c r="AT10" s="22">
        <v>598.9</v>
      </c>
      <c r="AU10" s="226"/>
      <c r="AV10" s="950" t="s">
        <v>140</v>
      </c>
      <c r="AW10" s="114">
        <f t="shared" si="2"/>
        <v>5</v>
      </c>
      <c r="AX10" s="17">
        <v>43777</v>
      </c>
      <c r="AY10" s="22">
        <v>1385.95</v>
      </c>
      <c r="AZ10" s="22"/>
      <c r="BA10" s="226"/>
      <c r="BB10" s="226"/>
      <c r="BC10" s="18"/>
      <c r="BD10" s="390"/>
      <c r="BE10" s="110"/>
      <c r="BF10" s="16">
        <f>IF(BG10="","",WEEKDAY(BG10,2))</f>
        <v>7</v>
      </c>
      <c r="BG10" s="17">
        <v>43807</v>
      </c>
      <c r="BH10" s="22">
        <v>843.9</v>
      </c>
      <c r="BI10" s="22"/>
      <c r="BJ10" s="226"/>
      <c r="BK10" s="226">
        <v>163.69999999999999</v>
      </c>
      <c r="BL10" s="615"/>
      <c r="BM10" s="114">
        <f>IF(BN10="","",WEEKDAY(BN10,2))</f>
        <v>3</v>
      </c>
      <c r="BN10" s="17">
        <v>43838</v>
      </c>
      <c r="BO10" s="22"/>
      <c r="BP10" s="22">
        <v>1069.4000000000001</v>
      </c>
      <c r="BQ10" s="226">
        <v>134.6</v>
      </c>
      <c r="BR10" s="226"/>
      <c r="BS10" s="18"/>
      <c r="BT10" s="902"/>
      <c r="BU10" s="903"/>
      <c r="BV10" s="904"/>
    </row>
    <row r="11" spans="1:74" ht="12.6" customHeight="1">
      <c r="A11" s="110"/>
      <c r="B11" s="4">
        <f t="shared" si="6"/>
        <v>3</v>
      </c>
      <c r="C11" s="3">
        <f t="shared" si="9"/>
        <v>43593</v>
      </c>
      <c r="D11" s="5"/>
      <c r="E11" s="5">
        <v>1107</v>
      </c>
      <c r="F11" s="90"/>
      <c r="G11" s="91"/>
      <c r="H11" s="110"/>
      <c r="I11" s="16">
        <f t="shared" si="7"/>
        <v>6</v>
      </c>
      <c r="J11" s="17">
        <v>43624</v>
      </c>
      <c r="K11" s="18"/>
      <c r="L11" s="18">
        <v>598.65</v>
      </c>
      <c r="M11" s="14"/>
      <c r="N11" s="14"/>
      <c r="O11" s="134"/>
      <c r="P11" s="114">
        <f t="shared" si="8"/>
        <v>1</v>
      </c>
      <c r="Q11" s="17">
        <v>43654</v>
      </c>
      <c r="R11" s="18">
        <f>995</f>
        <v>995</v>
      </c>
      <c r="S11" s="18"/>
      <c r="T11" s="14"/>
      <c r="U11" s="14"/>
      <c r="V11" s="115"/>
      <c r="W11" s="11"/>
      <c r="X11" s="12"/>
      <c r="Y11" s="12"/>
      <c r="Z11" s="1"/>
      <c r="AA11" s="111"/>
      <c r="AB11" s="110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6">
        <v>45</v>
      </c>
      <c r="AJ11" s="114">
        <f t="shared" si="0"/>
        <v>1</v>
      </c>
      <c r="AK11" s="17">
        <v>43717</v>
      </c>
      <c r="AL11" s="952" t="s">
        <v>135</v>
      </c>
      <c r="AM11" s="22">
        <v>688.5</v>
      </c>
      <c r="AN11" s="227"/>
      <c r="AO11" s="20"/>
      <c r="AP11" s="388"/>
      <c r="AQ11" s="114">
        <f t="shared" si="1"/>
        <v>3</v>
      </c>
      <c r="AR11" s="17">
        <v>43747</v>
      </c>
      <c r="AS11" s="237"/>
      <c r="AT11" s="22">
        <v>468.8</v>
      </c>
      <c r="AU11" s="227"/>
      <c r="AV11" s="950"/>
      <c r="AW11" s="114">
        <f t="shared" si="2"/>
        <v>6</v>
      </c>
      <c r="AX11" s="17">
        <v>43778</v>
      </c>
      <c r="AY11" s="22">
        <v>1019.6</v>
      </c>
      <c r="AZ11" s="22"/>
      <c r="BA11" s="226"/>
      <c r="BB11" s="226"/>
      <c r="BC11" s="431"/>
      <c r="BD11" s="557"/>
      <c r="BE11" s="110"/>
      <c r="BF11" s="16">
        <f t="shared" si="4"/>
        <v>1</v>
      </c>
      <c r="BG11" s="17">
        <v>43808</v>
      </c>
      <c r="BH11" s="22"/>
      <c r="BI11" s="22">
        <v>950.6</v>
      </c>
      <c r="BJ11" s="226">
        <v>0</v>
      </c>
      <c r="BK11" s="226">
        <v>49</v>
      </c>
      <c r="BL11" s="616" t="s">
        <v>227</v>
      </c>
      <c r="BM11" s="114">
        <f t="shared" si="5"/>
        <v>4</v>
      </c>
      <c r="BN11" s="17">
        <v>43839</v>
      </c>
      <c r="BO11" s="22">
        <v>718.6</v>
      </c>
      <c r="BP11" s="22"/>
      <c r="BQ11" s="226">
        <v>107.3</v>
      </c>
      <c r="BR11" s="226"/>
      <c r="BS11" s="431"/>
      <c r="BT11" s="902">
        <v>271.10000000000002</v>
      </c>
      <c r="BU11" s="903"/>
      <c r="BV11" s="905"/>
    </row>
    <row r="12" spans="1:74" ht="12.6" customHeight="1">
      <c r="A12" s="110"/>
      <c r="B12" s="4">
        <f t="shared" si="6"/>
        <v>4</v>
      </c>
      <c r="C12" s="3">
        <f t="shared" si="9"/>
        <v>43594</v>
      </c>
      <c r="D12" s="5">
        <v>565.23</v>
      </c>
      <c r="E12" s="5"/>
      <c r="F12" s="90"/>
      <c r="G12" s="91"/>
      <c r="H12" s="110"/>
      <c r="I12" s="16">
        <f t="shared" si="7"/>
        <v>7</v>
      </c>
      <c r="J12" s="17">
        <v>43625</v>
      </c>
      <c r="K12" s="18"/>
      <c r="L12" s="18">
        <v>625.45000000000005</v>
      </c>
      <c r="M12" s="14"/>
      <c r="N12" s="19"/>
      <c r="O12" s="135"/>
      <c r="P12" s="114">
        <f t="shared" si="8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1"/>
      <c r="AB12" s="110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5">
        <v>0.5</v>
      </c>
      <c r="AJ12" s="114">
        <f t="shared" si="0"/>
        <v>2</v>
      </c>
      <c r="AK12" s="17">
        <v>43718</v>
      </c>
      <c r="AL12" s="953"/>
      <c r="AM12" s="23">
        <v>487.05</v>
      </c>
      <c r="AN12" s="233">
        <v>631.9</v>
      </c>
      <c r="AO12" s="389" t="s">
        <v>147</v>
      </c>
      <c r="AP12" s="949" t="s">
        <v>140</v>
      </c>
      <c r="AQ12" s="114">
        <f t="shared" si="1"/>
        <v>4</v>
      </c>
      <c r="AR12" s="17">
        <v>43748</v>
      </c>
      <c r="AS12" s="237">
        <v>905</v>
      </c>
      <c r="AT12" s="22"/>
      <c r="AU12" s="226"/>
      <c r="AV12" s="950"/>
      <c r="AW12" s="114">
        <f t="shared" si="2"/>
        <v>7</v>
      </c>
      <c r="AX12" s="17">
        <v>43779</v>
      </c>
      <c r="AY12" s="22"/>
      <c r="AZ12" s="22">
        <v>1157.6500000000001</v>
      </c>
      <c r="BA12" s="226"/>
      <c r="BB12" s="226"/>
      <c r="BC12" s="226"/>
      <c r="BD12" s="393"/>
      <c r="BE12" s="110"/>
      <c r="BF12" s="16">
        <f t="shared" si="4"/>
        <v>2</v>
      </c>
      <c r="BG12" s="17">
        <v>43809</v>
      </c>
      <c r="BH12" s="22"/>
      <c r="BI12" s="22">
        <v>644.9</v>
      </c>
      <c r="BJ12" s="226"/>
      <c r="BK12" s="226">
        <v>210.6</v>
      </c>
      <c r="BL12" s="614"/>
      <c r="BM12" s="114">
        <f t="shared" si="5"/>
        <v>5</v>
      </c>
      <c r="BN12" s="17">
        <v>43840</v>
      </c>
      <c r="BO12" s="22">
        <v>556.20000000000005</v>
      </c>
      <c r="BP12" s="22"/>
      <c r="BQ12" s="226"/>
      <c r="BR12" s="226">
        <v>142</v>
      </c>
      <c r="BS12" s="226"/>
      <c r="BT12" s="902">
        <v>20.2</v>
      </c>
      <c r="BU12" s="903"/>
      <c r="BV12" s="905"/>
    </row>
    <row r="13" spans="1:74" ht="12.6" customHeight="1">
      <c r="A13" s="110"/>
      <c r="B13" s="4">
        <f t="shared" si="6"/>
        <v>5</v>
      </c>
      <c r="C13" s="3">
        <f t="shared" si="9"/>
        <v>43595</v>
      </c>
      <c r="D13" s="5">
        <v>1299.7</v>
      </c>
      <c r="E13" s="5"/>
      <c r="F13" s="90"/>
      <c r="G13" s="91"/>
      <c r="H13" s="110"/>
      <c r="I13" s="16">
        <f t="shared" si="7"/>
        <v>1</v>
      </c>
      <c r="J13" s="17">
        <v>43626</v>
      </c>
      <c r="K13" s="18"/>
      <c r="L13" s="18"/>
      <c r="M13" s="14">
        <f>779.1+180</f>
        <v>959.1</v>
      </c>
      <c r="N13" s="14"/>
      <c r="O13" s="136"/>
      <c r="P13" s="114">
        <f t="shared" si="8"/>
        <v>3</v>
      </c>
      <c r="Q13" s="17">
        <v>43656</v>
      </c>
      <c r="R13" s="18"/>
      <c r="S13" s="18">
        <v>821.1</v>
      </c>
      <c r="T13" s="14"/>
      <c r="U13" s="14"/>
      <c r="V13" s="116"/>
      <c r="W13" s="12"/>
      <c r="X13" s="12"/>
      <c r="Y13" s="12"/>
      <c r="Z13" s="1"/>
      <c r="AA13" s="111"/>
      <c r="AB13" s="110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6">
        <v>0</v>
      </c>
      <c r="AJ13" s="114">
        <f t="shared" si="0"/>
        <v>3</v>
      </c>
      <c r="AK13" s="17">
        <v>43719</v>
      </c>
      <c r="AL13" s="953"/>
      <c r="AM13" s="22"/>
      <c r="AN13" s="226">
        <v>659.8</v>
      </c>
      <c r="AO13" s="116"/>
      <c r="AP13" s="949"/>
      <c r="AQ13" s="114">
        <f t="shared" si="1"/>
        <v>5</v>
      </c>
      <c r="AR13" s="17">
        <v>43749</v>
      </c>
      <c r="AS13" s="237"/>
      <c r="AT13" s="22">
        <v>737.6</v>
      </c>
      <c r="AU13" s="226" t="s">
        <v>153</v>
      </c>
      <c r="AV13" s="633" t="s">
        <v>144</v>
      </c>
      <c r="AW13" s="114">
        <f t="shared" si="2"/>
        <v>1</v>
      </c>
      <c r="AX13" s="17">
        <v>43780</v>
      </c>
      <c r="AY13" s="22"/>
      <c r="AZ13" s="22">
        <v>1126.7</v>
      </c>
      <c r="BA13" s="226"/>
      <c r="BB13" s="226"/>
      <c r="BC13" s="226"/>
      <c r="BD13" s="558"/>
      <c r="BE13" s="110"/>
      <c r="BF13" s="16">
        <f t="shared" si="4"/>
        <v>3</v>
      </c>
      <c r="BG13" s="17">
        <v>43810</v>
      </c>
      <c r="BH13" s="22">
        <v>403.35</v>
      </c>
      <c r="BI13" s="22"/>
      <c r="BJ13" s="226">
        <v>286</v>
      </c>
      <c r="BK13" s="226"/>
      <c r="BL13" s="614"/>
      <c r="BM13" s="114">
        <f t="shared" si="5"/>
        <v>6</v>
      </c>
      <c r="BN13" s="17">
        <v>43841</v>
      </c>
      <c r="BO13" s="22"/>
      <c r="BP13" s="22">
        <v>844.27</v>
      </c>
      <c r="BQ13" s="226"/>
      <c r="BR13" s="226">
        <v>261.3</v>
      </c>
      <c r="BS13" s="226"/>
      <c r="BT13" s="902">
        <v>72.5</v>
      </c>
      <c r="BU13" s="903"/>
      <c r="BV13" s="905"/>
    </row>
    <row r="14" spans="1:74" ht="12.6" customHeight="1">
      <c r="A14" s="110"/>
      <c r="B14" s="4">
        <f t="shared" si="6"/>
        <v>6</v>
      </c>
      <c r="C14" s="3">
        <f t="shared" si="9"/>
        <v>43596</v>
      </c>
      <c r="D14" s="5">
        <v>1128.3599999999999</v>
      </c>
      <c r="E14" s="5"/>
      <c r="F14" s="90"/>
      <c r="G14" s="91"/>
      <c r="H14" s="110"/>
      <c r="I14" s="16">
        <f t="shared" si="7"/>
        <v>2</v>
      </c>
      <c r="J14" s="17">
        <v>43627</v>
      </c>
      <c r="K14" s="18">
        <v>994.7</v>
      </c>
      <c r="L14" s="18"/>
      <c r="M14" s="14"/>
      <c r="N14" s="14"/>
      <c r="O14" s="136"/>
      <c r="P14" s="114">
        <f t="shared" si="8"/>
        <v>4</v>
      </c>
      <c r="Q14" s="17">
        <v>43657</v>
      </c>
      <c r="R14" s="18"/>
      <c r="S14" s="18">
        <v>1390</v>
      </c>
      <c r="T14" s="14"/>
      <c r="U14" s="14"/>
      <c r="V14" s="116"/>
      <c r="W14" s="12"/>
      <c r="X14" s="12"/>
      <c r="Y14" s="12"/>
      <c r="Z14" s="1"/>
      <c r="AA14" s="111"/>
      <c r="AB14" s="110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6">
        <v>56</v>
      </c>
      <c r="AJ14" s="114">
        <f t="shared" si="0"/>
        <v>4</v>
      </c>
      <c r="AK14" s="17">
        <v>43720</v>
      </c>
      <c r="AL14" s="953"/>
      <c r="AM14" s="22">
        <v>1118.5999999999999</v>
      </c>
      <c r="AN14" s="226"/>
      <c r="AO14" s="116"/>
      <c r="AP14" s="138"/>
      <c r="AQ14" s="114">
        <f t="shared" si="1"/>
        <v>6</v>
      </c>
      <c r="AR14" s="17">
        <v>43750</v>
      </c>
      <c r="AS14" s="22"/>
      <c r="AT14" s="22"/>
      <c r="AU14" s="226">
        <v>879.06</v>
      </c>
      <c r="AV14" s="136"/>
      <c r="AW14" s="114">
        <f t="shared" si="2"/>
        <v>2</v>
      </c>
      <c r="AX14" s="17">
        <v>43781</v>
      </c>
      <c r="AY14" s="22">
        <v>544</v>
      </c>
      <c r="AZ14" s="22"/>
      <c r="BA14" s="226"/>
      <c r="BB14" s="226"/>
      <c r="BC14" s="226"/>
      <c r="BD14" s="558"/>
      <c r="BE14" s="110"/>
      <c r="BF14" s="16">
        <f t="shared" si="4"/>
        <v>4</v>
      </c>
      <c r="BG14" s="17">
        <v>43811</v>
      </c>
      <c r="BH14" s="22">
        <v>686.1</v>
      </c>
      <c r="BI14" s="22"/>
      <c r="BJ14" s="226">
        <v>169.8</v>
      </c>
      <c r="BK14" s="226"/>
      <c r="BL14" s="614"/>
      <c r="BM14" s="114">
        <f t="shared" si="5"/>
        <v>7</v>
      </c>
      <c r="BN14" s="17">
        <v>43842</v>
      </c>
      <c r="BO14" s="22"/>
      <c r="BP14" s="22">
        <v>582.79999999999995</v>
      </c>
      <c r="BQ14" s="226"/>
      <c r="BR14" s="226">
        <v>285</v>
      </c>
      <c r="BS14" s="226"/>
      <c r="BT14" s="902">
        <v>95</v>
      </c>
      <c r="BU14" s="903"/>
      <c r="BV14" s="905"/>
    </row>
    <row r="15" spans="1:74" ht="12.6" customHeight="1">
      <c r="A15" s="110"/>
      <c r="B15" s="4">
        <f t="shared" si="6"/>
        <v>7</v>
      </c>
      <c r="C15" s="3">
        <f t="shared" si="9"/>
        <v>43597</v>
      </c>
      <c r="D15" s="5"/>
      <c r="E15" s="5">
        <v>969.9</v>
      </c>
      <c r="F15" s="90"/>
      <c r="G15" s="91"/>
      <c r="H15" s="110"/>
      <c r="I15" s="16">
        <f t="shared" si="7"/>
        <v>3</v>
      </c>
      <c r="J15" s="17">
        <v>43628</v>
      </c>
      <c r="K15" s="18"/>
      <c r="L15" s="18">
        <v>1063.4000000000001</v>
      </c>
      <c r="M15" s="14"/>
      <c r="N15" s="14"/>
      <c r="O15" s="136"/>
      <c r="P15" s="114">
        <f t="shared" si="8"/>
        <v>5</v>
      </c>
      <c r="Q15" s="17">
        <v>43658</v>
      </c>
      <c r="R15" s="18">
        <v>1224.95</v>
      </c>
      <c r="S15" s="18"/>
      <c r="T15" s="14"/>
      <c r="U15" s="14"/>
      <c r="V15" s="116"/>
      <c r="W15" s="12"/>
      <c r="X15" s="12"/>
      <c r="Y15" s="12"/>
      <c r="Z15" s="1"/>
      <c r="AA15" s="111"/>
      <c r="AB15" s="110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6">
        <v>0</v>
      </c>
      <c r="AJ15" s="114">
        <f t="shared" si="0"/>
        <v>5</v>
      </c>
      <c r="AK15" s="17">
        <v>43721</v>
      </c>
      <c r="AL15" s="953"/>
      <c r="AM15" s="22">
        <v>1249.4000000000001</v>
      </c>
      <c r="AN15" s="226"/>
      <c r="AO15" s="116"/>
      <c r="AP15" s="138"/>
      <c r="AQ15" s="114">
        <f t="shared" si="1"/>
        <v>7</v>
      </c>
      <c r="AR15" s="17">
        <v>43751</v>
      </c>
      <c r="AS15" s="22">
        <v>836.4</v>
      </c>
      <c r="AT15" s="22"/>
      <c r="AU15" s="226"/>
      <c r="AV15" s="231"/>
      <c r="AW15" s="114">
        <f t="shared" si="2"/>
        <v>3</v>
      </c>
      <c r="AX15" s="17">
        <v>43782</v>
      </c>
      <c r="AY15" s="22"/>
      <c r="AZ15" s="22"/>
      <c r="BA15" s="233">
        <v>979.4</v>
      </c>
      <c r="BB15" s="226"/>
      <c r="BC15" s="226"/>
      <c r="BD15" s="558"/>
      <c r="BE15" s="110"/>
      <c r="BF15" s="16">
        <f t="shared" si="4"/>
        <v>5</v>
      </c>
      <c r="BG15" s="17">
        <v>43812</v>
      </c>
      <c r="BH15" s="22"/>
      <c r="BI15" s="22">
        <v>1005.9</v>
      </c>
      <c r="BJ15" s="226"/>
      <c r="BK15" s="226">
        <v>287.64999999999998</v>
      </c>
      <c r="BL15" s="614"/>
      <c r="BM15" s="114">
        <f t="shared" si="5"/>
        <v>1</v>
      </c>
      <c r="BN15" s="17">
        <v>43843</v>
      </c>
      <c r="BO15" s="22">
        <f>1215.6+12</f>
        <v>1227.5999999999999</v>
      </c>
      <c r="BP15" s="22"/>
      <c r="BQ15" s="226">
        <v>365.6</v>
      </c>
      <c r="BR15" s="226"/>
      <c r="BS15" s="226"/>
      <c r="BT15" s="902"/>
      <c r="BU15" s="903"/>
      <c r="BV15" s="905"/>
    </row>
    <row r="16" spans="1:74" ht="12.6" customHeight="1">
      <c r="A16" s="110"/>
      <c r="B16" s="4">
        <f t="shared" si="6"/>
        <v>1</v>
      </c>
      <c r="C16" s="3">
        <f t="shared" si="9"/>
        <v>43598</v>
      </c>
      <c r="D16" s="5"/>
      <c r="E16" s="5">
        <v>565.20000000000005</v>
      </c>
      <c r="F16" s="90"/>
      <c r="G16" s="91"/>
      <c r="H16" s="110"/>
      <c r="I16" s="16">
        <f t="shared" si="7"/>
        <v>4</v>
      </c>
      <c r="J16" s="17">
        <v>43629</v>
      </c>
      <c r="K16" s="18"/>
      <c r="L16" s="18">
        <v>699.7</v>
      </c>
      <c r="M16" s="14"/>
      <c r="N16" s="14"/>
      <c r="O16" s="231"/>
      <c r="P16" s="114">
        <f t="shared" si="8"/>
        <v>6</v>
      </c>
      <c r="Q16" s="17">
        <v>43659</v>
      </c>
      <c r="R16" s="18">
        <v>905.85</v>
      </c>
      <c r="S16" s="18"/>
      <c r="T16" s="14"/>
      <c r="U16" s="14"/>
      <c r="V16" s="116"/>
      <c r="W16" s="12"/>
      <c r="X16" s="12"/>
      <c r="Y16" s="12"/>
      <c r="Z16" s="1"/>
      <c r="AA16" s="111"/>
      <c r="AB16" s="110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6">
        <v>0</v>
      </c>
      <c r="AJ16" s="114">
        <f t="shared" si="0"/>
        <v>6</v>
      </c>
      <c r="AK16" s="17">
        <v>43722</v>
      </c>
      <c r="AL16" s="953"/>
      <c r="AM16" s="22"/>
      <c r="AN16" s="226">
        <v>1926.62</v>
      </c>
      <c r="AO16" s="116"/>
      <c r="AP16" s="138"/>
      <c r="AQ16" s="114">
        <f t="shared" si="1"/>
        <v>1</v>
      </c>
      <c r="AR16" s="17">
        <v>43752</v>
      </c>
      <c r="AS16" s="237">
        <v>928.7</v>
      </c>
      <c r="AT16" s="22"/>
      <c r="AU16" s="226"/>
      <c r="AV16" s="136"/>
      <c r="AW16" s="114">
        <f t="shared" si="2"/>
        <v>4</v>
      </c>
      <c r="AX16" s="17">
        <v>43783</v>
      </c>
      <c r="AY16" s="22"/>
      <c r="AZ16" s="22">
        <v>154.69999999999999</v>
      </c>
      <c r="BA16" s="233">
        <v>209</v>
      </c>
      <c r="BB16" s="226"/>
      <c r="BC16" s="14"/>
      <c r="BD16" s="138"/>
      <c r="BE16" s="406"/>
      <c r="BF16" s="16">
        <f t="shared" si="4"/>
        <v>6</v>
      </c>
      <c r="BG16" s="17">
        <v>43813</v>
      </c>
      <c r="BH16" s="22" t="s">
        <v>228</v>
      </c>
      <c r="BI16" s="22">
        <v>1173.45</v>
      </c>
      <c r="BJ16" s="226"/>
      <c r="BK16" s="226">
        <v>241.9</v>
      </c>
      <c r="BL16" s="617"/>
      <c r="BM16" s="114">
        <f t="shared" si="5"/>
        <v>2</v>
      </c>
      <c r="BN16" s="17">
        <v>43844</v>
      </c>
      <c r="BO16" s="22">
        <v>802.86</v>
      </c>
      <c r="BP16" s="22"/>
      <c r="BQ16" s="226"/>
      <c r="BR16" s="226">
        <v>327</v>
      </c>
      <c r="BS16" s="14"/>
      <c r="BT16" s="902">
        <v>100.8</v>
      </c>
      <c r="BU16" s="903"/>
      <c r="BV16" s="905"/>
    </row>
    <row r="17" spans="1:74" ht="12.6" customHeight="1">
      <c r="A17" s="110"/>
      <c r="B17" s="4">
        <f t="shared" si="6"/>
        <v>2</v>
      </c>
      <c r="C17" s="3">
        <f t="shared" si="9"/>
        <v>43599</v>
      </c>
      <c r="D17" s="5">
        <v>875.95</v>
      </c>
      <c r="E17" s="5"/>
      <c r="F17" s="90"/>
      <c r="G17" s="91"/>
      <c r="H17" s="110"/>
      <c r="I17" s="16">
        <f t="shared" si="7"/>
        <v>5</v>
      </c>
      <c r="J17" s="17">
        <v>43630</v>
      </c>
      <c r="K17" s="22">
        <v>1139.6400000000001</v>
      </c>
      <c r="L17" s="18"/>
      <c r="M17" s="14"/>
      <c r="N17" s="14"/>
      <c r="O17" s="231"/>
      <c r="P17" s="114">
        <f t="shared" si="8"/>
        <v>7</v>
      </c>
      <c r="Q17" s="17">
        <v>43660</v>
      </c>
      <c r="R17" s="22"/>
      <c r="S17" s="18">
        <v>1082.45</v>
      </c>
      <c r="T17" s="14"/>
      <c r="U17" s="14"/>
      <c r="V17" s="116"/>
      <c r="W17" s="12"/>
      <c r="X17" s="12"/>
      <c r="Y17" s="12"/>
      <c r="Z17" s="1"/>
      <c r="AA17" s="111"/>
      <c r="AB17" s="110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6">
        <v>56.6</v>
      </c>
      <c r="AJ17" s="114">
        <f t="shared" si="0"/>
        <v>7</v>
      </c>
      <c r="AK17" s="17">
        <v>43723</v>
      </c>
      <c r="AL17" s="953"/>
      <c r="AM17" s="22">
        <v>1746.15</v>
      </c>
      <c r="AN17" s="226"/>
      <c r="AO17" s="116"/>
      <c r="AP17" s="138">
        <f>SUM(AL3:AM10)</f>
        <v>6371.05</v>
      </c>
      <c r="AQ17" s="114">
        <f t="shared" si="1"/>
        <v>2</v>
      </c>
      <c r="AR17" s="17">
        <v>43753</v>
      </c>
      <c r="AS17" s="279">
        <v>1671.24</v>
      </c>
      <c r="AT17" s="22"/>
      <c r="AU17" s="226"/>
      <c r="AV17" s="136"/>
      <c r="AW17" s="114">
        <f t="shared" si="2"/>
        <v>5</v>
      </c>
      <c r="AX17" s="17">
        <v>43784</v>
      </c>
      <c r="AY17" s="22"/>
      <c r="AZ17" s="22">
        <v>1332.44</v>
      </c>
      <c r="BA17" s="226"/>
      <c r="BB17" s="226"/>
      <c r="BC17" s="14"/>
      <c r="BD17" s="138"/>
      <c r="BE17" s="110"/>
      <c r="BF17" s="16">
        <f t="shared" si="4"/>
        <v>7</v>
      </c>
      <c r="BG17" s="17">
        <v>43814</v>
      </c>
      <c r="BH17" s="22">
        <v>1053.2</v>
      </c>
      <c r="BI17" s="22"/>
      <c r="BJ17" s="226"/>
      <c r="BK17" s="226">
        <v>477.7</v>
      </c>
      <c r="BL17" s="617"/>
      <c r="BM17" s="114">
        <f t="shared" si="5"/>
        <v>3</v>
      </c>
      <c r="BN17" s="17">
        <v>43845</v>
      </c>
      <c r="BO17" s="22"/>
      <c r="BP17" s="22">
        <v>1708.3</v>
      </c>
      <c r="BQ17" s="226">
        <v>378.97</v>
      </c>
      <c r="BR17" s="226"/>
      <c r="BS17" s="14"/>
      <c r="BT17" s="902">
        <v>87.7</v>
      </c>
      <c r="BU17" s="903"/>
      <c r="BV17" s="905"/>
    </row>
    <row r="18" spans="1:74" ht="12.6" customHeight="1">
      <c r="A18" s="110"/>
      <c r="B18" s="4">
        <f t="shared" si="6"/>
        <v>3</v>
      </c>
      <c r="C18" s="3">
        <f t="shared" si="9"/>
        <v>43600</v>
      </c>
      <c r="D18" s="5"/>
      <c r="E18" s="5">
        <v>1876</v>
      </c>
      <c r="F18" s="90"/>
      <c r="G18" s="91"/>
      <c r="H18" s="110"/>
      <c r="I18" s="16">
        <f t="shared" si="7"/>
        <v>6</v>
      </c>
      <c r="J18" s="17">
        <v>43631</v>
      </c>
      <c r="K18" s="18">
        <v>1711.7</v>
      </c>
      <c r="L18" s="18"/>
      <c r="M18" s="14"/>
      <c r="N18" s="14"/>
      <c r="O18" s="136"/>
      <c r="P18" s="114">
        <f t="shared" si="8"/>
        <v>1</v>
      </c>
      <c r="Q18" s="17">
        <v>43661</v>
      </c>
      <c r="R18" s="18"/>
      <c r="S18" s="18">
        <v>1146.96</v>
      </c>
      <c r="T18" s="14"/>
      <c r="U18" s="14"/>
      <c r="V18" s="116"/>
      <c r="W18" s="12"/>
      <c r="X18" s="12"/>
      <c r="Y18" s="12"/>
      <c r="Z18" s="1"/>
      <c r="AA18" s="111"/>
      <c r="AB18" s="110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6">
        <v>0</v>
      </c>
      <c r="AJ18" s="114">
        <f t="shared" si="0"/>
        <v>1</v>
      </c>
      <c r="AK18" s="17">
        <v>43724</v>
      </c>
      <c r="AL18" s="953"/>
      <c r="AM18" s="22">
        <v>1271.2</v>
      </c>
      <c r="AN18" s="226"/>
      <c r="AO18" s="116"/>
      <c r="AP18" s="138">
        <f>SUM(AM11:AN18)</f>
        <v>9779.2200000000012</v>
      </c>
      <c r="AQ18" s="114">
        <f t="shared" si="1"/>
        <v>3</v>
      </c>
      <c r="AR18" s="17">
        <v>43754</v>
      </c>
      <c r="AS18" s="237"/>
      <c r="AT18" s="22">
        <v>776.7</v>
      </c>
      <c r="AU18" s="226"/>
      <c r="AV18" s="136"/>
      <c r="AW18" s="114">
        <f t="shared" si="2"/>
        <v>6</v>
      </c>
      <c r="AX18" s="17">
        <v>43785</v>
      </c>
      <c r="AY18" s="22">
        <v>1101.3499999999999</v>
      </c>
      <c r="AZ18" s="22"/>
      <c r="BA18" s="226"/>
      <c r="BB18" s="226"/>
      <c r="BC18" s="14"/>
      <c r="BD18" s="138"/>
      <c r="BE18" s="110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6">
        <v>192.7</v>
      </c>
      <c r="BK18" s="226"/>
      <c r="BL18" s="617"/>
      <c r="BM18" s="114">
        <f t="shared" si="5"/>
        <v>4</v>
      </c>
      <c r="BN18" s="17">
        <v>43846</v>
      </c>
      <c r="BO18" s="22"/>
      <c r="BP18" s="22">
        <v>1608.9</v>
      </c>
      <c r="BQ18" s="226"/>
      <c r="BR18" s="226">
        <v>186.8</v>
      </c>
      <c r="BS18" s="14"/>
      <c r="BT18" s="902">
        <v>112.5</v>
      </c>
      <c r="BU18" s="903"/>
      <c r="BV18" s="905"/>
    </row>
    <row r="19" spans="1:74" ht="12.6" customHeight="1">
      <c r="A19" s="110"/>
      <c r="B19" s="4">
        <f t="shared" si="6"/>
        <v>4</v>
      </c>
      <c r="C19" s="3">
        <f t="shared" si="9"/>
        <v>43601</v>
      </c>
      <c r="D19" s="5"/>
      <c r="E19" s="5">
        <v>1387.6</v>
      </c>
      <c r="F19" s="90"/>
      <c r="G19" s="91"/>
      <c r="H19" s="110"/>
      <c r="I19" s="16">
        <f t="shared" si="7"/>
        <v>7</v>
      </c>
      <c r="J19" s="17">
        <v>43632</v>
      </c>
      <c r="K19" s="18">
        <v>994.29</v>
      </c>
      <c r="L19" s="18"/>
      <c r="M19" s="14"/>
      <c r="N19" s="14"/>
      <c r="O19" s="136"/>
      <c r="P19" s="114">
        <f t="shared" si="8"/>
        <v>2</v>
      </c>
      <c r="Q19" s="17">
        <v>43662</v>
      </c>
      <c r="R19" s="18">
        <f>634.7+612.03</f>
        <v>1246.73</v>
      </c>
      <c r="S19" s="18"/>
      <c r="T19" s="14"/>
      <c r="U19" s="14"/>
      <c r="V19" s="116"/>
      <c r="W19" s="12"/>
      <c r="X19" s="12"/>
      <c r="Y19" s="12"/>
      <c r="Z19" s="1"/>
      <c r="AA19" s="111"/>
      <c r="AB19" s="110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6">
        <v>75.900000000000006</v>
      </c>
      <c r="AJ19" s="114">
        <f t="shared" si="0"/>
        <v>2</v>
      </c>
      <c r="AK19" s="17">
        <v>43725</v>
      </c>
      <c r="AL19" s="953"/>
      <c r="AM19" s="22">
        <v>1298.31</v>
      </c>
      <c r="AN19" s="226"/>
      <c r="AO19" s="116"/>
      <c r="AP19" s="138">
        <f>AP18+AP17</f>
        <v>16150.27</v>
      </c>
      <c r="AQ19" s="114">
        <f t="shared" si="1"/>
        <v>4</v>
      </c>
      <c r="AR19" s="17">
        <v>43755</v>
      </c>
      <c r="AS19" s="237"/>
      <c r="AT19" s="22">
        <v>1366.5</v>
      </c>
      <c r="AU19" s="226"/>
      <c r="AV19" s="951" t="s">
        <v>145</v>
      </c>
      <c r="AW19" s="114">
        <f t="shared" si="2"/>
        <v>7</v>
      </c>
      <c r="AX19" s="17">
        <v>43786</v>
      </c>
      <c r="AY19" s="22">
        <v>993.1</v>
      </c>
      <c r="AZ19" s="22"/>
      <c r="BA19" s="226"/>
      <c r="BB19" s="226"/>
      <c r="BC19" s="14"/>
      <c r="BD19" s="138"/>
      <c r="BE19" s="110"/>
      <c r="BF19" s="16">
        <f t="shared" si="4"/>
        <v>2</v>
      </c>
      <c r="BG19" s="17">
        <v>43816</v>
      </c>
      <c r="BH19" s="22"/>
      <c r="BI19" s="22">
        <v>1052.57</v>
      </c>
      <c r="BJ19" s="226">
        <v>333.5</v>
      </c>
      <c r="BK19" s="226"/>
      <c r="BL19" s="617"/>
      <c r="BM19" s="114">
        <f t="shared" si="5"/>
        <v>5</v>
      </c>
      <c r="BN19" s="17">
        <v>43847</v>
      </c>
      <c r="BO19" s="22">
        <v>1175.26</v>
      </c>
      <c r="BP19" s="22"/>
      <c r="BQ19" s="226"/>
      <c r="BR19" s="226">
        <v>359.6</v>
      </c>
      <c r="BS19" s="14"/>
      <c r="BT19" s="902">
        <v>174</v>
      </c>
      <c r="BU19" s="903"/>
      <c r="BV19" s="905"/>
    </row>
    <row r="20" spans="1:74" ht="12.6" customHeight="1">
      <c r="A20" s="110"/>
      <c r="B20" s="4">
        <f t="shared" si="6"/>
        <v>5</v>
      </c>
      <c r="C20" s="3">
        <f t="shared" si="9"/>
        <v>43602</v>
      </c>
      <c r="D20" s="5">
        <v>1419.21</v>
      </c>
      <c r="E20" s="5"/>
      <c r="F20" s="90"/>
      <c r="G20" s="91"/>
      <c r="H20" s="110"/>
      <c r="I20" s="16">
        <f t="shared" si="7"/>
        <v>1</v>
      </c>
      <c r="J20" s="17">
        <v>43633</v>
      </c>
      <c r="K20" s="18"/>
      <c r="L20" s="18">
        <v>1970.3</v>
      </c>
      <c r="M20" s="14"/>
      <c r="N20" s="14"/>
      <c r="O20" s="136"/>
      <c r="P20" s="114">
        <f t="shared" si="8"/>
        <v>3</v>
      </c>
      <c r="Q20" s="17">
        <v>43663</v>
      </c>
      <c r="R20" s="18">
        <v>1486.6</v>
      </c>
      <c r="S20" s="18"/>
      <c r="T20" s="14"/>
      <c r="U20" s="14"/>
      <c r="V20" s="116"/>
      <c r="W20" s="12"/>
      <c r="X20" s="12"/>
      <c r="Y20" s="12"/>
      <c r="Z20" s="1"/>
      <c r="AA20" s="111"/>
      <c r="AB20" s="110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6">
        <v>8</v>
      </c>
      <c r="AJ20" s="114">
        <f t="shared" si="0"/>
        <v>3</v>
      </c>
      <c r="AK20" s="17">
        <v>43726</v>
      </c>
      <c r="AL20" s="953"/>
      <c r="AM20" s="22"/>
      <c r="AN20" s="22">
        <v>1026.1400000000001</v>
      </c>
      <c r="AO20" s="116"/>
      <c r="AP20" s="138"/>
      <c r="AQ20" s="114">
        <f t="shared" si="1"/>
        <v>5</v>
      </c>
      <c r="AR20" s="17">
        <v>43756</v>
      </c>
      <c r="AS20" s="237"/>
      <c r="AT20" s="22"/>
      <c r="AU20" s="22">
        <v>1412.13</v>
      </c>
      <c r="AV20" s="951"/>
      <c r="AW20" s="114">
        <f t="shared" si="2"/>
        <v>1</v>
      </c>
      <c r="AX20" s="17">
        <v>43787</v>
      </c>
      <c r="AY20" s="22"/>
      <c r="AZ20" s="22">
        <v>1409.25</v>
      </c>
      <c r="BA20" s="226"/>
      <c r="BB20" s="226"/>
      <c r="BC20" s="14"/>
      <c r="BD20" s="138"/>
      <c r="BE20" s="110"/>
      <c r="BF20" s="16">
        <f t="shared" si="4"/>
        <v>3</v>
      </c>
      <c r="BG20" s="17">
        <v>43817</v>
      </c>
      <c r="BH20" s="22"/>
      <c r="BI20" s="22">
        <v>789.1</v>
      </c>
      <c r="BJ20" s="226"/>
      <c r="BK20" s="226">
        <v>139.4</v>
      </c>
      <c r="BL20" s="617"/>
      <c r="BM20" s="114">
        <f t="shared" si="5"/>
        <v>6</v>
      </c>
      <c r="BN20" s="17">
        <v>43848</v>
      </c>
      <c r="BO20" s="22">
        <v>1137.2</v>
      </c>
      <c r="BP20" s="22"/>
      <c r="BQ20" s="226">
        <v>507.8</v>
      </c>
      <c r="BR20" s="226"/>
      <c r="BS20" s="14"/>
      <c r="BT20" s="902">
        <v>341.8</v>
      </c>
      <c r="BU20" s="903"/>
      <c r="BV20" s="905"/>
    </row>
    <row r="21" spans="1:74" ht="12.6" customHeight="1">
      <c r="A21" s="110"/>
      <c r="B21" s="4">
        <f t="shared" si="6"/>
        <v>6</v>
      </c>
      <c r="C21" s="3">
        <f t="shared" si="9"/>
        <v>43603</v>
      </c>
      <c r="D21" s="5">
        <v>1242.0899999999999</v>
      </c>
      <c r="E21" s="5"/>
      <c r="F21" s="90"/>
      <c r="G21" s="91"/>
      <c r="H21" s="110"/>
      <c r="I21" s="16">
        <f t="shared" si="7"/>
        <v>2</v>
      </c>
      <c r="J21" s="17">
        <v>43634</v>
      </c>
      <c r="K21" s="18"/>
      <c r="L21" s="18">
        <v>1280</v>
      </c>
      <c r="M21" s="14"/>
      <c r="N21" s="14"/>
      <c r="O21" s="136"/>
      <c r="P21" s="114">
        <f t="shared" si="8"/>
        <v>4</v>
      </c>
      <c r="Q21" s="17">
        <v>43664</v>
      </c>
      <c r="R21" s="18"/>
      <c r="S21" s="18">
        <f>810+382.8+200</f>
        <v>1392.8</v>
      </c>
      <c r="T21" s="14"/>
      <c r="U21" s="14"/>
      <c r="V21" s="116"/>
      <c r="W21" s="12"/>
      <c r="X21" s="12"/>
      <c r="Y21" s="12"/>
      <c r="Z21" s="1"/>
      <c r="AA21" s="111"/>
      <c r="AB21" s="110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6">
        <v>135</v>
      </c>
      <c r="AJ21" s="114">
        <f t="shared" si="0"/>
        <v>4</v>
      </c>
      <c r="AK21" s="17">
        <v>43727</v>
      </c>
      <c r="AL21" s="953"/>
      <c r="AM21" s="22"/>
      <c r="AN21" s="226">
        <v>543.4</v>
      </c>
      <c r="AO21" s="75"/>
      <c r="AP21" s="138"/>
      <c r="AQ21" s="114">
        <f t="shared" si="1"/>
        <v>6</v>
      </c>
      <c r="AR21" s="17">
        <v>43757</v>
      </c>
      <c r="AS21" s="22"/>
      <c r="AT21" s="22">
        <v>983.85</v>
      </c>
      <c r="AU21" s="226"/>
      <c r="AV21" s="951"/>
      <c r="AW21" s="114">
        <f t="shared" si="2"/>
        <v>2</v>
      </c>
      <c r="AX21" s="17">
        <v>43788</v>
      </c>
      <c r="AY21" s="22"/>
      <c r="AZ21" s="22">
        <v>838.9</v>
      </c>
      <c r="BA21" s="226"/>
      <c r="BB21" s="226"/>
      <c r="BC21" s="18"/>
      <c r="BD21" s="138"/>
      <c r="BE21" s="618" t="s">
        <v>223</v>
      </c>
      <c r="BF21" s="458">
        <f t="shared" si="4"/>
        <v>4</v>
      </c>
      <c r="BG21" s="459">
        <v>43818</v>
      </c>
      <c r="BH21" s="23">
        <v>1490.25</v>
      </c>
      <c r="BI21" s="22"/>
      <c r="BJ21" s="226"/>
      <c r="BK21" s="226">
        <v>332</v>
      </c>
      <c r="BL21" s="619"/>
      <c r="BM21" s="906">
        <f t="shared" si="5"/>
        <v>7</v>
      </c>
      <c r="BN21" s="17">
        <v>43849</v>
      </c>
      <c r="BO21" s="22"/>
      <c r="BP21" s="22">
        <v>1144.5</v>
      </c>
      <c r="BQ21" s="226"/>
      <c r="BR21" s="226">
        <v>412.1</v>
      </c>
      <c r="BS21" s="22"/>
      <c r="BT21" s="467">
        <v>162.1</v>
      </c>
      <c r="BU21" s="469"/>
      <c r="BV21" s="905"/>
    </row>
    <row r="22" spans="1:74" ht="12.6" customHeight="1">
      <c r="A22" s="110"/>
      <c r="B22" s="4">
        <f t="shared" si="6"/>
        <v>7</v>
      </c>
      <c r="C22" s="3">
        <f t="shared" si="9"/>
        <v>43604</v>
      </c>
      <c r="D22" s="5"/>
      <c r="E22" s="5">
        <v>1440.1</v>
      </c>
      <c r="F22" s="90"/>
      <c r="G22" s="91"/>
      <c r="H22" s="147"/>
      <c r="I22" s="16">
        <f t="shared" si="7"/>
        <v>3</v>
      </c>
      <c r="J22" s="17">
        <v>43635</v>
      </c>
      <c r="K22" s="22">
        <v>1357.53</v>
      </c>
      <c r="L22" s="22"/>
      <c r="M22" s="14"/>
      <c r="N22" s="14"/>
      <c r="O22" s="440"/>
      <c r="P22" s="114">
        <f t="shared" si="8"/>
        <v>5</v>
      </c>
      <c r="Q22" s="17">
        <v>43665</v>
      </c>
      <c r="R22" s="22"/>
      <c r="S22" s="22">
        <v>852.9</v>
      </c>
      <c r="T22" s="18"/>
      <c r="U22" s="14">
        <v>506.5</v>
      </c>
      <c r="V22" s="75"/>
      <c r="W22" s="12"/>
      <c r="X22" s="12"/>
      <c r="Y22" s="12"/>
      <c r="Z22" s="1"/>
      <c r="AA22" s="111"/>
      <c r="AB22" s="110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1">
        <v>0</v>
      </c>
      <c r="AJ22" s="114">
        <f t="shared" si="0"/>
        <v>5</v>
      </c>
      <c r="AK22" s="17">
        <v>43728</v>
      </c>
      <c r="AL22" s="953"/>
      <c r="AM22" s="22">
        <v>1251.95</v>
      </c>
      <c r="AN22" s="226"/>
      <c r="AO22" s="116"/>
      <c r="AP22" s="138"/>
      <c r="AQ22" s="114">
        <f t="shared" si="1"/>
        <v>7</v>
      </c>
      <c r="AR22" s="17">
        <v>43758</v>
      </c>
      <c r="AS22" s="22">
        <f>799.6+578.5</f>
        <v>1378.1</v>
      </c>
      <c r="AT22" s="22"/>
      <c r="AU22" s="226"/>
      <c r="AV22" s="951"/>
      <c r="AW22" s="114">
        <f t="shared" si="2"/>
        <v>3</v>
      </c>
      <c r="AX22" s="17">
        <v>43789</v>
      </c>
      <c r="AY22" s="22">
        <v>788</v>
      </c>
      <c r="AZ22" s="22"/>
      <c r="BA22" s="226"/>
      <c r="BB22" s="226"/>
      <c r="BC22" s="14"/>
      <c r="BD22" s="138"/>
      <c r="BE22" s="406"/>
      <c r="BF22" s="460">
        <f t="shared" si="4"/>
        <v>5</v>
      </c>
      <c r="BG22" s="461">
        <v>43819</v>
      </c>
      <c r="BH22" s="22">
        <v>1045.3</v>
      </c>
      <c r="BI22" s="22"/>
      <c r="BJ22" s="226"/>
      <c r="BK22" s="226">
        <v>249.5</v>
      </c>
      <c r="BL22" s="617"/>
      <c r="BM22" s="906">
        <f t="shared" si="5"/>
        <v>1</v>
      </c>
      <c r="BN22" s="17">
        <v>43850</v>
      </c>
      <c r="BO22" s="22"/>
      <c r="BP22" s="22">
        <v>675.4</v>
      </c>
      <c r="BQ22" s="226"/>
      <c r="BR22" s="226">
        <v>203.3</v>
      </c>
      <c r="BS22" s="226"/>
      <c r="BT22" s="467"/>
      <c r="BU22" s="469"/>
      <c r="BV22" s="905"/>
    </row>
    <row r="23" spans="1:74" ht="12.6" customHeight="1">
      <c r="A23" s="110"/>
      <c r="B23" s="4">
        <f t="shared" si="6"/>
        <v>1</v>
      </c>
      <c r="C23" s="3">
        <f t="shared" si="9"/>
        <v>43605</v>
      </c>
      <c r="D23" s="5"/>
      <c r="E23" s="5">
        <v>1466.2</v>
      </c>
      <c r="F23" s="90"/>
      <c r="G23" s="91"/>
      <c r="H23" s="110"/>
      <c r="I23" s="16">
        <f t="shared" si="7"/>
        <v>4</v>
      </c>
      <c r="J23" s="17">
        <v>43636</v>
      </c>
      <c r="K23" s="22">
        <v>1199.25</v>
      </c>
      <c r="L23" s="22"/>
      <c r="M23" s="14"/>
      <c r="N23" s="14"/>
      <c r="O23" s="136"/>
      <c r="P23" s="114">
        <f t="shared" si="8"/>
        <v>6</v>
      </c>
      <c r="Q23" s="17">
        <v>43666</v>
      </c>
      <c r="R23" s="22">
        <v>1072.8900000000001</v>
      </c>
      <c r="S23" s="22"/>
      <c r="T23" s="14"/>
      <c r="U23" s="14"/>
      <c r="V23" s="116"/>
      <c r="W23" s="12"/>
      <c r="X23" s="12"/>
      <c r="Y23" s="12"/>
      <c r="Z23" s="1"/>
      <c r="AA23" s="111"/>
      <c r="AB23" s="110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6">
        <v>31</v>
      </c>
      <c r="AJ23" s="114">
        <f t="shared" si="0"/>
        <v>6</v>
      </c>
      <c r="AK23" s="17">
        <v>43729</v>
      </c>
      <c r="AL23" s="953"/>
      <c r="AM23" s="22">
        <v>1206.8</v>
      </c>
      <c r="AN23" s="226"/>
      <c r="AO23" s="116"/>
      <c r="AP23" s="138"/>
      <c r="AQ23" s="114">
        <f t="shared" si="1"/>
        <v>1</v>
      </c>
      <c r="AR23" s="17">
        <v>43759</v>
      </c>
      <c r="AS23" s="237">
        <v>1023.1</v>
      </c>
      <c r="AT23" s="22"/>
      <c r="AU23" s="226"/>
      <c r="AV23" s="951"/>
      <c r="AW23" s="114">
        <f t="shared" si="2"/>
        <v>4</v>
      </c>
      <c r="AX23" s="17">
        <v>43790</v>
      </c>
      <c r="AY23" s="22">
        <f>1000+432</f>
        <v>1432</v>
      </c>
      <c r="AZ23" s="22"/>
      <c r="BA23" s="226">
        <v>597.5</v>
      </c>
      <c r="BB23" s="586"/>
      <c r="BC23" s="14"/>
      <c r="BD23" s="138"/>
      <c r="BE23" s="406"/>
      <c r="BF23" s="460">
        <f>IF(BG23="","",WEEKDAY(BG23,2))</f>
        <v>6</v>
      </c>
      <c r="BG23" s="461">
        <v>43820</v>
      </c>
      <c r="BH23" s="22"/>
      <c r="BI23" s="22">
        <v>927.6</v>
      </c>
      <c r="BJ23" s="226">
        <v>507.1</v>
      </c>
      <c r="BK23" s="452"/>
      <c r="BL23" s="617"/>
      <c r="BM23" s="906">
        <f>IF(BN23="","",WEEKDAY(BN23,2))</f>
        <v>2</v>
      </c>
      <c r="BN23" s="17">
        <v>43851</v>
      </c>
      <c r="BO23" s="22">
        <v>868.86</v>
      </c>
      <c r="BP23" s="22"/>
      <c r="BQ23" s="226"/>
      <c r="BR23" s="226">
        <v>569.32000000000005</v>
      </c>
      <c r="BS23" s="226"/>
      <c r="BT23" s="467">
        <v>148.19999999999999</v>
      </c>
      <c r="BU23" s="469"/>
      <c r="BV23" s="905"/>
    </row>
    <row r="24" spans="1:74" ht="12.6" customHeight="1">
      <c r="A24" s="110"/>
      <c r="B24" s="4">
        <f t="shared" si="6"/>
        <v>2</v>
      </c>
      <c r="C24" s="3">
        <f t="shared" si="9"/>
        <v>43606</v>
      </c>
      <c r="D24" s="5">
        <v>1133.2</v>
      </c>
      <c r="E24" s="5"/>
      <c r="F24" s="90"/>
      <c r="G24" s="91"/>
      <c r="H24" s="110"/>
      <c r="I24" s="16">
        <f t="shared" si="7"/>
        <v>5</v>
      </c>
      <c r="J24" s="17">
        <v>43637</v>
      </c>
      <c r="K24" s="22"/>
      <c r="L24" s="22">
        <v>1427</v>
      </c>
      <c r="M24" s="14"/>
      <c r="N24" s="14"/>
      <c r="O24" s="136"/>
      <c r="P24" s="114">
        <f t="shared" si="8"/>
        <v>7</v>
      </c>
      <c r="Q24" s="17">
        <v>43667</v>
      </c>
      <c r="R24" s="22">
        <v>1244.8699999999999</v>
      </c>
      <c r="S24" s="22"/>
      <c r="T24" s="14"/>
      <c r="U24" s="14"/>
      <c r="V24" s="116"/>
      <c r="W24" s="12"/>
      <c r="X24" s="12"/>
      <c r="Y24" s="12"/>
      <c r="Z24" s="1"/>
      <c r="AA24" s="111"/>
      <c r="AB24" s="110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6">
        <v>198.6</v>
      </c>
      <c r="AJ24" s="117">
        <f t="shared" si="0"/>
        <v>7</v>
      </c>
      <c r="AK24" s="17">
        <v>43730</v>
      </c>
      <c r="AL24" s="953"/>
      <c r="AM24" s="228">
        <v>1555.3</v>
      </c>
      <c r="AN24" s="229"/>
      <c r="AO24" s="116"/>
      <c r="AP24" s="138"/>
      <c r="AQ24" s="117">
        <f t="shared" si="1"/>
        <v>2</v>
      </c>
      <c r="AR24" s="17">
        <v>43760</v>
      </c>
      <c r="AS24" s="237"/>
      <c r="AT24" s="228">
        <v>1620.9</v>
      </c>
      <c r="AU24" s="229"/>
      <c r="AV24" s="951"/>
      <c r="AW24" s="117">
        <f t="shared" si="2"/>
        <v>5</v>
      </c>
      <c r="AX24" s="17">
        <v>43791</v>
      </c>
      <c r="AY24" s="22"/>
      <c r="AZ24" s="22">
        <v>1130.45</v>
      </c>
      <c r="BA24" s="226"/>
      <c r="BB24" s="226">
        <v>137.49</v>
      </c>
      <c r="BC24" s="14"/>
      <c r="BD24" s="138"/>
      <c r="BE24" s="406"/>
      <c r="BF24" s="460">
        <f t="shared" si="4"/>
        <v>7</v>
      </c>
      <c r="BG24" s="461">
        <v>43821</v>
      </c>
      <c r="BH24" s="22"/>
      <c r="BI24" s="22">
        <v>1124.3</v>
      </c>
      <c r="BJ24" s="226">
        <v>262.60000000000002</v>
      </c>
      <c r="BK24" s="226"/>
      <c r="BL24" s="122"/>
      <c r="BM24" s="906">
        <f t="shared" si="5"/>
        <v>3</v>
      </c>
      <c r="BN24" s="17">
        <v>43852</v>
      </c>
      <c r="BO24" s="22">
        <v>1207.5999999999999</v>
      </c>
      <c r="BP24" s="22"/>
      <c r="BQ24" s="226">
        <v>94.05</v>
      </c>
      <c r="BR24" s="226"/>
      <c r="BS24" s="476"/>
      <c r="BT24" s="467">
        <v>115.4</v>
      </c>
      <c r="BU24" s="469"/>
      <c r="BV24" s="907"/>
    </row>
    <row r="25" spans="1:74" ht="12.6" customHeight="1">
      <c r="A25" s="110"/>
      <c r="B25" s="4">
        <f t="shared" si="6"/>
        <v>3</v>
      </c>
      <c r="C25" s="3">
        <f t="shared" si="9"/>
        <v>43607</v>
      </c>
      <c r="D25" s="5">
        <v>1025.9000000000001</v>
      </c>
      <c r="E25" s="5"/>
      <c r="F25" s="90"/>
      <c r="G25" s="91"/>
      <c r="H25" s="110"/>
      <c r="I25" s="16">
        <f t="shared" si="7"/>
        <v>6</v>
      </c>
      <c r="J25" s="17">
        <v>43638</v>
      </c>
      <c r="K25" s="18"/>
      <c r="L25" s="23">
        <v>1282.7</v>
      </c>
      <c r="M25" s="14"/>
      <c r="N25" s="14"/>
      <c r="O25" s="136"/>
      <c r="P25" s="114">
        <f t="shared" si="8"/>
        <v>1</v>
      </c>
      <c r="Q25" s="17">
        <v>43668</v>
      </c>
      <c r="R25" s="18"/>
      <c r="S25" s="22">
        <v>917.95</v>
      </c>
      <c r="T25" s="14"/>
      <c r="U25" s="14"/>
      <c r="V25" s="116"/>
      <c r="W25" s="12"/>
      <c r="X25" s="12"/>
      <c r="Y25" s="12"/>
      <c r="Z25" s="1"/>
      <c r="AA25" s="111"/>
      <c r="AB25" s="110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6">
        <v>34.200000000000003</v>
      </c>
      <c r="AJ25" s="114">
        <f t="shared" si="0"/>
        <v>1</v>
      </c>
      <c r="AK25" s="17">
        <v>43731</v>
      </c>
      <c r="AL25" s="269">
        <v>579.22</v>
      </c>
      <c r="AM25" s="270"/>
      <c r="AN25" s="226"/>
      <c r="AO25" s="116"/>
      <c r="AP25" s="390"/>
      <c r="AQ25" s="114">
        <f t="shared" si="1"/>
        <v>3</v>
      </c>
      <c r="AR25" s="17">
        <v>43761</v>
      </c>
      <c r="AS25" s="269"/>
      <c r="AT25" s="270">
        <v>1090</v>
      </c>
      <c r="AU25" s="226"/>
      <c r="AV25" s="951"/>
      <c r="AW25" s="114">
        <f t="shared" si="2"/>
        <v>6</v>
      </c>
      <c r="AX25" s="17">
        <v>43792</v>
      </c>
      <c r="AY25" s="22"/>
      <c r="AZ25" s="22">
        <v>1145.2</v>
      </c>
      <c r="BA25" s="226"/>
      <c r="BB25" s="226">
        <v>202.15</v>
      </c>
      <c r="BC25" s="14"/>
      <c r="BD25" s="138"/>
      <c r="BE25" s="406"/>
      <c r="BF25" s="460">
        <f t="shared" si="4"/>
        <v>1</v>
      </c>
      <c r="BG25" s="461">
        <v>43822</v>
      </c>
      <c r="BH25" s="22">
        <v>597.4</v>
      </c>
      <c r="BI25" s="22"/>
      <c r="BJ25" s="226">
        <v>122.6</v>
      </c>
      <c r="BK25" s="226"/>
      <c r="BL25" s="617"/>
      <c r="BM25" s="906">
        <f t="shared" si="5"/>
        <v>4</v>
      </c>
      <c r="BN25" s="17">
        <v>43853</v>
      </c>
      <c r="BO25" s="22"/>
      <c r="BP25" s="22">
        <v>924.9</v>
      </c>
      <c r="BQ25" s="226"/>
      <c r="BR25" s="226">
        <v>236</v>
      </c>
      <c r="BS25" s="226"/>
      <c r="BT25" s="467">
        <v>71.900000000000006</v>
      </c>
      <c r="BU25" s="469"/>
      <c r="BV25" s="905"/>
    </row>
    <row r="26" spans="1:74" ht="12.6" customHeight="1">
      <c r="A26" s="110"/>
      <c r="B26" s="4">
        <f t="shared" si="6"/>
        <v>4</v>
      </c>
      <c r="C26" s="3">
        <f t="shared" si="9"/>
        <v>43608</v>
      </c>
      <c r="D26" s="5"/>
      <c r="E26" s="5">
        <v>925.3</v>
      </c>
      <c r="F26" s="90"/>
      <c r="G26" s="91"/>
      <c r="H26" s="110"/>
      <c r="I26" s="16">
        <f t="shared" si="7"/>
        <v>7</v>
      </c>
      <c r="J26" s="17">
        <v>43639</v>
      </c>
      <c r="K26" s="18">
        <v>956.65</v>
      </c>
      <c r="L26" s="18"/>
      <c r="M26" s="14"/>
      <c r="N26" s="14"/>
      <c r="O26" s="136"/>
      <c r="P26" s="114">
        <f t="shared" si="8"/>
        <v>2</v>
      </c>
      <c r="Q26" s="17">
        <v>43669</v>
      </c>
      <c r="R26" s="18"/>
      <c r="S26" s="18">
        <v>1320.9</v>
      </c>
      <c r="T26" s="14"/>
      <c r="U26" s="14"/>
      <c r="V26" s="116"/>
      <c r="W26" s="12"/>
      <c r="X26" s="12"/>
      <c r="Y26" s="12"/>
      <c r="Z26" s="1"/>
      <c r="AA26" s="111"/>
      <c r="AB26" s="110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6">
        <v>16.399999999999999</v>
      </c>
      <c r="AJ26" s="114">
        <f t="shared" si="0"/>
        <v>2</v>
      </c>
      <c r="AK26" s="17">
        <v>43732</v>
      </c>
      <c r="AL26" s="269">
        <f>1090.05+5</f>
        <v>1095.05</v>
      </c>
      <c r="AM26" s="270"/>
      <c r="AN26" s="226"/>
      <c r="AO26" s="116"/>
      <c r="AP26" s="138"/>
      <c r="AQ26" s="114">
        <f t="shared" si="1"/>
        <v>4</v>
      </c>
      <c r="AR26" s="17">
        <v>43762</v>
      </c>
      <c r="AS26" s="269"/>
      <c r="AT26" s="270">
        <v>1059.0999999999999</v>
      </c>
      <c r="AU26" s="226"/>
      <c r="AV26" s="136"/>
      <c r="AW26" s="114">
        <f t="shared" si="2"/>
        <v>7</v>
      </c>
      <c r="AX26" s="17">
        <v>43793</v>
      </c>
      <c r="AY26" s="22"/>
      <c r="AZ26" s="22">
        <v>1087</v>
      </c>
      <c r="BA26" s="226"/>
      <c r="BB26" s="226">
        <v>192</v>
      </c>
      <c r="BC26" s="14"/>
      <c r="BD26" s="138"/>
      <c r="BE26" s="406"/>
      <c r="BF26" s="460">
        <f t="shared" si="4"/>
        <v>2</v>
      </c>
      <c r="BG26" s="461">
        <v>43823</v>
      </c>
      <c r="BH26" s="22">
        <f>481.2+367.85+5.5</f>
        <v>854.55</v>
      </c>
      <c r="BI26" s="22"/>
      <c r="BJ26" s="226"/>
      <c r="BK26" s="226">
        <v>231.3</v>
      </c>
      <c r="BL26" s="617"/>
      <c r="BM26" s="906">
        <f t="shared" si="5"/>
        <v>5</v>
      </c>
      <c r="BN26" s="17">
        <v>43854</v>
      </c>
      <c r="BO26" s="22"/>
      <c r="BP26" s="22">
        <v>1208.5999999999999</v>
      </c>
      <c r="BQ26" s="226"/>
      <c r="BR26" s="226">
        <v>482.8</v>
      </c>
      <c r="BS26" s="226"/>
      <c r="BT26" s="467">
        <v>78.5</v>
      </c>
      <c r="BU26" s="469"/>
      <c r="BV26" s="905"/>
    </row>
    <row r="27" spans="1:74" ht="12.6" customHeight="1">
      <c r="A27" s="110"/>
      <c r="B27" s="4">
        <f t="shared" si="6"/>
        <v>5</v>
      </c>
      <c r="C27" s="3">
        <f t="shared" si="9"/>
        <v>43609</v>
      </c>
      <c r="D27" s="5"/>
      <c r="E27" s="5">
        <v>1083.1500000000001</v>
      </c>
      <c r="F27" s="90"/>
      <c r="G27" s="91"/>
      <c r="H27" s="110"/>
      <c r="I27" s="16">
        <f t="shared" si="7"/>
        <v>1</v>
      </c>
      <c r="J27" s="17">
        <v>43640</v>
      </c>
      <c r="K27" s="18">
        <v>1342.6</v>
      </c>
      <c r="L27" s="18"/>
      <c r="M27" s="14"/>
      <c r="N27" s="14"/>
      <c r="O27" s="136"/>
      <c r="P27" s="114">
        <f t="shared" si="8"/>
        <v>3</v>
      </c>
      <c r="Q27" s="17">
        <v>43670</v>
      </c>
      <c r="R27" s="18">
        <v>938.39</v>
      </c>
      <c r="S27" s="18"/>
      <c r="T27" s="14"/>
      <c r="U27" s="14"/>
      <c r="V27" s="116"/>
      <c r="W27" s="12"/>
      <c r="X27" s="12"/>
      <c r="Y27" s="12"/>
      <c r="Z27" s="1"/>
      <c r="AA27" s="111"/>
      <c r="AB27" s="110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6">
        <v>40</v>
      </c>
      <c r="AJ27" s="114">
        <f t="shared" si="0"/>
        <v>3</v>
      </c>
      <c r="AK27" s="17">
        <v>43733</v>
      </c>
      <c r="AL27" s="269"/>
      <c r="AM27" s="270">
        <v>861.9</v>
      </c>
      <c r="AN27" s="226"/>
      <c r="AO27" s="116"/>
      <c r="AP27" s="138"/>
      <c r="AQ27" s="114">
        <f t="shared" si="1"/>
        <v>5</v>
      </c>
      <c r="AR27" s="17">
        <v>43763</v>
      </c>
      <c r="AS27" s="269">
        <v>874.8</v>
      </c>
      <c r="AT27" s="270"/>
      <c r="AU27" s="226"/>
      <c r="AV27" s="136"/>
      <c r="AW27" s="114">
        <f t="shared" si="2"/>
        <v>1</v>
      </c>
      <c r="AX27" s="17">
        <v>43794</v>
      </c>
      <c r="AY27" s="22">
        <v>825.87</v>
      </c>
      <c r="AZ27" s="22"/>
      <c r="BA27" s="226">
        <v>164.6</v>
      </c>
      <c r="BB27" s="586"/>
      <c r="BC27" s="14"/>
      <c r="BD27" s="138"/>
      <c r="BE27" s="406"/>
      <c r="BF27" s="460">
        <f t="shared" si="4"/>
        <v>3</v>
      </c>
      <c r="BG27" s="461">
        <v>43824</v>
      </c>
      <c r="BH27" s="22"/>
      <c r="BI27" s="22">
        <v>1863.2</v>
      </c>
      <c r="BJ27" s="226"/>
      <c r="BK27" s="307">
        <v>457.1</v>
      </c>
      <c r="BL27" s="617"/>
      <c r="BM27" s="906">
        <f t="shared" si="5"/>
        <v>6</v>
      </c>
      <c r="BN27" s="17">
        <v>43855</v>
      </c>
      <c r="BO27" s="22">
        <v>1211</v>
      </c>
      <c r="BP27" s="22"/>
      <c r="BQ27" s="226">
        <v>544.5</v>
      </c>
      <c r="BR27" s="478"/>
      <c r="BS27" s="226"/>
      <c r="BT27" s="467">
        <v>104.3</v>
      </c>
      <c r="BU27" s="469"/>
      <c r="BV27" s="905"/>
    </row>
    <row r="28" spans="1:74" ht="12.6" customHeight="1">
      <c r="A28" s="110"/>
      <c r="B28" s="4">
        <f t="shared" si="6"/>
        <v>6</v>
      </c>
      <c r="C28" s="3">
        <f t="shared" si="9"/>
        <v>43610</v>
      </c>
      <c r="D28" s="5">
        <v>1197.3499999999999</v>
      </c>
      <c r="E28" s="5"/>
      <c r="F28" s="90"/>
      <c r="G28" s="91"/>
      <c r="H28" s="110"/>
      <c r="I28" s="16">
        <f t="shared" si="7"/>
        <v>2</v>
      </c>
      <c r="J28" s="17">
        <v>43641</v>
      </c>
      <c r="K28" s="18"/>
      <c r="L28" s="18">
        <v>1412.95</v>
      </c>
      <c r="M28" s="14"/>
      <c r="N28" s="14"/>
      <c r="O28" s="136"/>
      <c r="P28" s="114">
        <f t="shared" si="8"/>
        <v>4</v>
      </c>
      <c r="Q28" s="17">
        <v>43671</v>
      </c>
      <c r="R28" s="18">
        <v>1206.46</v>
      </c>
      <c r="S28" s="18"/>
      <c r="T28" s="14"/>
      <c r="U28" s="14"/>
      <c r="V28" s="116"/>
      <c r="W28" s="12"/>
      <c r="X28" s="12"/>
      <c r="Y28" s="12"/>
      <c r="Z28" s="1"/>
      <c r="AA28" s="111"/>
      <c r="AB28" s="110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6">
        <v>36</v>
      </c>
      <c r="AJ28" s="114">
        <f t="shared" si="0"/>
        <v>4</v>
      </c>
      <c r="AK28" s="17">
        <v>43734</v>
      </c>
      <c r="AL28" s="269"/>
      <c r="AM28" s="270">
        <v>761.1</v>
      </c>
      <c r="AN28" s="22"/>
      <c r="AO28" s="391" t="s">
        <v>144</v>
      </c>
      <c r="AP28" s="138"/>
      <c r="AQ28" s="114">
        <f t="shared" si="1"/>
        <v>6</v>
      </c>
      <c r="AR28" s="17">
        <v>43764</v>
      </c>
      <c r="AS28" s="22">
        <v>1710.4</v>
      </c>
      <c r="AT28" s="22"/>
      <c r="AU28" s="22"/>
      <c r="AV28" s="633" t="s">
        <v>144</v>
      </c>
      <c r="AW28" s="114">
        <f t="shared" si="2"/>
        <v>2</v>
      </c>
      <c r="AX28" s="17">
        <v>43795</v>
      </c>
      <c r="AY28" s="22">
        <v>904.9</v>
      </c>
      <c r="AZ28" s="22"/>
      <c r="BA28" s="226">
        <v>148.30000000000001</v>
      </c>
      <c r="BB28" s="586"/>
      <c r="BC28" s="226"/>
      <c r="BD28" s="138"/>
      <c r="BE28" s="406"/>
      <c r="BF28" s="460">
        <f t="shared" si="4"/>
        <v>4</v>
      </c>
      <c r="BG28" s="461">
        <v>43825</v>
      </c>
      <c r="BH28" s="22"/>
      <c r="BI28" s="22">
        <v>887</v>
      </c>
      <c r="BJ28" s="226">
        <v>479.8</v>
      </c>
      <c r="BK28" s="586"/>
      <c r="BL28" s="614"/>
      <c r="BM28" s="906">
        <f t="shared" si="5"/>
        <v>7</v>
      </c>
      <c r="BN28" s="17">
        <v>43856</v>
      </c>
      <c r="BO28" s="22">
        <v>1538.9</v>
      </c>
      <c r="BP28" s="22"/>
      <c r="BQ28" s="226">
        <v>457.85</v>
      </c>
      <c r="BR28" s="479"/>
      <c r="BS28" s="226"/>
      <c r="BT28" s="467">
        <v>319.2</v>
      </c>
      <c r="BU28" s="469"/>
      <c r="BV28" s="905"/>
    </row>
    <row r="29" spans="1:74" ht="12.6" customHeight="1">
      <c r="A29" s="110"/>
      <c r="B29" s="4">
        <f t="shared" si="6"/>
        <v>7</v>
      </c>
      <c r="C29" s="3">
        <f t="shared" si="9"/>
        <v>43611</v>
      </c>
      <c r="D29" s="5">
        <v>995.48</v>
      </c>
      <c r="E29" s="5"/>
      <c r="F29" s="90"/>
      <c r="G29" s="91"/>
      <c r="H29" s="110"/>
      <c r="I29" s="16">
        <f t="shared" si="7"/>
        <v>3</v>
      </c>
      <c r="J29" s="17">
        <v>43642</v>
      </c>
      <c r="K29" s="18"/>
      <c r="L29" s="18">
        <v>1331.7</v>
      </c>
      <c r="M29" s="14"/>
      <c r="N29" s="14"/>
      <c r="O29" s="136"/>
      <c r="P29" s="114">
        <f t="shared" si="8"/>
        <v>5</v>
      </c>
      <c r="Q29" s="17">
        <v>43672</v>
      </c>
      <c r="R29" s="18"/>
      <c r="S29" s="18">
        <v>1176.4000000000001</v>
      </c>
      <c r="T29" s="14"/>
      <c r="U29" s="14"/>
      <c r="V29" s="75"/>
      <c r="W29" s="12"/>
      <c r="X29" s="12"/>
      <c r="Y29" s="12"/>
      <c r="Z29" s="1"/>
      <c r="AA29" s="111"/>
      <c r="AB29" s="110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6">
        <v>69.5</v>
      </c>
      <c r="AJ29" s="114">
        <f t="shared" si="0"/>
        <v>5</v>
      </c>
      <c r="AK29" s="17">
        <v>43735</v>
      </c>
      <c r="AL29" s="269">
        <v>657.65</v>
      </c>
      <c r="AM29" s="269"/>
      <c r="AN29" s="237"/>
      <c r="AO29" s="392" t="s">
        <v>142</v>
      </c>
      <c r="AP29" s="948" t="s">
        <v>145</v>
      </c>
      <c r="AQ29" s="114">
        <f t="shared" si="1"/>
        <v>7</v>
      </c>
      <c r="AR29" s="17">
        <v>43765</v>
      </c>
      <c r="AS29" s="22"/>
      <c r="AT29" s="22">
        <v>1203</v>
      </c>
      <c r="AU29" s="22"/>
      <c r="AV29" s="631" t="s">
        <v>142</v>
      </c>
      <c r="AW29" s="114">
        <f t="shared" si="2"/>
        <v>3</v>
      </c>
      <c r="AX29" s="17">
        <v>43796</v>
      </c>
      <c r="AY29" s="22"/>
      <c r="AZ29" s="22">
        <v>809.7</v>
      </c>
      <c r="BA29" s="226">
        <v>171</v>
      </c>
      <c r="BB29" s="586"/>
      <c r="BC29" s="226"/>
      <c r="BD29" s="138"/>
      <c r="BE29" s="620" t="s">
        <v>223</v>
      </c>
      <c r="BF29" s="460">
        <f t="shared" si="4"/>
        <v>5</v>
      </c>
      <c r="BG29" s="461">
        <v>43826</v>
      </c>
      <c r="BH29" s="22">
        <v>1666.05</v>
      </c>
      <c r="BI29" s="22"/>
      <c r="BJ29" s="226">
        <v>268.64</v>
      </c>
      <c r="BK29" s="595"/>
      <c r="BL29" s="614"/>
      <c r="BM29" s="906">
        <f t="shared" si="5"/>
        <v>1</v>
      </c>
      <c r="BN29" s="17">
        <v>43857</v>
      </c>
      <c r="BO29" s="22"/>
      <c r="BP29" s="22">
        <v>905.6</v>
      </c>
      <c r="BQ29" s="226"/>
      <c r="BR29" s="226">
        <v>328.8</v>
      </c>
      <c r="BS29" s="226"/>
      <c r="BT29" s="467"/>
      <c r="BU29" s="469"/>
      <c r="BV29" s="905"/>
    </row>
    <row r="30" spans="1:74" ht="12.6" customHeight="1">
      <c r="A30" s="110"/>
      <c r="B30" s="4">
        <f t="shared" si="6"/>
        <v>1</v>
      </c>
      <c r="C30" s="3">
        <f t="shared" si="9"/>
        <v>43612</v>
      </c>
      <c r="D30" s="5"/>
      <c r="E30" s="5">
        <v>1224.3</v>
      </c>
      <c r="F30" s="90"/>
      <c r="G30" s="91"/>
      <c r="H30" s="110"/>
      <c r="I30" s="16">
        <f t="shared" si="7"/>
        <v>4</v>
      </c>
      <c r="J30" s="17">
        <v>43643</v>
      </c>
      <c r="K30" s="18">
        <v>1078.4100000000001</v>
      </c>
      <c r="L30" s="18"/>
      <c r="M30" s="14"/>
      <c r="N30" s="14"/>
      <c r="O30" s="136"/>
      <c r="P30" s="114">
        <f t="shared" si="8"/>
        <v>6</v>
      </c>
      <c r="Q30" s="17">
        <v>43673</v>
      </c>
      <c r="R30" s="18"/>
      <c r="S30" s="18">
        <v>1048.5999999999999</v>
      </c>
      <c r="T30" s="14"/>
      <c r="U30" s="14"/>
      <c r="V30" s="116"/>
      <c r="W30" s="12"/>
      <c r="X30" s="12"/>
      <c r="Y30" s="12"/>
      <c r="Z30" s="1"/>
      <c r="AA30" s="111"/>
      <c r="AB30" s="110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6">
        <v>18</v>
      </c>
      <c r="AJ30" s="114">
        <f t="shared" si="0"/>
        <v>6</v>
      </c>
      <c r="AK30" s="17">
        <v>43736</v>
      </c>
      <c r="AL30" s="270">
        <f>720.9+762.84</f>
        <v>1483.74</v>
      </c>
      <c r="AM30" s="270"/>
      <c r="AN30" s="226"/>
      <c r="AO30" s="116"/>
      <c r="AP30" s="948"/>
      <c r="AQ30" s="114">
        <f t="shared" si="1"/>
        <v>1</v>
      </c>
      <c r="AR30" s="17">
        <v>43766</v>
      </c>
      <c r="AS30" s="270"/>
      <c r="AT30" s="270">
        <v>1136.3</v>
      </c>
      <c r="AU30" s="226"/>
      <c r="AV30" s="136"/>
      <c r="AW30" s="114">
        <f t="shared" si="2"/>
        <v>4</v>
      </c>
      <c r="AX30" s="17">
        <v>43797</v>
      </c>
      <c r="AY30" s="22"/>
      <c r="AZ30" s="22">
        <v>487.5</v>
      </c>
      <c r="BA30" s="226"/>
      <c r="BB30" s="226">
        <v>95</v>
      </c>
      <c r="BC30" s="14"/>
      <c r="BD30" s="138"/>
      <c r="BE30" s="406"/>
      <c r="BF30" s="460">
        <f t="shared" si="4"/>
        <v>6</v>
      </c>
      <c r="BG30" s="461">
        <v>43827</v>
      </c>
      <c r="BH30" s="22">
        <v>1458.6</v>
      </c>
      <c r="BI30" s="22"/>
      <c r="BJ30" s="226"/>
      <c r="BK30" s="226">
        <v>255.6</v>
      </c>
      <c r="BL30" s="614"/>
      <c r="BM30" s="906">
        <f t="shared" si="5"/>
        <v>2</v>
      </c>
      <c r="BN30" s="17">
        <v>43858</v>
      </c>
      <c r="BO30" s="22"/>
      <c r="BP30" s="22">
        <v>956.2</v>
      </c>
      <c r="BQ30" s="226"/>
      <c r="BR30" s="226">
        <v>153.5</v>
      </c>
      <c r="BS30" s="226"/>
      <c r="BT30" s="467">
        <v>58.6</v>
      </c>
      <c r="BU30" s="469"/>
      <c r="BV30" s="905"/>
    </row>
    <row r="31" spans="1:74" ht="12.6" customHeight="1">
      <c r="A31" s="110"/>
      <c r="B31" s="4">
        <f t="shared" si="6"/>
        <v>2</v>
      </c>
      <c r="C31" s="3">
        <f t="shared" si="9"/>
        <v>43613</v>
      </c>
      <c r="D31" s="5"/>
      <c r="E31" s="5">
        <v>1124.4000000000001</v>
      </c>
      <c r="F31" s="90"/>
      <c r="G31" s="91"/>
      <c r="H31" s="110"/>
      <c r="I31" s="16">
        <f t="shared" si="7"/>
        <v>5</v>
      </c>
      <c r="J31" s="17">
        <v>43644</v>
      </c>
      <c r="K31" s="18">
        <v>1478.3</v>
      </c>
      <c r="L31" s="18"/>
      <c r="M31" s="14"/>
      <c r="N31" s="14"/>
      <c r="O31" s="136"/>
      <c r="P31" s="114">
        <f t="shared" si="8"/>
        <v>7</v>
      </c>
      <c r="Q31" s="17">
        <v>43674</v>
      </c>
      <c r="R31" s="18">
        <v>716.7</v>
      </c>
      <c r="S31" s="18"/>
      <c r="T31" s="14"/>
      <c r="U31" s="14"/>
      <c r="V31" s="75"/>
      <c r="W31" s="12"/>
      <c r="X31" s="12"/>
      <c r="Y31" s="12"/>
      <c r="Z31" s="1"/>
      <c r="AA31" s="111"/>
      <c r="AB31" s="110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6">
        <v>55.9</v>
      </c>
      <c r="AJ31" s="114">
        <f t="shared" si="0"/>
        <v>7</v>
      </c>
      <c r="AK31" s="17">
        <v>43737</v>
      </c>
      <c r="AL31" s="270"/>
      <c r="AM31" s="270">
        <v>1596.55</v>
      </c>
      <c r="AN31" s="226"/>
      <c r="AO31" s="116"/>
      <c r="AP31" s="948"/>
      <c r="AQ31" s="114">
        <f t="shared" si="1"/>
        <v>2</v>
      </c>
      <c r="AR31" s="17">
        <v>43767</v>
      </c>
      <c r="AS31" s="270">
        <v>830.8</v>
      </c>
      <c r="AT31" s="270"/>
      <c r="AU31" s="226"/>
      <c r="AV31" s="136"/>
      <c r="AW31" s="114">
        <f t="shared" si="2"/>
        <v>5</v>
      </c>
      <c r="AX31" s="17">
        <v>43798</v>
      </c>
      <c r="AY31" s="22">
        <v>1186.0999999999999</v>
      </c>
      <c r="AZ31" s="22"/>
      <c r="BA31" s="226"/>
      <c r="BB31" s="226">
        <v>613.26</v>
      </c>
      <c r="BC31" s="14"/>
      <c r="BD31" s="138"/>
      <c r="BE31" s="406"/>
      <c r="BF31" s="460">
        <f t="shared" si="4"/>
        <v>7</v>
      </c>
      <c r="BG31" s="461">
        <v>43828</v>
      </c>
      <c r="BH31" s="22"/>
      <c r="BI31" s="22">
        <v>1030.5</v>
      </c>
      <c r="BJ31" s="226"/>
      <c r="BK31" s="226">
        <v>181.5</v>
      </c>
      <c r="BL31" s="614"/>
      <c r="BM31" s="906">
        <f t="shared" si="5"/>
        <v>3</v>
      </c>
      <c r="BN31" s="17">
        <v>43859</v>
      </c>
      <c r="BO31" s="22">
        <v>1013.65</v>
      </c>
      <c r="BP31" s="22"/>
      <c r="BQ31" s="226">
        <v>192.05</v>
      </c>
      <c r="BR31" s="226"/>
      <c r="BS31" s="226"/>
      <c r="BT31" s="467">
        <v>116.1</v>
      </c>
      <c r="BU31" s="467"/>
      <c r="BV31" s="908"/>
    </row>
    <row r="32" spans="1:74" ht="12.6" customHeight="1">
      <c r="A32" s="110"/>
      <c r="B32" s="4">
        <f t="shared" si="6"/>
        <v>3</v>
      </c>
      <c r="C32" s="3">
        <f t="shared" si="9"/>
        <v>43614</v>
      </c>
      <c r="D32" s="5">
        <v>927</v>
      </c>
      <c r="E32" s="5"/>
      <c r="F32" s="90"/>
      <c r="G32" s="91"/>
      <c r="H32" s="110"/>
      <c r="I32" s="16">
        <f t="shared" si="7"/>
        <v>6</v>
      </c>
      <c r="J32" s="17">
        <v>43645</v>
      </c>
      <c r="K32" s="18"/>
      <c r="L32" s="18">
        <v>947.4</v>
      </c>
      <c r="M32" s="14"/>
      <c r="N32" s="14"/>
      <c r="O32" s="231"/>
      <c r="P32" s="114">
        <f t="shared" si="8"/>
        <v>1</v>
      </c>
      <c r="Q32" s="17">
        <v>43675</v>
      </c>
      <c r="R32" s="18">
        <v>1458.34</v>
      </c>
      <c r="S32" s="18"/>
      <c r="T32" s="14"/>
      <c r="U32" s="14"/>
      <c r="V32" s="116"/>
      <c r="W32" s="12"/>
      <c r="X32" s="12"/>
      <c r="Y32" s="12"/>
      <c r="Z32" s="1"/>
      <c r="AA32" s="111"/>
      <c r="AB32" s="110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6"/>
      <c r="AJ32" s="117">
        <f t="shared" si="0"/>
        <v>1</v>
      </c>
      <c r="AK32" s="17">
        <v>43738</v>
      </c>
      <c r="AL32" s="271"/>
      <c r="AM32" s="272">
        <f>619.7+268.4</f>
        <v>888.1</v>
      </c>
      <c r="AN32" s="229"/>
      <c r="AO32" s="116"/>
      <c r="AP32" s="948"/>
      <c r="AQ32" s="114">
        <f t="shared" si="1"/>
        <v>3</v>
      </c>
      <c r="AR32" s="17">
        <v>43768</v>
      </c>
      <c r="AS32" s="269">
        <v>754.4</v>
      </c>
      <c r="AT32" s="270"/>
      <c r="AU32" s="226"/>
      <c r="AV32" s="136"/>
      <c r="AW32" s="114">
        <f t="shared" si="2"/>
        <v>6</v>
      </c>
      <c r="AX32" s="17">
        <v>43799</v>
      </c>
      <c r="AY32" s="22">
        <v>338.85</v>
      </c>
      <c r="AZ32" s="22"/>
      <c r="BA32" s="226"/>
      <c r="BB32" s="226">
        <v>99.1</v>
      </c>
      <c r="BC32" s="18">
        <f>(501.38+458.5)-AY32</f>
        <v>621.03</v>
      </c>
      <c r="BD32" s="138"/>
      <c r="BE32" s="620" t="s">
        <v>223</v>
      </c>
      <c r="BF32" s="460">
        <f t="shared" si="4"/>
        <v>1</v>
      </c>
      <c r="BG32" s="461">
        <v>43829</v>
      </c>
      <c r="BH32" s="22"/>
      <c r="BI32" s="22">
        <v>1501.3</v>
      </c>
      <c r="BJ32" s="226"/>
      <c r="BK32" s="226">
        <v>417.8</v>
      </c>
      <c r="BL32" s="619"/>
      <c r="BM32" s="906">
        <f t="shared" si="5"/>
        <v>4</v>
      </c>
      <c r="BN32" s="17">
        <v>43860</v>
      </c>
      <c r="BO32" s="22">
        <v>1171.5999999999999</v>
      </c>
      <c r="BP32" s="22"/>
      <c r="BQ32" s="226">
        <v>227.1</v>
      </c>
      <c r="BR32" s="226"/>
      <c r="BS32" s="22"/>
      <c r="BT32" s="470">
        <v>107.31</v>
      </c>
      <c r="BU32" s="470"/>
      <c r="BV32" s="908"/>
    </row>
    <row r="33" spans="1:74" ht="12.6" customHeight="1" thickBot="1">
      <c r="A33" s="110"/>
      <c r="B33" s="4">
        <f t="shared" si="6"/>
        <v>4</v>
      </c>
      <c r="C33" s="3">
        <f t="shared" si="9"/>
        <v>43615</v>
      </c>
      <c r="D33" s="5">
        <v>885.9</v>
      </c>
      <c r="E33" s="5"/>
      <c r="F33" s="90"/>
      <c r="G33" s="91"/>
      <c r="H33" s="147"/>
      <c r="I33" s="24">
        <f t="shared" si="7"/>
        <v>7</v>
      </c>
      <c r="J33" s="17">
        <v>43646</v>
      </c>
      <c r="K33" s="25"/>
      <c r="L33" s="25">
        <v>626.1</v>
      </c>
      <c r="M33" s="26"/>
      <c r="N33" s="26"/>
      <c r="O33" s="136"/>
      <c r="P33" s="117">
        <f t="shared" si="8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6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1"/>
      <c r="AB33" s="110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6"/>
      <c r="AJ33" s="386">
        <f t="shared" si="0"/>
        <v>2</v>
      </c>
      <c r="AK33" s="17">
        <v>43739</v>
      </c>
      <c r="AL33" s="247"/>
      <c r="AM33" s="249"/>
      <c r="AN33" s="250"/>
      <c r="AO33" s="1"/>
      <c r="AP33" s="948"/>
      <c r="AQ33" s="114">
        <f t="shared" si="1"/>
        <v>4</v>
      </c>
      <c r="AR33" s="17">
        <v>43769</v>
      </c>
      <c r="AS33" s="237"/>
      <c r="AT33" s="237">
        <v>1299.51</v>
      </c>
      <c r="AU33" s="226"/>
      <c r="AV33" s="111"/>
      <c r="AW33" s="559"/>
      <c r="AX33" s="304"/>
      <c r="AY33" s="236"/>
      <c r="AZ33" s="236"/>
      <c r="BA33" s="305"/>
      <c r="BB33" s="305"/>
      <c r="BC33" s="1"/>
      <c r="BD33" s="138"/>
      <c r="BE33" s="620" t="s">
        <v>223</v>
      </c>
      <c r="BF33" s="460">
        <f t="shared" si="4"/>
        <v>2</v>
      </c>
      <c r="BG33" s="461">
        <v>43830</v>
      </c>
      <c r="BH33" s="237">
        <v>984.2</v>
      </c>
      <c r="BI33" s="237"/>
      <c r="BJ33" s="226"/>
      <c r="BK33" s="226"/>
      <c r="BL33" s="621">
        <v>416.41</v>
      </c>
      <c r="BM33" s="906">
        <f t="shared" si="5"/>
        <v>5</v>
      </c>
      <c r="BN33" s="17">
        <v>43861</v>
      </c>
      <c r="BO33" s="237"/>
      <c r="BP33" s="237">
        <v>774.3</v>
      </c>
      <c r="BQ33" s="226"/>
      <c r="BR33" s="226">
        <v>287.8</v>
      </c>
      <c r="BS33" s="807"/>
      <c r="BT33" s="470">
        <v>68.58</v>
      </c>
      <c r="BU33" s="470"/>
      <c r="BV33" s="908"/>
    </row>
    <row r="34" spans="1:74" ht="12.6" customHeight="1" thickBot="1">
      <c r="A34" s="110"/>
      <c r="B34" s="4">
        <f t="shared" si="6"/>
        <v>5</v>
      </c>
      <c r="C34" s="3">
        <f t="shared" si="9"/>
        <v>43616</v>
      </c>
      <c r="D34" s="5"/>
      <c r="E34" s="5">
        <v>1239.95</v>
      </c>
      <c r="F34" s="90"/>
      <c r="G34" s="91"/>
      <c r="H34" s="110"/>
      <c r="I34" s="28"/>
      <c r="J34" s="29"/>
      <c r="K34" s="30"/>
      <c r="L34" s="30"/>
      <c r="M34" s="7"/>
      <c r="N34" s="7"/>
      <c r="O34" s="111"/>
      <c r="P34" s="114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1"/>
      <c r="AB34" s="110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1">
        <f>SUM(AI3:AI33)</f>
        <v>1209.3000000000002</v>
      </c>
      <c r="AJ34" s="118"/>
      <c r="AK34" s="248" t="s">
        <v>3</v>
      </c>
      <c r="AL34" s="248">
        <v>4</v>
      </c>
      <c r="AM34" s="248">
        <f>COUNT(AM3:AM33)</f>
        <v>17</v>
      </c>
      <c r="AN34" s="248">
        <f>COUNT(AN3:AN33)</f>
        <v>5</v>
      </c>
      <c r="AO34" s="1"/>
      <c r="AP34" s="948"/>
      <c r="AQ34" s="118"/>
      <c r="AR34" s="248" t="s">
        <v>3</v>
      </c>
      <c r="AS34" s="248">
        <f>COUNT(AS3:AS33)</f>
        <v>14</v>
      </c>
      <c r="AT34" s="248">
        <f>COUNT(AT3:AT33)</f>
        <v>14</v>
      </c>
      <c r="AU34" s="248">
        <v>5</v>
      </c>
      <c r="AV34" s="111"/>
      <c r="AW34" s="118"/>
      <c r="AX34" s="85" t="s">
        <v>3</v>
      </c>
      <c r="AY34" s="85">
        <f>COUNT(AY3:AY33)</f>
        <v>14</v>
      </c>
      <c r="AZ34" s="85">
        <f>COUNT(AZ3:AZ33)</f>
        <v>15</v>
      </c>
      <c r="BA34" s="85">
        <f>COUNT(BA3:BA33)</f>
        <v>6</v>
      </c>
      <c r="BB34" s="85">
        <f>COUNT(BB3:BB33)</f>
        <v>6</v>
      </c>
      <c r="BC34" s="1"/>
      <c r="BD34" s="138"/>
      <c r="BE34" s="110"/>
      <c r="BF34" s="116"/>
      <c r="BG34" s="85" t="s">
        <v>225</v>
      </c>
      <c r="BH34" s="85">
        <v>15</v>
      </c>
      <c r="BI34" s="85">
        <f>COUNT(BI3:BI33)</f>
        <v>16</v>
      </c>
      <c r="BJ34" s="85">
        <f>COUNT(BJ3:BJ33)</f>
        <v>14</v>
      </c>
      <c r="BK34" s="85">
        <f>COUNT(BK3:BK33)</f>
        <v>18</v>
      </c>
      <c r="BL34" s="111"/>
      <c r="BM34" s="118"/>
      <c r="BN34" s="487" t="s">
        <v>225</v>
      </c>
      <c r="BO34" s="85">
        <f>COUNT(BO3:BO33)</f>
        <v>15</v>
      </c>
      <c r="BP34" s="85">
        <f>COUNT(BP3:BP33)</f>
        <v>15</v>
      </c>
      <c r="BQ34" s="85">
        <f>COUNT(BQ3:BQ33)</f>
        <v>12</v>
      </c>
      <c r="BR34" s="85">
        <f>COUNT(BR3:BR33)</f>
        <v>18</v>
      </c>
      <c r="BS34" s="1"/>
      <c r="BT34" s="470"/>
      <c r="BU34" s="470"/>
      <c r="BV34" s="453" t="s">
        <v>219</v>
      </c>
    </row>
    <row r="35" spans="1:74" ht="15.75" thickBot="1">
      <c r="A35" s="110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0"/>
      <c r="I35" s="116"/>
      <c r="J35" s="113" t="s">
        <v>3</v>
      </c>
      <c r="K35" s="113">
        <f>COUNT(K4:K34)</f>
        <v>10</v>
      </c>
      <c r="L35" s="113">
        <f>COUNT(L4:L34)</f>
        <v>16</v>
      </c>
      <c r="M35" s="10">
        <f>COUNT(M4:M34)</f>
        <v>4</v>
      </c>
      <c r="N35" s="10">
        <f>COUNT(N4:N34)</f>
        <v>0</v>
      </c>
      <c r="O35" s="111"/>
      <c r="P35" s="118"/>
      <c r="Q35" s="62" t="s">
        <v>3</v>
      </c>
      <c r="R35" s="63">
        <f>COUNT(R4:R34)</f>
        <v>16</v>
      </c>
      <c r="S35" s="64">
        <f>COUNT(S4:S34)</f>
        <v>14</v>
      </c>
      <c r="T35" s="113">
        <f>COUNT(T4:T34)</f>
        <v>0</v>
      </c>
      <c r="U35" s="113">
        <f>COUNT(U4:U34)</f>
        <v>2</v>
      </c>
      <c r="V35" s="1"/>
      <c r="W35" s="12"/>
      <c r="X35" s="5" t="s">
        <v>2</v>
      </c>
      <c r="Y35" s="586" t="s">
        <v>96</v>
      </c>
      <c r="Z35" s="586" t="s">
        <v>73</v>
      </c>
      <c r="AA35" s="119" t="s">
        <v>22</v>
      </c>
      <c r="AB35" s="110"/>
      <c r="AC35" s="116"/>
      <c r="AD35" s="591" t="s">
        <v>3</v>
      </c>
      <c r="AE35" s="592">
        <f>COUNT(AE4:AE34)</f>
        <v>18</v>
      </c>
      <c r="AF35" s="173">
        <f>COUNT(AF4:AF34)</f>
        <v>4</v>
      </c>
      <c r="AG35" s="592">
        <f>COUNT(AG4:AG34)</f>
        <v>0</v>
      </c>
      <c r="AH35" s="593">
        <f>COUNT(AH4:AH34)</f>
        <v>11</v>
      </c>
      <c r="AI35" s="111"/>
      <c r="AJ35" s="118"/>
      <c r="AK35" s="85" t="s">
        <v>143</v>
      </c>
      <c r="AL35" s="85"/>
      <c r="AM35" s="85">
        <v>1</v>
      </c>
      <c r="AN35" s="251">
        <v>1</v>
      </c>
      <c r="AO35" s="253" t="s">
        <v>146</v>
      </c>
      <c r="AP35" s="138"/>
      <c r="AQ35" s="118"/>
      <c r="AR35" s="85" t="s">
        <v>143</v>
      </c>
      <c r="AS35" s="85"/>
      <c r="AT35" s="85"/>
      <c r="AU35" s="251">
        <v>1</v>
      </c>
      <c r="AV35" s="253" t="s">
        <v>146</v>
      </c>
      <c r="AW35" s="118"/>
      <c r="AX35" s="85" t="s">
        <v>143</v>
      </c>
      <c r="AY35" s="85"/>
      <c r="AZ35" s="85">
        <v>1</v>
      </c>
      <c r="BA35" s="85">
        <v>1</v>
      </c>
      <c r="BB35" s="251"/>
      <c r="BC35" s="253" t="s">
        <v>189</v>
      </c>
      <c r="BD35" s="292" t="s">
        <v>190</v>
      </c>
      <c r="BE35" s="110"/>
      <c r="BF35" s="116"/>
      <c r="BG35" s="959" t="s">
        <v>231</v>
      </c>
      <c r="BH35" s="960"/>
      <c r="BI35" s="960"/>
      <c r="BJ35" s="960"/>
      <c r="BK35" s="961"/>
      <c r="BL35" s="111"/>
      <c r="BM35" s="118"/>
      <c r="BN35" s="85" t="s">
        <v>13</v>
      </c>
      <c r="BO35" s="238">
        <f>SUM(BO3:BO33)</f>
        <v>15012.880000000001</v>
      </c>
      <c r="BP35" s="238">
        <f>SUM(BP3:BP33)</f>
        <v>13878.52</v>
      </c>
      <c r="BQ35" s="238">
        <f>SUM(BQ3:BQ33)</f>
        <v>3335.8199999999997</v>
      </c>
      <c r="BR35" s="238">
        <f>SUM(BR3:BR33)</f>
        <v>5087.8200000000006</v>
      </c>
      <c r="BS35" s="1"/>
      <c r="BT35" s="109" t="s">
        <v>189</v>
      </c>
      <c r="BU35" s="292" t="s">
        <v>190</v>
      </c>
      <c r="BV35" s="454">
        <f>SUM(BT3:BT33)</f>
        <v>3192.5899999999997</v>
      </c>
    </row>
    <row r="36" spans="1:74" ht="15.75" thickBot="1">
      <c r="A36" s="110"/>
      <c r="B36" s="1"/>
      <c r="C36" s="10" t="s">
        <v>13</v>
      </c>
      <c r="D36" s="137">
        <f>SUM(D4:D34)</f>
        <v>16255.77</v>
      </c>
      <c r="E36" s="137">
        <f>SUM(E4:E34)</f>
        <v>17136.399999999998</v>
      </c>
      <c r="F36" s="137">
        <f>SUM(F4:F34)</f>
        <v>0</v>
      </c>
      <c r="G36" s="137">
        <f>SUM(G4:G34)</f>
        <v>0</v>
      </c>
      <c r="H36" s="147">
        <f>SUM(D4:F34)</f>
        <v>33392.170000000006</v>
      </c>
      <c r="I36" s="75"/>
      <c r="J36" s="113" t="s">
        <v>13</v>
      </c>
      <c r="K36" s="66">
        <f>SUM(K4:K34)</f>
        <v>12253.07</v>
      </c>
      <c r="L36" s="66">
        <f>SUM(L4:L34)</f>
        <v>16676.25</v>
      </c>
      <c r="M36" s="137">
        <f>SUM(M4:M34)</f>
        <v>3880.58</v>
      </c>
      <c r="N36" s="137">
        <f>SUM(N4:N34)</f>
        <v>0</v>
      </c>
      <c r="O36" s="440">
        <f>SUM(K4:N33)</f>
        <v>32809.9</v>
      </c>
      <c r="P36" s="118"/>
      <c r="Q36" s="65" t="s">
        <v>13</v>
      </c>
      <c r="R36" s="66">
        <f>SUM(R4:R34)</f>
        <v>17915.129999999997</v>
      </c>
      <c r="S36" s="67">
        <f>SUM(S4:S34)</f>
        <v>15812.350000000002</v>
      </c>
      <c r="T36" s="66">
        <f>SUM(T4:T34)</f>
        <v>0</v>
      </c>
      <c r="U36" s="66">
        <f>SUM(U4:U34)</f>
        <v>1532.1</v>
      </c>
      <c r="V36" s="147">
        <f>SUM(R4:U34)</f>
        <v>35259.58</v>
      </c>
      <c r="W36" s="12"/>
      <c r="X36" s="3">
        <v>43648</v>
      </c>
      <c r="Y36" s="586">
        <v>3</v>
      </c>
      <c r="Z36" s="586"/>
      <c r="AA36" s="120"/>
      <c r="AB36" s="110"/>
      <c r="AC36" s="116"/>
      <c r="AD36" s="174" t="s">
        <v>13</v>
      </c>
      <c r="AE36" s="66">
        <f>SUM(AE4:AE34)</f>
        <v>19113.339999999997</v>
      </c>
      <c r="AF36" s="67">
        <f>SUM(AF4:AF34)</f>
        <v>3797</v>
      </c>
      <c r="AG36" s="66">
        <f>SUM(AG4:AG34)</f>
        <v>0</v>
      </c>
      <c r="AH36" s="175">
        <f>SUM(AH4:AH34)</f>
        <v>11779.88</v>
      </c>
      <c r="AI36" s="138">
        <f>SUM(AE4:AH34)</f>
        <v>34690.219999999994</v>
      </c>
      <c r="AJ36" s="118"/>
      <c r="AK36" s="85" t="s">
        <v>13</v>
      </c>
      <c r="AL36" s="238">
        <f>SUM(AL25:AL33)</f>
        <v>3815.66</v>
      </c>
      <c r="AM36" s="238">
        <f>SUM(AM3:AM33)</f>
        <v>18148.759999999998</v>
      </c>
      <c r="AN36" s="252">
        <f>SUM(AN3:AN33)</f>
        <v>4787.8599999999997</v>
      </c>
      <c r="AO36" s="254">
        <f>SUM(AL3:AN32)</f>
        <v>30955.48</v>
      </c>
      <c r="AP36" s="138"/>
      <c r="AQ36" s="118"/>
      <c r="AR36" s="85" t="s">
        <v>13</v>
      </c>
      <c r="AS36" s="238">
        <f>SUM(AS3:AS33)</f>
        <v>14125.789999999997</v>
      </c>
      <c r="AT36" s="238">
        <f>SUM(AT3:AT33)</f>
        <v>13740.66</v>
      </c>
      <c r="AU36" s="238">
        <f>SUM(AU3:AU33)</f>
        <v>3372.99</v>
      </c>
      <c r="AV36" s="292">
        <f>SUM(AS3:AU33)</f>
        <v>31239.439999999995</v>
      </c>
      <c r="AW36" s="118"/>
      <c r="AX36" s="85" t="s">
        <v>13</v>
      </c>
      <c r="AY36" s="238">
        <f>SUM(AY3:AY33)</f>
        <v>13429.570000000002</v>
      </c>
      <c r="AZ36" s="238">
        <f>SUM(AZ3:AZ33)</f>
        <v>13747.990000000002</v>
      </c>
      <c r="BA36" s="238">
        <f>SUM(BA3:BA33)</f>
        <v>2269.8000000000002</v>
      </c>
      <c r="BB36" s="252">
        <f>SUM(BB3:BB33)</f>
        <v>1339</v>
      </c>
      <c r="BC36" s="292">
        <f>SUM(AY3:AZ32)+BA15+BA16+BC32</f>
        <v>28986.99</v>
      </c>
      <c r="BD36" s="292">
        <f>SUM(BA23:BB32)</f>
        <v>2420.3999999999996</v>
      </c>
      <c r="BE36" s="110"/>
      <c r="BF36" s="116"/>
      <c r="BG36" s="962" t="s">
        <v>232</v>
      </c>
      <c r="BH36" s="963"/>
      <c r="BI36" s="963"/>
      <c r="BJ36" s="963"/>
      <c r="BK36" s="964"/>
      <c r="BL36" s="111"/>
      <c r="BM36" s="118"/>
      <c r="BN36" s="85" t="s">
        <v>22</v>
      </c>
      <c r="BO36" s="238">
        <v>13958.07</v>
      </c>
      <c r="BP36" s="238">
        <v>12530.45</v>
      </c>
      <c r="BQ36" s="238">
        <v>3196.72</v>
      </c>
      <c r="BR36" s="238">
        <v>4997.92</v>
      </c>
      <c r="BS36" s="1"/>
      <c r="BT36" s="471">
        <f>SUM(BO3:BP33)</f>
        <v>28891.4</v>
      </c>
      <c r="BU36" s="292">
        <f>SUM(BQ3:BR33)</f>
        <v>8423.6400000000012</v>
      </c>
      <c r="BV36" s="909"/>
    </row>
    <row r="37" spans="1:74">
      <c r="A37" s="110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0"/>
      <c r="I37" s="116"/>
      <c r="J37" s="113" t="s">
        <v>22</v>
      </c>
      <c r="K37" s="66">
        <v>11684.77</v>
      </c>
      <c r="L37" s="66">
        <v>14949.4</v>
      </c>
      <c r="M37" s="10"/>
      <c r="N37" s="10"/>
      <c r="O37" s="111"/>
      <c r="P37" s="118"/>
      <c r="Q37" s="65" t="s">
        <v>22</v>
      </c>
      <c r="R37" s="66">
        <v>17231.86</v>
      </c>
      <c r="S37" s="67">
        <v>14644.26</v>
      </c>
      <c r="T37" s="113"/>
      <c r="U37" s="113">
        <v>1447.4</v>
      </c>
      <c r="V37" s="12"/>
      <c r="W37" s="12"/>
      <c r="X37" s="3">
        <v>43649</v>
      </c>
      <c r="Y37" s="586">
        <v>3</v>
      </c>
      <c r="Z37" s="586"/>
      <c r="AA37" s="120"/>
      <c r="AB37" s="110"/>
      <c r="AC37" s="116"/>
      <c r="AD37" s="174" t="s">
        <v>22</v>
      </c>
      <c r="AE37" s="66">
        <v>19184.04</v>
      </c>
      <c r="AF37" s="67">
        <v>3422.9</v>
      </c>
      <c r="AG37" s="113"/>
      <c r="AH37" s="175">
        <v>10358.68</v>
      </c>
      <c r="AI37" s="138"/>
      <c r="AJ37" s="118"/>
      <c r="AK37" s="85" t="s">
        <v>22</v>
      </c>
      <c r="AL37" s="238">
        <f>3315.16+16</f>
        <v>3331.16</v>
      </c>
      <c r="AM37" s="238">
        <v>15758.81</v>
      </c>
      <c r="AN37" s="238">
        <v>4370.82</v>
      </c>
      <c r="AO37" s="12"/>
      <c r="AP37" s="138"/>
      <c r="AQ37" s="118"/>
      <c r="AR37" s="85" t="s">
        <v>22</v>
      </c>
      <c r="AS37" s="238">
        <v>11831.39</v>
      </c>
      <c r="AT37" s="238">
        <v>12143.31</v>
      </c>
      <c r="AU37" s="238">
        <v>2674.84</v>
      </c>
      <c r="AV37" s="138"/>
      <c r="AW37" s="118"/>
      <c r="AX37" s="85" t="s">
        <v>22</v>
      </c>
      <c r="AY37" s="238">
        <v>10499.12</v>
      </c>
      <c r="AZ37" s="238">
        <v>10580.94</v>
      </c>
      <c r="BA37" s="238">
        <v>1901.5</v>
      </c>
      <c r="BB37" s="238">
        <v>681.74</v>
      </c>
      <c r="BC37" s="12"/>
      <c r="BD37" s="138"/>
      <c r="BE37" s="110"/>
      <c r="BF37" s="116"/>
      <c r="BG37" s="965" t="s">
        <v>230</v>
      </c>
      <c r="BH37" s="966"/>
      <c r="BI37" s="966"/>
      <c r="BJ37" s="966"/>
      <c r="BK37" s="967"/>
      <c r="BL37" s="111"/>
      <c r="BM37" s="118"/>
      <c r="BN37" s="85" t="s">
        <v>5</v>
      </c>
      <c r="BO37" s="88">
        <f>ABS(BO35-BO36)</f>
        <v>1054.8100000000013</v>
      </c>
      <c r="BP37" s="88">
        <f>ABS(BP35-BP36)</f>
        <v>1348.0699999999997</v>
      </c>
      <c r="BQ37" s="88">
        <f>ABS(BQ35-BQ36)</f>
        <v>139.09999999999991</v>
      </c>
      <c r="BR37" s="88">
        <f>ABS(BR35-BR36)</f>
        <v>89.900000000000546</v>
      </c>
      <c r="BS37" s="1"/>
      <c r="BT37" s="363"/>
      <c r="BU37" s="363"/>
      <c r="BV37" s="909"/>
    </row>
    <row r="38" spans="1:74" ht="19.5" outlineLevel="1">
      <c r="A38" s="110"/>
      <c r="B38" s="1"/>
      <c r="C38" s="10" t="s">
        <v>5</v>
      </c>
      <c r="D38" s="139">
        <f>D36-D37</f>
        <v>440.89999999999964</v>
      </c>
      <c r="E38" s="139">
        <f>E36-E37</f>
        <v>1457.1499999999978</v>
      </c>
      <c r="F38" s="141">
        <f>F36-F37</f>
        <v>0</v>
      </c>
      <c r="G38" s="141">
        <f>G36-G37</f>
        <v>0</v>
      </c>
      <c r="H38" s="110"/>
      <c r="I38" s="116"/>
      <c r="J38" s="113" t="s">
        <v>5</v>
      </c>
      <c r="K38" s="68">
        <f>K36-K37</f>
        <v>568.29999999999927</v>
      </c>
      <c r="L38" s="68">
        <f>L36-L37</f>
        <v>1726.8500000000004</v>
      </c>
      <c r="M38" s="139">
        <f>ABS(M36-M37)</f>
        <v>3880.58</v>
      </c>
      <c r="N38" s="139">
        <f>ABS(N36-N37)</f>
        <v>0</v>
      </c>
      <c r="O38" s="111"/>
      <c r="P38" s="118"/>
      <c r="Q38" s="65" t="s">
        <v>5</v>
      </c>
      <c r="R38" s="68">
        <f>R36-R37</f>
        <v>683.2699999999968</v>
      </c>
      <c r="S38" s="69">
        <f>S36-S37</f>
        <v>1168.090000000002</v>
      </c>
      <c r="T38" s="68">
        <f>ABS(T36-T37)</f>
        <v>0</v>
      </c>
      <c r="U38" s="68">
        <f>ABS(U36-U37)</f>
        <v>84.699999999999818</v>
      </c>
      <c r="V38" s="1"/>
      <c r="W38" s="1"/>
      <c r="X38" s="3">
        <v>43650</v>
      </c>
      <c r="Y38" s="586">
        <v>2.5</v>
      </c>
      <c r="Z38" s="586"/>
      <c r="AA38" s="120"/>
      <c r="AB38" s="110"/>
      <c r="AC38" s="116"/>
      <c r="AD38" s="174" t="s">
        <v>5</v>
      </c>
      <c r="AE38" s="68">
        <f>AE36-AE37</f>
        <v>-70.700000000004366</v>
      </c>
      <c r="AF38" s="69">
        <f>AF36-AF37</f>
        <v>374.09999999999991</v>
      </c>
      <c r="AG38" s="68">
        <f>ABS(AG36-AG37)</f>
        <v>0</v>
      </c>
      <c r="AH38" s="176">
        <f>ABS(AH36-AH37)</f>
        <v>1421.1999999999989</v>
      </c>
      <c r="AI38" s="111"/>
      <c r="AJ38" s="123"/>
      <c r="AK38" s="85" t="s">
        <v>5</v>
      </c>
      <c r="AL38" s="88">
        <f>AL36-AL37</f>
        <v>484.5</v>
      </c>
      <c r="AM38" s="88">
        <f>AM36-AM37</f>
        <v>2389.9499999999989</v>
      </c>
      <c r="AN38" s="88">
        <f>ABS(AN36-AN37)</f>
        <v>417.03999999999996</v>
      </c>
      <c r="AO38" s="1"/>
      <c r="AP38" s="111"/>
      <c r="AQ38" s="123"/>
      <c r="AR38" s="85" t="s">
        <v>5</v>
      </c>
      <c r="AS38" s="88">
        <f>AS36-AS37</f>
        <v>2294.3999999999978</v>
      </c>
      <c r="AT38" s="88">
        <f>AT36-AT37</f>
        <v>1597.3500000000004</v>
      </c>
      <c r="AU38" s="88">
        <f>ABS(AU36-AU37)</f>
        <v>698.14999999999964</v>
      </c>
      <c r="AV38" s="111"/>
      <c r="AW38" s="123"/>
      <c r="AX38" s="85" t="s">
        <v>5</v>
      </c>
      <c r="AY38" s="88">
        <f>AY36-AY37</f>
        <v>2930.4500000000007</v>
      </c>
      <c r="AZ38" s="88">
        <f>AZ36-AZ37</f>
        <v>3167.0500000000011</v>
      </c>
      <c r="BA38" s="88">
        <f>ABS(BA36-BA37)</f>
        <v>368.30000000000018</v>
      </c>
      <c r="BB38" s="88">
        <f>ABS(BB36-BB37)</f>
        <v>657.26</v>
      </c>
      <c r="BC38" s="1"/>
      <c r="BD38" s="111"/>
      <c r="BE38" s="110"/>
      <c r="BF38" s="116"/>
      <c r="BG38" s="85" t="s">
        <v>13</v>
      </c>
      <c r="BH38" s="238">
        <f>SUM(BH3:BH33)</f>
        <v>15031.999999999998</v>
      </c>
      <c r="BI38" s="238">
        <f>SUM(BI3:BI33)</f>
        <v>15745.989999999998</v>
      </c>
      <c r="BJ38" s="238">
        <f>SUM(BJ3:BJ33)</f>
        <v>3136.83</v>
      </c>
      <c r="BK38" s="238">
        <f>SUM(BK3:BK33)</f>
        <v>4076.4500000000007</v>
      </c>
      <c r="BL38" s="111"/>
      <c r="BM38" s="118"/>
      <c r="BN38" s="487" t="s">
        <v>233</v>
      </c>
      <c r="BO38" s="89">
        <f>ROUND(BO37*1%,2)</f>
        <v>10.55</v>
      </c>
      <c r="BP38" s="89">
        <f>ROUND(BP37*1%,2)</f>
        <v>13.48</v>
      </c>
      <c r="BQ38" s="89">
        <f>ROUND(BQ37*1%,2)</f>
        <v>1.39</v>
      </c>
      <c r="BR38" s="472">
        <f>ROUND(BR37*1%,2)</f>
        <v>0.9</v>
      </c>
      <c r="BS38" s="1"/>
      <c r="BT38" s="363"/>
      <c r="BU38" s="363"/>
      <c r="BV38" s="405"/>
    </row>
    <row r="39" spans="1:74" ht="19.5" outlineLevel="1">
      <c r="A39" s="110"/>
      <c r="B39" s="1"/>
      <c r="C39" s="10" t="s">
        <v>8</v>
      </c>
      <c r="D39" s="140">
        <f>D38*1%</f>
        <v>4.4089999999999963</v>
      </c>
      <c r="E39" s="140">
        <f>E38*1%</f>
        <v>14.571499999999979</v>
      </c>
      <c r="F39" s="140">
        <f>F38*1%</f>
        <v>0</v>
      </c>
      <c r="G39" s="140">
        <f>G38*1%</f>
        <v>0</v>
      </c>
      <c r="H39" s="110"/>
      <c r="I39" s="116"/>
      <c r="J39" s="113" t="s">
        <v>8</v>
      </c>
      <c r="K39" s="70">
        <f>K38*1%</f>
        <v>5.6829999999999927</v>
      </c>
      <c r="L39" s="70">
        <f>L38*1%</f>
        <v>17.268500000000003</v>
      </c>
      <c r="M39" s="140">
        <f>M38*1%</f>
        <v>38.805799999999998</v>
      </c>
      <c r="N39" s="140">
        <f>N38*1%</f>
        <v>0</v>
      </c>
      <c r="O39" s="138"/>
      <c r="P39" s="118"/>
      <c r="Q39" s="65" t="s">
        <v>74</v>
      </c>
      <c r="R39" s="70">
        <f>R38*1%</f>
        <v>6.832699999999968</v>
      </c>
      <c r="S39" s="71">
        <f>S38*1%</f>
        <v>11.680900000000021</v>
      </c>
      <c r="T39" s="121">
        <f>T38*1%</f>
        <v>0</v>
      </c>
      <c r="U39" s="121">
        <f>U38*1%</f>
        <v>0.8469999999999982</v>
      </c>
      <c r="V39" s="1"/>
      <c r="W39" s="1"/>
      <c r="X39" s="3">
        <v>43651</v>
      </c>
      <c r="Y39" s="586">
        <v>8.5</v>
      </c>
      <c r="Z39" s="586"/>
      <c r="AA39" s="120"/>
      <c r="AB39" s="110"/>
      <c r="AC39" s="116"/>
      <c r="AD39" s="174" t="s">
        <v>74</v>
      </c>
      <c r="AE39" s="70">
        <f>AE38*1%</f>
        <v>-0.7070000000000437</v>
      </c>
      <c r="AF39" s="71">
        <f>AF38*1%</f>
        <v>3.7409999999999992</v>
      </c>
      <c r="AG39" s="121">
        <f>AG38*1%</f>
        <v>0</v>
      </c>
      <c r="AH39" s="187">
        <f>AH38*1%</f>
        <v>14.211999999999989</v>
      </c>
      <c r="AI39" s="111"/>
      <c r="AJ39" s="118"/>
      <c r="AK39" s="85" t="s">
        <v>74</v>
      </c>
      <c r="AL39" s="89">
        <f>AL38*1%</f>
        <v>4.8449999999999998</v>
      </c>
      <c r="AM39" s="89">
        <f>AM38*1%</f>
        <v>23.899499999999989</v>
      </c>
      <c r="AN39" s="89">
        <f>AN38*1%</f>
        <v>4.1703999999999999</v>
      </c>
      <c r="AO39" s="1"/>
      <c r="AP39" s="111"/>
      <c r="AQ39" s="118"/>
      <c r="AR39" s="85" t="s">
        <v>74</v>
      </c>
      <c r="AS39" s="89">
        <f>AS38*1%</f>
        <v>22.943999999999978</v>
      </c>
      <c r="AT39" s="89">
        <f>AT38*1%</f>
        <v>15.973500000000003</v>
      </c>
      <c r="AU39" s="89">
        <f>AU38*1%</f>
        <v>6.9814999999999969</v>
      </c>
      <c r="AV39" s="111"/>
      <c r="AW39" s="118"/>
      <c r="AX39" s="85" t="s">
        <v>74</v>
      </c>
      <c r="AY39" s="89">
        <f>AY38*1%</f>
        <v>29.304500000000008</v>
      </c>
      <c r="AZ39" s="89">
        <f>AZ38*1%</f>
        <v>31.670500000000011</v>
      </c>
      <c r="BA39" s="89">
        <f>BA38*1%</f>
        <v>3.683000000000002</v>
      </c>
      <c r="BB39" s="89">
        <f>BB38*1%</f>
        <v>6.5726000000000004</v>
      </c>
      <c r="BC39" s="1"/>
      <c r="BD39" s="138"/>
      <c r="BE39" s="110"/>
      <c r="BF39" s="116"/>
      <c r="BG39" s="85" t="s">
        <v>22</v>
      </c>
      <c r="BH39" s="238">
        <v>10298.4</v>
      </c>
      <c r="BI39" s="238">
        <v>12604.77</v>
      </c>
      <c r="BJ39" s="238">
        <f>SUM(BJ4:BJ34)</f>
        <v>2968.99</v>
      </c>
      <c r="BK39" s="238">
        <v>3577.15</v>
      </c>
      <c r="BL39" s="111"/>
      <c r="BM39" s="118"/>
      <c r="BN39" s="487" t="s">
        <v>234</v>
      </c>
      <c r="BO39" s="89">
        <f>ROUND(3%*BO36,2)</f>
        <v>418.74</v>
      </c>
      <c r="BP39" s="89">
        <f>ROUND(3%*BP36,2)</f>
        <v>375.91</v>
      </c>
      <c r="BQ39" s="89">
        <f>ROUND(3%*BQ36,2)</f>
        <v>95.9</v>
      </c>
      <c r="BR39" s="472">
        <f>ROUND(3%*BR36,2)</f>
        <v>149.94</v>
      </c>
      <c r="BS39" s="1"/>
      <c r="BT39" s="366"/>
      <c r="BU39" s="145"/>
      <c r="BV39" s="405"/>
    </row>
    <row r="40" spans="1:74" outlineLevel="1">
      <c r="A40" s="110"/>
      <c r="B40" s="1"/>
      <c r="C40" s="10" t="s">
        <v>6</v>
      </c>
      <c r="D40" s="140">
        <f>3%*D37</f>
        <v>474.4461</v>
      </c>
      <c r="E40" s="140">
        <f>3%*E37</f>
        <v>470.3775</v>
      </c>
      <c r="F40" s="140">
        <f>3%*F37</f>
        <v>0</v>
      </c>
      <c r="G40" s="140">
        <f>3%*G37</f>
        <v>0</v>
      </c>
      <c r="H40" s="110"/>
      <c r="I40" s="116"/>
      <c r="J40" s="113" t="s">
        <v>6</v>
      </c>
      <c r="K40" s="70">
        <f>3%*K37</f>
        <v>350.54309999999998</v>
      </c>
      <c r="L40" s="70">
        <f>3%*L37</f>
        <v>448.48199999999997</v>
      </c>
      <c r="M40" s="140">
        <f>3%*M37</f>
        <v>0</v>
      </c>
      <c r="N40" s="140">
        <f>3%*N37</f>
        <v>0</v>
      </c>
      <c r="O40" s="138"/>
      <c r="P40" s="118"/>
      <c r="Q40" s="65" t="s">
        <v>75</v>
      </c>
      <c r="R40" s="70">
        <f>3%*R37</f>
        <v>516.95579999999995</v>
      </c>
      <c r="S40" s="71">
        <f>3%*S37</f>
        <v>439.32779999999997</v>
      </c>
      <c r="T40" s="121">
        <f>3%*T37</f>
        <v>0</v>
      </c>
      <c r="U40" s="121">
        <f>3%*U37</f>
        <v>43.422000000000004</v>
      </c>
      <c r="V40" s="1"/>
      <c r="W40" s="1"/>
      <c r="X40" s="3">
        <v>43652</v>
      </c>
      <c r="Y40" s="586">
        <v>4.5</v>
      </c>
      <c r="Z40" s="586"/>
      <c r="AA40" s="120"/>
      <c r="AB40" s="110"/>
      <c r="AC40" s="116"/>
      <c r="AD40" s="174" t="s">
        <v>75</v>
      </c>
      <c r="AE40" s="70">
        <f>3%*AE37</f>
        <v>575.52120000000002</v>
      </c>
      <c r="AF40" s="71">
        <f>3%*AF37</f>
        <v>102.687</v>
      </c>
      <c r="AG40" s="121">
        <f>3%*AG37</f>
        <v>0</v>
      </c>
      <c r="AH40" s="177">
        <f>3%*AH37</f>
        <v>310.7604</v>
      </c>
      <c r="AI40" s="111"/>
      <c r="AJ40" s="118"/>
      <c r="AK40" s="85" t="s">
        <v>75</v>
      </c>
      <c r="AL40" s="89">
        <f>3%*AL37</f>
        <v>99.934799999999996</v>
      </c>
      <c r="AM40" s="89">
        <f>3%*AM37</f>
        <v>472.76429999999999</v>
      </c>
      <c r="AN40" s="89">
        <f>3%*AN37</f>
        <v>131.12459999999999</v>
      </c>
      <c r="AO40" s="1"/>
      <c r="AP40" s="111"/>
      <c r="AQ40" s="118"/>
      <c r="AR40" s="85" t="s">
        <v>75</v>
      </c>
      <c r="AS40" s="89">
        <f>3%*AS37</f>
        <v>354.94169999999997</v>
      </c>
      <c r="AT40" s="89">
        <f>3%*AT37</f>
        <v>364.29929999999996</v>
      </c>
      <c r="AU40" s="89">
        <f>3%*AU37</f>
        <v>80.245199999999997</v>
      </c>
      <c r="AV40" s="111"/>
      <c r="AW40" s="118"/>
      <c r="AX40" s="85" t="s">
        <v>75</v>
      </c>
      <c r="AY40" s="89">
        <f>3%*AY37</f>
        <v>314.97360000000003</v>
      </c>
      <c r="AZ40" s="89">
        <f>3%*AZ37</f>
        <v>317.4282</v>
      </c>
      <c r="BA40" s="89">
        <f>3%*BA37</f>
        <v>57.044999999999995</v>
      </c>
      <c r="BB40" s="89">
        <f>3%*BB37</f>
        <v>20.452200000000001</v>
      </c>
      <c r="BC40" s="1"/>
      <c r="BD40" s="69"/>
      <c r="BE40" s="110"/>
      <c r="BF40" s="116"/>
      <c r="BG40" s="85" t="s">
        <v>5</v>
      </c>
      <c r="BH40" s="88">
        <f>BH38-BH39</f>
        <v>4733.5999999999985</v>
      </c>
      <c r="BI40" s="88">
        <f>BI38-BI39</f>
        <v>3141.2199999999975</v>
      </c>
      <c r="BJ40" s="88">
        <f>ABS(BJ38-BJ39)</f>
        <v>167.84000000000015</v>
      </c>
      <c r="BK40" s="88">
        <f>ABS(BK38-BK39)</f>
        <v>499.30000000000064</v>
      </c>
      <c r="BL40" s="138"/>
      <c r="BM40" s="118"/>
      <c r="BN40" s="85" t="s">
        <v>7</v>
      </c>
      <c r="BO40" s="87">
        <v>50</v>
      </c>
      <c r="BP40" s="87">
        <v>50</v>
      </c>
      <c r="BQ40" s="87"/>
      <c r="BR40" s="473"/>
      <c r="BS40" s="12"/>
      <c r="BT40" s="366"/>
      <c r="BU40" s="145"/>
      <c r="BV40" s="405"/>
    </row>
    <row r="41" spans="1:74" ht="19.5" outlineLevel="1">
      <c r="A41" s="110"/>
      <c r="B41" s="1"/>
      <c r="C41" s="10" t="s">
        <v>7</v>
      </c>
      <c r="D41" s="141">
        <v>50</v>
      </c>
      <c r="E41" s="141">
        <v>50</v>
      </c>
      <c r="F41" s="141">
        <v>50</v>
      </c>
      <c r="G41" s="141">
        <v>50</v>
      </c>
      <c r="H41" s="110"/>
      <c r="I41" s="116"/>
      <c r="J41" s="113" t="s">
        <v>7</v>
      </c>
      <c r="K41" s="72">
        <v>50</v>
      </c>
      <c r="L41" s="72">
        <v>50</v>
      </c>
      <c r="M41" s="141">
        <v>50</v>
      </c>
      <c r="N41" s="141">
        <v>50</v>
      </c>
      <c r="O41" s="111"/>
      <c r="P41" s="118"/>
      <c r="Q41" s="65" t="s">
        <v>7</v>
      </c>
      <c r="R41" s="72">
        <v>50</v>
      </c>
      <c r="S41" s="73">
        <v>50</v>
      </c>
      <c r="T41" s="72">
        <v>50</v>
      </c>
      <c r="U41" s="72"/>
      <c r="V41" s="1"/>
      <c r="W41" s="1"/>
      <c r="X41" s="3">
        <v>43653</v>
      </c>
      <c r="Y41" s="41">
        <v>8.5</v>
      </c>
      <c r="Z41" s="5">
        <v>1025.5999999999999</v>
      </c>
      <c r="AA41" s="122">
        <v>1027.0999999999999</v>
      </c>
      <c r="AB41" s="110"/>
      <c r="AC41" s="116"/>
      <c r="AD41" s="174" t="s">
        <v>7</v>
      </c>
      <c r="AE41" s="72">
        <v>50</v>
      </c>
      <c r="AF41" s="73">
        <v>50</v>
      </c>
      <c r="AG41" s="72">
        <v>50</v>
      </c>
      <c r="AH41" s="178"/>
      <c r="AI41" s="111"/>
      <c r="AJ41" s="118"/>
      <c r="AK41" s="85" t="s">
        <v>7</v>
      </c>
      <c r="AL41" s="87"/>
      <c r="AM41" s="87">
        <v>50</v>
      </c>
      <c r="AN41" s="87"/>
      <c r="AO41" s="1"/>
      <c r="AP41" s="138"/>
      <c r="AQ41" s="118"/>
      <c r="AR41" s="85" t="s">
        <v>7</v>
      </c>
      <c r="AS41" s="87">
        <v>180</v>
      </c>
      <c r="AT41" s="87">
        <v>50</v>
      </c>
      <c r="AU41" s="87"/>
      <c r="AV41" s="111"/>
      <c r="AW41" s="118"/>
      <c r="AX41" s="85" t="s">
        <v>7</v>
      </c>
      <c r="AY41" s="87">
        <v>150</v>
      </c>
      <c r="AZ41" s="87">
        <v>50</v>
      </c>
      <c r="BA41" s="87"/>
      <c r="BB41" s="87"/>
      <c r="BC41" s="1"/>
      <c r="BD41" s="138"/>
      <c r="BE41" s="110"/>
      <c r="BF41" s="116"/>
      <c r="BG41" s="85" t="s">
        <v>233</v>
      </c>
      <c r="BH41" s="89">
        <f>ROUND(BH40*1%,2)</f>
        <v>47.34</v>
      </c>
      <c r="BI41" s="89">
        <f>ROUND(BI40*1%,2)</f>
        <v>31.41</v>
      </c>
      <c r="BJ41" s="89">
        <f>ROUND(BJ40*1%,2)</f>
        <v>1.68</v>
      </c>
      <c r="BK41" s="472">
        <f>ROUND(BK40*1%,2)</f>
        <v>4.99</v>
      </c>
      <c r="BL41" s="138"/>
      <c r="BM41" s="118"/>
      <c r="BN41" s="488" t="s">
        <v>245</v>
      </c>
      <c r="BO41" s="87">
        <v>100</v>
      </c>
      <c r="BP41" s="87"/>
      <c r="BQ41" s="87"/>
      <c r="BR41" s="473"/>
      <c r="BS41" s="12"/>
      <c r="BT41" s="366"/>
      <c r="BU41" s="366"/>
      <c r="BV41" s="558"/>
    </row>
    <row r="42" spans="1:74" ht="15.75" outlineLevel="1" thickBot="1">
      <c r="A42" s="110"/>
      <c r="B42" s="1"/>
      <c r="C42" s="10" t="s">
        <v>14</v>
      </c>
      <c r="D42" s="141">
        <f>20*D35</f>
        <v>320</v>
      </c>
      <c r="E42" s="141">
        <f>20*E35</f>
        <v>300</v>
      </c>
      <c r="F42" s="141">
        <f>20*F35</f>
        <v>0</v>
      </c>
      <c r="G42" s="141">
        <f>20*G35</f>
        <v>0</v>
      </c>
      <c r="H42" s="110"/>
      <c r="I42" s="116"/>
      <c r="J42" s="113" t="s">
        <v>14</v>
      </c>
      <c r="K42" s="72">
        <f>20*K35</f>
        <v>200</v>
      </c>
      <c r="L42" s="72">
        <f>20*L35</f>
        <v>320</v>
      </c>
      <c r="M42" s="141">
        <f>20*M35</f>
        <v>80</v>
      </c>
      <c r="N42" s="141">
        <f>20*N35</f>
        <v>0</v>
      </c>
      <c r="O42" s="73"/>
      <c r="P42" s="118"/>
      <c r="Q42" s="65" t="s">
        <v>14</v>
      </c>
      <c r="R42" s="72">
        <f>20*R35</f>
        <v>320</v>
      </c>
      <c r="S42" s="73">
        <f>20*S35</f>
        <v>280</v>
      </c>
      <c r="T42" s="72">
        <f>20*T35</f>
        <v>0</v>
      </c>
      <c r="U42" s="72"/>
      <c r="V42" s="1"/>
      <c r="W42" s="1"/>
      <c r="X42" s="3">
        <v>43664</v>
      </c>
      <c r="Y42" s="586">
        <v>2</v>
      </c>
      <c r="Z42" s="586"/>
      <c r="AA42" s="120"/>
      <c r="AB42" s="110"/>
      <c r="AC42" s="116"/>
      <c r="AD42" s="174" t="s">
        <v>14</v>
      </c>
      <c r="AE42" s="72">
        <f>20*AE35</f>
        <v>360</v>
      </c>
      <c r="AF42" s="73">
        <f>20*AF35</f>
        <v>80</v>
      </c>
      <c r="AG42" s="72">
        <f>20*AG35</f>
        <v>0</v>
      </c>
      <c r="AH42" s="178">
        <f>20*AH35</f>
        <v>220</v>
      </c>
      <c r="AI42" s="111"/>
      <c r="AJ42" s="118"/>
      <c r="AK42" s="85" t="s">
        <v>14</v>
      </c>
      <c r="AL42" s="87">
        <f>20*(AL34-AL35)+(10*AL35)</f>
        <v>80</v>
      </c>
      <c r="AM42" s="87">
        <f>20*(AM34-AM35)+(10*AM35)</f>
        <v>330</v>
      </c>
      <c r="AN42" s="87">
        <f>20*(AN34-AN35)+(10*AN35)+40</f>
        <v>130</v>
      </c>
      <c r="AO42" s="1"/>
      <c r="AP42" s="73"/>
      <c r="AQ42" s="118"/>
      <c r="AR42" s="85" t="s">
        <v>14</v>
      </c>
      <c r="AS42" s="87">
        <f>20*(AS34-AS35)+(10*AS35)</f>
        <v>280</v>
      </c>
      <c r="AT42" s="87">
        <f>20*(AT34-AT35)+(10*AT35)</f>
        <v>280</v>
      </c>
      <c r="AU42" s="87">
        <f>(4*20)+10</f>
        <v>90</v>
      </c>
      <c r="AV42" s="111"/>
      <c r="AW42" s="118"/>
      <c r="AX42" s="85" t="s">
        <v>14</v>
      </c>
      <c r="AY42" s="87">
        <f>20*(AY34-AY35)+(10*AY35)</f>
        <v>280</v>
      </c>
      <c r="AZ42" s="87">
        <f>20*(AZ34-AZ35)+(10*AZ35)</f>
        <v>290</v>
      </c>
      <c r="BA42" s="87">
        <f>20*(BA34-BA35)+(10*BA35)</f>
        <v>110</v>
      </c>
      <c r="BB42" s="87">
        <f>20*(BB34-BB35)+(10*BB35)</f>
        <v>120</v>
      </c>
      <c r="BC42" s="1"/>
      <c r="BD42" s="69"/>
      <c r="BE42" s="110"/>
      <c r="BF42" s="75"/>
      <c r="BG42" s="85" t="s">
        <v>234</v>
      </c>
      <c r="BH42" s="89">
        <f>ROUND(3%*BH39,2)</f>
        <v>308.95</v>
      </c>
      <c r="BI42" s="89">
        <f>ROUND(3%*BI39,2)</f>
        <v>378.14</v>
      </c>
      <c r="BJ42" s="89">
        <f>ROUND(3%*BJ39,2)</f>
        <v>89.07</v>
      </c>
      <c r="BK42" s="472">
        <f>ROUND(3%*BK39,2)</f>
        <v>107.31</v>
      </c>
      <c r="BL42" s="111"/>
      <c r="BM42" s="118"/>
      <c r="BN42" s="85" t="s">
        <v>244</v>
      </c>
      <c r="BO42" s="87">
        <f>ROUND(20*BO34,2)</f>
        <v>300</v>
      </c>
      <c r="BP42" s="87">
        <f>ROUND(20*BP34,2)</f>
        <v>300</v>
      </c>
      <c r="BQ42" s="490">
        <f>ROUND(23*BQ34,2)</f>
        <v>276</v>
      </c>
      <c r="BR42" s="88">
        <f>ROUND(23*BR34,2)</f>
        <v>414</v>
      </c>
      <c r="BS42" s="12"/>
      <c r="BT42" s="128"/>
      <c r="BU42" s="145"/>
      <c r="BV42" s="405"/>
    </row>
    <row r="43" spans="1:74" ht="15.75" thickBot="1">
      <c r="A43" s="110"/>
      <c r="B43" s="955" t="s">
        <v>15</v>
      </c>
      <c r="C43" s="956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0"/>
      <c r="I43" s="116"/>
      <c r="J43" s="115" t="s">
        <v>26</v>
      </c>
      <c r="K43" s="75">
        <v>298.10000000000002</v>
      </c>
      <c r="L43" s="142">
        <f>160.36+130</f>
        <v>290.36</v>
      </c>
      <c r="M43" s="141"/>
      <c r="N43" s="141"/>
      <c r="O43" s="111"/>
      <c r="P43" s="123"/>
      <c r="Q43" s="74" t="s">
        <v>94</v>
      </c>
      <c r="R43" s="75">
        <v>298.10000000000002</v>
      </c>
      <c r="S43" s="76">
        <f>160.36</f>
        <v>160.36000000000001</v>
      </c>
      <c r="T43" s="72"/>
      <c r="U43" s="68"/>
      <c r="V43" s="12"/>
      <c r="W43" s="1"/>
      <c r="X43" s="3">
        <v>43665</v>
      </c>
      <c r="Y43" s="41">
        <v>2</v>
      </c>
      <c r="Z43" s="586">
        <v>506.5</v>
      </c>
      <c r="AA43" s="120">
        <v>420.3</v>
      </c>
      <c r="AB43" s="147"/>
      <c r="AC43" s="75"/>
      <c r="AD43" s="192" t="s">
        <v>94</v>
      </c>
      <c r="AE43" s="190">
        <v>300</v>
      </c>
      <c r="AF43" s="76">
        <f>160.36</f>
        <v>160.36000000000001</v>
      </c>
      <c r="AG43" s="72"/>
      <c r="AH43" s="178"/>
      <c r="AI43" s="138"/>
      <c r="AJ43" s="123"/>
      <c r="AK43" s="239" t="s">
        <v>94</v>
      </c>
      <c r="AL43" s="240"/>
      <c r="AM43" s="241"/>
      <c r="AN43" s="87"/>
      <c r="AO43" s="12"/>
      <c r="AP43" s="111"/>
      <c r="AQ43" s="123"/>
      <c r="AR43" s="239" t="s">
        <v>94</v>
      </c>
      <c r="AS43" s="240">
        <v>298.10000000000002</v>
      </c>
      <c r="AT43" s="241">
        <v>160.36000000000001</v>
      </c>
      <c r="AU43" s="87"/>
      <c r="AV43" s="138"/>
      <c r="AW43" s="123"/>
      <c r="AX43" s="239" t="s">
        <v>94</v>
      </c>
      <c r="AY43" s="240">
        <v>298.10000000000002</v>
      </c>
      <c r="AZ43" s="241">
        <v>160.36000000000001</v>
      </c>
      <c r="BA43" s="87"/>
      <c r="BB43" s="87"/>
      <c r="BC43" s="12"/>
      <c r="BD43" s="111"/>
      <c r="BE43" s="110"/>
      <c r="BF43" s="116"/>
      <c r="BG43" s="85" t="s">
        <v>7</v>
      </c>
      <c r="BH43" s="87">
        <v>150</v>
      </c>
      <c r="BI43" s="87">
        <v>50</v>
      </c>
      <c r="BJ43" s="87"/>
      <c r="BK43" s="473"/>
      <c r="BL43" s="111"/>
      <c r="BM43" s="123"/>
      <c r="BN43" s="239" t="s">
        <v>94</v>
      </c>
      <c r="BO43" s="240">
        <v>298.10000000000002</v>
      </c>
      <c r="BP43" s="241">
        <v>160.36000000000001</v>
      </c>
      <c r="BQ43" s="87"/>
      <c r="BR43" s="87"/>
      <c r="BS43" s="1"/>
      <c r="BT43" s="145"/>
      <c r="BU43" s="366"/>
      <c r="BV43" s="405"/>
    </row>
    <row r="44" spans="1:74" ht="15.75" thickBot="1">
      <c r="A44" s="110"/>
      <c r="B44" s="1"/>
      <c r="C44" s="11"/>
      <c r="D44" s="1"/>
      <c r="E44" s="11"/>
      <c r="F44" s="1"/>
      <c r="G44" s="1"/>
      <c r="H44" s="110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8"/>
      <c r="P44" s="123"/>
      <c r="Q44" s="957" t="s">
        <v>79</v>
      </c>
      <c r="R44" s="958"/>
      <c r="S44" s="77">
        <v>140</v>
      </c>
      <c r="T44" s="68">
        <f>S39+S40+S41+S42</f>
        <v>781.00869999999998</v>
      </c>
      <c r="U44" s="72"/>
      <c r="V44" s="12"/>
      <c r="W44" s="1"/>
      <c r="X44" s="3">
        <v>43672</v>
      </c>
      <c r="Y44" s="586">
        <v>8.5</v>
      </c>
      <c r="Z44" s="586"/>
      <c r="AA44" s="120"/>
      <c r="AB44" s="147"/>
      <c r="AC44" s="75"/>
      <c r="AD44" s="179" t="s">
        <v>111</v>
      </c>
      <c r="AE44" s="191">
        <v>298.10000000000002</v>
      </c>
      <c r="AF44" s="77"/>
      <c r="AG44" s="68">
        <f>AF39+AF40+AF41+AF42</f>
        <v>236.428</v>
      </c>
      <c r="AH44" s="178"/>
      <c r="AI44" s="138"/>
      <c r="AJ44" s="123"/>
      <c r="AK44" s="242" t="s">
        <v>26</v>
      </c>
      <c r="AL44" s="243"/>
      <c r="AM44" s="244">
        <f>160+140</f>
        <v>300</v>
      </c>
      <c r="AN44" s="87"/>
      <c r="AO44" s="12"/>
      <c r="AP44" s="111"/>
      <c r="AQ44" s="123"/>
      <c r="AR44" s="242" t="s">
        <v>26</v>
      </c>
      <c r="AS44" s="243"/>
      <c r="AT44" s="18">
        <v>139.65</v>
      </c>
      <c r="AU44" s="87"/>
      <c r="AV44" s="138"/>
      <c r="AW44" s="123"/>
      <c r="AX44" s="242" t="s">
        <v>26</v>
      </c>
      <c r="AY44" s="243"/>
      <c r="AZ44" s="240">
        <v>150</v>
      </c>
      <c r="BA44" s="87"/>
      <c r="BB44" s="87"/>
      <c r="BC44" s="12"/>
      <c r="BD44" s="111"/>
      <c r="BE44" s="110"/>
      <c r="BF44" s="116"/>
      <c r="BG44" s="85" t="s">
        <v>229</v>
      </c>
      <c r="BH44" s="87">
        <f>ROUND((20*(14))+(3%*BH21)+(3%*BH29)+(3%*BH33)+30,2)</f>
        <v>434.22</v>
      </c>
      <c r="BI44" s="87">
        <f>ROUND((20*(BI34))+(3%*BI32),2)</f>
        <v>365.04</v>
      </c>
      <c r="BJ44" s="88" t="e">
        <f>ROUND((20*(BJ34-#REF!)+((5.5*20)/11)+((2*20)/11)),2)</f>
        <v>#REF!</v>
      </c>
      <c r="BK44" s="474">
        <f>16*20</f>
        <v>320</v>
      </c>
      <c r="BL44" s="111"/>
      <c r="BM44" s="118"/>
      <c r="BN44" s="242" t="s">
        <v>26</v>
      </c>
      <c r="BO44" s="243"/>
      <c r="BP44" s="240">
        <v>150</v>
      </c>
      <c r="BQ44" s="87"/>
      <c r="BR44" s="87">
        <v>300</v>
      </c>
      <c r="BS44" s="1"/>
      <c r="BT44" s="283"/>
      <c r="BU44" s="366"/>
      <c r="BV44" s="405"/>
    </row>
    <row r="45" spans="1:74" ht="15.75" thickBot="1">
      <c r="A45" s="110"/>
      <c r="B45" s="1"/>
      <c r="C45" s="11"/>
      <c r="D45" s="1"/>
      <c r="E45" s="11"/>
      <c r="F45" s="1"/>
      <c r="G45" s="1"/>
      <c r="H45" s="110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8"/>
      <c r="P45" s="124"/>
      <c r="Q45" s="61" t="s">
        <v>77</v>
      </c>
      <c r="R45" s="60">
        <f>R41+R40+R39+R42-R43</f>
        <v>595.68849999999986</v>
      </c>
      <c r="S45" s="59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586">
        <v>3</v>
      </c>
      <c r="Z45" s="586"/>
      <c r="AA45" s="120"/>
      <c r="AB45" s="110"/>
      <c r="AC45" s="32"/>
      <c r="AD45" s="180" t="s">
        <v>77</v>
      </c>
      <c r="AE45" s="60">
        <f>AE39+AE40+AE41+AE42-AE43-AE44</f>
        <v>386.71420000000001</v>
      </c>
      <c r="AF45" s="206">
        <f>ROUND(AF39+AF40+AF41+AF42-AF43,0)</f>
        <v>76</v>
      </c>
      <c r="AG45" s="45">
        <f>AG41+AG40+AG39+AG42-AG43</f>
        <v>50</v>
      </c>
      <c r="AH45" s="186">
        <f>AH39+AH40+AH41+AH42</f>
        <v>544.97239999999999</v>
      </c>
      <c r="AI45" s="138"/>
      <c r="AJ45" s="124"/>
      <c r="AK45" s="245" t="s">
        <v>77</v>
      </c>
      <c r="AL45" s="246">
        <f>AL39+AL40+AL41+AL42-AL44-AL43</f>
        <v>184.77979999999999</v>
      </c>
      <c r="AM45" s="246">
        <f>AM39+AM40+AM41+AM42-AM44</f>
        <v>576.66380000000004</v>
      </c>
      <c r="AN45" s="246">
        <f>AN39+AN40+AN41+AN42</f>
        <v>265.29499999999996</v>
      </c>
      <c r="AO45" s="170"/>
      <c r="AP45" s="385"/>
      <c r="AQ45" s="124"/>
      <c r="AR45" s="245" t="s">
        <v>77</v>
      </c>
      <c r="AS45" s="246">
        <f>AS39+AS40+AS41+AS42-AS44-AS43</f>
        <v>539.78569999999991</v>
      </c>
      <c r="AT45" s="246">
        <f>AT39+AT40+AT41+AT42-AT44-AT43</f>
        <v>410.26279999999997</v>
      </c>
      <c r="AU45" s="285">
        <f>AU39+AU40+AU41+AU42</f>
        <v>177.22669999999999</v>
      </c>
      <c r="AV45" s="385"/>
      <c r="AW45" s="124"/>
      <c r="AX45" s="245" t="s">
        <v>77</v>
      </c>
      <c r="AY45" s="246">
        <f>AY46-AY43</f>
        <v>476.17809999999997</v>
      </c>
      <c r="AZ45" s="246">
        <f>AZ39+AZ40+AZ41+AZ42-AZ43-AZ44</f>
        <v>378.73869999999999</v>
      </c>
      <c r="BA45" s="246">
        <f>BA39+BA40+BA41+BA42</f>
        <v>170.72800000000001</v>
      </c>
      <c r="BB45" s="246">
        <f>BB39+BB40+BB41+BB42</f>
        <v>147.0248</v>
      </c>
      <c r="BC45" s="170"/>
      <c r="BD45" s="385"/>
      <c r="BE45" s="110"/>
      <c r="BF45" s="116"/>
      <c r="BG45" s="239" t="s">
        <v>94</v>
      </c>
      <c r="BH45" s="240">
        <v>298.10000000000002</v>
      </c>
      <c r="BI45" s="241">
        <v>160.36000000000001</v>
      </c>
      <c r="BJ45" s="87"/>
      <c r="BK45" s="87"/>
      <c r="BL45" s="111"/>
      <c r="BM45" s="118"/>
      <c r="BN45" s="245" t="s">
        <v>77</v>
      </c>
      <c r="BO45" s="489">
        <v>482</v>
      </c>
      <c r="BP45" s="456">
        <f>BP38+BP39+BP40+BP42-BP43-BP44</f>
        <v>429.03000000000009</v>
      </c>
      <c r="BQ45" s="489">
        <f>ROUNDUP(BQ38+BQ39+BQ42,0)</f>
        <v>374</v>
      </c>
      <c r="BR45" s="456">
        <f>ROUNDUP(BR38+BR39+BR42-BR44,0)</f>
        <v>265</v>
      </c>
      <c r="BS45" s="1"/>
      <c r="BT45" s="366"/>
      <c r="BU45" s="366"/>
      <c r="BV45" s="405"/>
    </row>
    <row r="46" spans="1:74" ht="15.75" thickBot="1">
      <c r="A46" s="110"/>
      <c r="B46" s="1"/>
      <c r="C46" s="11"/>
      <c r="D46" s="1"/>
      <c r="E46" s="11"/>
      <c r="F46" s="1"/>
      <c r="G46" s="1"/>
      <c r="H46" s="110"/>
      <c r="I46" s="1"/>
      <c r="J46" s="11"/>
      <c r="K46" s="12"/>
      <c r="L46" s="12"/>
      <c r="M46" s="1"/>
      <c r="N46" s="1"/>
      <c r="O46" s="111"/>
      <c r="P46" s="110"/>
      <c r="Q46" s="78" t="s">
        <v>45</v>
      </c>
      <c r="R46" s="79">
        <f>R45+R43</f>
        <v>893.78849999999989</v>
      </c>
      <c r="S46" s="80">
        <f>S39+S40+S41+S42</f>
        <v>781.00869999999998</v>
      </c>
      <c r="T46" s="75">
        <f>T45+T43</f>
        <v>50</v>
      </c>
      <c r="U46" s="75"/>
      <c r="V46" s="12"/>
      <c r="W46" s="1"/>
      <c r="X46" s="3">
        <v>43676</v>
      </c>
      <c r="Y46" s="586">
        <v>8.5</v>
      </c>
      <c r="Z46" s="586"/>
      <c r="AA46" s="120"/>
      <c r="AB46" s="110"/>
      <c r="AC46" s="1"/>
      <c r="AD46" s="181" t="s">
        <v>45</v>
      </c>
      <c r="AE46" s="182">
        <f>AE45+AE43+AE44</f>
        <v>984.81420000000003</v>
      </c>
      <c r="AF46" s="183">
        <f>AF43+AF45</f>
        <v>236.36</v>
      </c>
      <c r="AG46" s="184"/>
      <c r="AH46" s="185"/>
      <c r="AI46" s="138"/>
      <c r="AJ46" s="147"/>
      <c r="AK46" s="144"/>
      <c r="AL46" s="366"/>
      <c r="AM46" s="1"/>
      <c r="AN46" s="1"/>
      <c r="AO46" s="1"/>
      <c r="AP46" s="111"/>
      <c r="AQ46" s="125"/>
      <c r="AR46" s="286" t="s">
        <v>45</v>
      </c>
      <c r="AS46" s="22">
        <f>540+AS43</f>
        <v>838.1</v>
      </c>
      <c r="AT46" s="287">
        <f>410+AT44+AT43</f>
        <v>710.01</v>
      </c>
      <c r="AU46" s="1"/>
      <c r="AV46" s="385"/>
      <c r="AW46" s="125"/>
      <c r="AX46" s="286" t="s">
        <v>45</v>
      </c>
      <c r="AY46" s="287">
        <f>AY41+AY42+AY40+AY39</f>
        <v>774.27809999999999</v>
      </c>
      <c r="AZ46" s="287">
        <f>AZ41+AZ42+AZ40+AZ39</f>
        <v>689.09870000000012</v>
      </c>
      <c r="BA46" s="287">
        <f>BA41+BA42+BA40+BA39</f>
        <v>170.72799999999998</v>
      </c>
      <c r="BB46" s="287">
        <f>BB41+BB42+BB40+BB39</f>
        <v>147.0248</v>
      </c>
      <c r="BC46" s="170"/>
      <c r="BD46" s="138"/>
      <c r="BE46" s="110"/>
      <c r="BF46" s="116"/>
      <c r="BG46" s="242" t="s">
        <v>26</v>
      </c>
      <c r="BH46" s="243"/>
      <c r="BI46" s="240">
        <v>140</v>
      </c>
      <c r="BJ46" s="87"/>
      <c r="BK46" s="87">
        <v>300</v>
      </c>
      <c r="BL46" s="111"/>
      <c r="BM46" s="118"/>
      <c r="BN46" s="286" t="s">
        <v>45</v>
      </c>
      <c r="BO46" s="287">
        <f>BO38+BO39+BO40+BO41+BO42</f>
        <v>879.29</v>
      </c>
      <c r="BP46" s="287">
        <f>BP38+BP39+BP40+BP42</f>
        <v>739.3900000000001</v>
      </c>
      <c r="BQ46" s="287"/>
      <c r="BR46" s="287">
        <f>ROUNDUP(BR38+BR42+BR39,0)</f>
        <v>565</v>
      </c>
      <c r="BS46" s="1"/>
      <c r="BT46" s="366"/>
      <c r="BU46" s="366"/>
      <c r="BV46" s="111"/>
    </row>
    <row r="47" spans="1:74">
      <c r="A47" s="110"/>
      <c r="B47" s="1"/>
      <c r="C47" s="11"/>
      <c r="D47" s="1"/>
      <c r="E47" s="11"/>
      <c r="F47" s="1"/>
      <c r="G47" s="1"/>
      <c r="H47" s="110"/>
      <c r="I47" s="1"/>
      <c r="J47" s="11"/>
      <c r="K47" s="1"/>
      <c r="L47" s="11"/>
      <c r="M47" s="12"/>
      <c r="N47" s="1"/>
      <c r="O47" s="111"/>
      <c r="P47" s="125"/>
      <c r="Q47" s="126" t="s">
        <v>78</v>
      </c>
      <c r="R47" s="12">
        <f>R45-400</f>
        <v>195.68849999999986</v>
      </c>
      <c r="S47" s="127"/>
      <c r="T47" s="1"/>
      <c r="U47" s="12"/>
      <c r="V47" s="1"/>
      <c r="W47" s="1"/>
      <c r="X47" s="366"/>
      <c r="Y47" s="128"/>
      <c r="Z47" s="366"/>
      <c r="AA47" s="111"/>
      <c r="AB47" s="110"/>
      <c r="AC47" s="383"/>
      <c r="AD47" s="384"/>
      <c r="AE47" s="145"/>
      <c r="AF47" s="145"/>
      <c r="AG47" s="1"/>
      <c r="AH47" s="1"/>
      <c r="AI47" s="385"/>
      <c r="AJ47" s="147"/>
      <c r="AK47" s="366"/>
      <c r="AL47" s="128"/>
      <c r="AM47" s="1"/>
      <c r="AN47" s="1"/>
      <c r="AO47" s="1"/>
      <c r="AP47" s="111"/>
      <c r="AQ47" s="110"/>
      <c r="AR47" s="1"/>
      <c r="AS47" s="1"/>
      <c r="AT47" s="1"/>
      <c r="AU47" s="1"/>
      <c r="AV47" s="111"/>
      <c r="AW47" s="110"/>
      <c r="AX47" s="198"/>
      <c r="AY47" s="560"/>
      <c r="AZ47" s="232"/>
      <c r="BA47" s="1"/>
      <c r="BB47" s="1"/>
      <c r="BC47" s="12"/>
      <c r="BD47" s="138"/>
      <c r="BE47" s="147"/>
      <c r="BF47" s="75"/>
      <c r="BG47" s="245" t="s">
        <v>77</v>
      </c>
      <c r="BH47" s="456">
        <f>BH41+BH42+BH43+BH44-BH45</f>
        <v>642.41</v>
      </c>
      <c r="BI47" s="246">
        <f>BI41+BI42+BI43+BI44-(BI45+BI46)</f>
        <v>524.23</v>
      </c>
      <c r="BJ47" s="456" t="e">
        <f>BJ41+BJ42+BJ43+BJ44</f>
        <v>#REF!</v>
      </c>
      <c r="BK47" s="246">
        <f>BK41+BK42+BK44+16.36+12.53+10-BK46</f>
        <v>171.19</v>
      </c>
      <c r="BL47" s="138"/>
      <c r="BM47" s="110"/>
      <c r="BN47" s="1"/>
      <c r="BO47" s="1"/>
      <c r="BP47" s="1"/>
      <c r="BQ47" s="1"/>
      <c r="BR47" s="1"/>
      <c r="BS47" s="1"/>
      <c r="BT47" s="1"/>
      <c r="BU47" s="1"/>
      <c r="BV47" s="111"/>
    </row>
    <row r="48" spans="1:74" ht="15.75" thickBot="1">
      <c r="A48" s="129"/>
      <c r="B48" s="130"/>
      <c r="C48" s="131"/>
      <c r="D48" s="130"/>
      <c r="E48" s="131"/>
      <c r="F48" s="1"/>
      <c r="G48" s="1"/>
      <c r="H48" s="110"/>
      <c r="I48" s="1"/>
      <c r="J48" s="1"/>
      <c r="K48" s="130"/>
      <c r="L48" s="130"/>
      <c r="M48" s="130"/>
      <c r="N48" s="130"/>
      <c r="O48" s="132"/>
      <c r="P48" s="129"/>
      <c r="Q48" s="623" t="s">
        <v>77</v>
      </c>
      <c r="R48" s="624">
        <v>196</v>
      </c>
      <c r="S48" s="624"/>
      <c r="T48" s="625"/>
      <c r="U48" s="626"/>
      <c r="V48" s="625"/>
      <c r="W48" s="130"/>
      <c r="X48" s="622"/>
      <c r="Y48" s="622"/>
      <c r="Z48" s="435"/>
      <c r="AA48" s="132"/>
      <c r="AB48" s="129"/>
      <c r="AC48" s="130"/>
      <c r="AD48" s="627"/>
      <c r="AE48" s="628"/>
      <c r="AF48" s="628"/>
      <c r="AG48" s="625"/>
      <c r="AH48" s="130"/>
      <c r="AI48" s="629"/>
      <c r="AJ48" s="630"/>
      <c r="AK48" s="622"/>
      <c r="AL48" s="622"/>
      <c r="AM48" s="130"/>
      <c r="AN48" s="130"/>
      <c r="AO48" s="130"/>
      <c r="AP48" s="132"/>
      <c r="AQ48" s="129"/>
      <c r="AR48" s="130"/>
      <c r="AS48" s="130"/>
      <c r="AT48" s="130"/>
      <c r="AU48" s="130"/>
      <c r="AV48" s="132"/>
      <c r="AW48" s="129"/>
      <c r="AX48" s="130"/>
      <c r="AY48" s="130"/>
      <c r="AZ48" s="131"/>
      <c r="BA48" s="625"/>
      <c r="BB48" s="625"/>
      <c r="BC48" s="626"/>
      <c r="BD48" s="132"/>
      <c r="BE48" s="630"/>
      <c r="BF48" s="79"/>
      <c r="BG48" s="634" t="s">
        <v>45</v>
      </c>
      <c r="BH48" s="635">
        <f>BH47+BH45</f>
        <v>940.51</v>
      </c>
      <c r="BI48" s="635">
        <f>(ROUND(BI47,0))+BI45+BI46</f>
        <v>824.36</v>
      </c>
      <c r="BJ48" s="635" t="e">
        <f>(ROUND(BJ47,0))+BJ45+BJ46</f>
        <v>#REF!</v>
      </c>
      <c r="BK48" s="635">
        <f>(ROUND(BK47,0))+BK45+BK46</f>
        <v>471</v>
      </c>
      <c r="BL48" s="629"/>
      <c r="BM48" s="110"/>
      <c r="BN48" s="1"/>
      <c r="BO48" s="1"/>
      <c r="BP48" s="1"/>
      <c r="BQ48" s="1"/>
      <c r="BR48" s="1"/>
      <c r="BS48" s="1"/>
      <c r="BT48" s="1"/>
      <c r="BU48" s="1"/>
      <c r="BV48" s="132"/>
    </row>
    <row r="49" spans="3:73" ht="15.75" thickBot="1">
      <c r="C49" s="954" t="s">
        <v>166</v>
      </c>
      <c r="D49" s="954"/>
      <c r="E49" s="2" t="s">
        <v>189</v>
      </c>
      <c r="F49" s="446" t="s">
        <v>167</v>
      </c>
      <c r="G49" s="562"/>
      <c r="H49" s="562"/>
      <c r="I49" s="562"/>
      <c r="J49" s="563"/>
      <c r="K49" s="366" t="s">
        <v>198</v>
      </c>
      <c r="L49" s="439"/>
      <c r="N49" s="516" t="s">
        <v>249</v>
      </c>
      <c r="O49" s="516"/>
      <c r="P49" s="1"/>
      <c r="Q49" s="1"/>
      <c r="R49" s="11"/>
      <c r="S49" s="1"/>
      <c r="T49" s="12"/>
      <c r="U49" s="1"/>
      <c r="V49" s="1"/>
      <c r="W49" s="72"/>
      <c r="X49" s="72"/>
      <c r="Y49" s="366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0"/>
      <c r="BM49" s="129"/>
      <c r="BN49" s="130"/>
      <c r="BO49" s="130"/>
      <c r="BP49" s="130"/>
      <c r="BQ49" s="130"/>
      <c r="BR49" s="130"/>
      <c r="BS49" s="130"/>
      <c r="BT49" s="130"/>
      <c r="BU49" s="130"/>
    </row>
    <row r="50" spans="3:73">
      <c r="C50" s="2" t="s">
        <v>164</v>
      </c>
      <c r="E50" s="2"/>
      <c r="F50" s="210"/>
      <c r="G50" s="92" t="s">
        <v>168</v>
      </c>
      <c r="H50" s="92" t="s">
        <v>169</v>
      </c>
      <c r="I50" s="92" t="s">
        <v>204</v>
      </c>
      <c r="J50" s="510" t="s">
        <v>203</v>
      </c>
      <c r="K50" s="366" t="s">
        <v>166</v>
      </c>
      <c r="L50" s="439"/>
      <c r="N50" s="636" t="s">
        <v>192</v>
      </c>
      <c r="O50" s="637">
        <v>3501.9999999999995</v>
      </c>
      <c r="P50" s="1"/>
      <c r="Q50" s="234"/>
      <c r="R50" s="234"/>
      <c r="S50" s="445"/>
      <c r="T50" s="1"/>
      <c r="U50" s="1"/>
      <c r="V50" s="1"/>
      <c r="W50" s="366"/>
      <c r="X50" s="6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3"/>
      <c r="BG50" s="1"/>
      <c r="BH50" s="1"/>
      <c r="BI50" s="1"/>
      <c r="BJ50" s="1"/>
      <c r="BK50" s="1"/>
      <c r="BL50" s="170"/>
      <c r="BM50" s="366"/>
    </row>
    <row r="51" spans="3:73">
      <c r="C51" s="2" t="s">
        <v>9</v>
      </c>
      <c r="D51" s="8">
        <f>H36</f>
        <v>33392.170000000006</v>
      </c>
      <c r="E51" s="189"/>
      <c r="F51" s="513" t="s">
        <v>18</v>
      </c>
      <c r="G51" s="511">
        <v>2502.15</v>
      </c>
      <c r="H51" s="511">
        <v>660.88</v>
      </c>
      <c r="I51" s="511">
        <v>1841.27</v>
      </c>
      <c r="J51" s="512"/>
      <c r="K51" s="144" t="s">
        <v>164</v>
      </c>
      <c r="L51" s="436"/>
      <c r="N51" s="636" t="s">
        <v>199</v>
      </c>
      <c r="O51" s="602">
        <v>3192.5899999999997</v>
      </c>
      <c r="P51" s="1"/>
      <c r="Q51" s="234"/>
      <c r="R51" s="234"/>
      <c r="S51" s="301"/>
      <c r="T51" s="1"/>
      <c r="U51" s="1"/>
      <c r="V51" s="1"/>
      <c r="W51" s="72"/>
      <c r="X51" s="6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6"/>
    </row>
    <row r="52" spans="3:73">
      <c r="C52" s="2" t="s">
        <v>18</v>
      </c>
      <c r="D52" s="8">
        <f>O36</f>
        <v>32809.9</v>
      </c>
      <c r="E52" s="189"/>
      <c r="F52" s="513" t="s">
        <v>19</v>
      </c>
      <c r="G52" s="511">
        <v>3130.41</v>
      </c>
      <c r="H52" s="511">
        <v>965.66</v>
      </c>
      <c r="I52" s="511">
        <v>2164.75</v>
      </c>
      <c r="J52" s="512"/>
      <c r="K52" s="508" t="s">
        <v>163</v>
      </c>
      <c r="L52" s="96">
        <v>2420.3999999999996</v>
      </c>
      <c r="N52" s="638" t="s">
        <v>209</v>
      </c>
      <c r="O52" s="639">
        <v>2936.18</v>
      </c>
      <c r="P52" s="1"/>
      <c r="Q52" s="1"/>
      <c r="R52" s="11"/>
      <c r="S52" s="1"/>
      <c r="T52" s="1"/>
      <c r="U52" s="1"/>
      <c r="V52" s="1"/>
      <c r="W52" s="72"/>
      <c r="X52" s="6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6"/>
    </row>
    <row r="53" spans="3:73">
      <c r="C53" s="2" t="s">
        <v>19</v>
      </c>
      <c r="D53" s="8">
        <f>V36</f>
        <v>35259.58</v>
      </c>
      <c r="E53" s="189"/>
      <c r="F53" s="513" t="s">
        <v>20</v>
      </c>
      <c r="G53" s="606">
        <v>1180.2600000000002</v>
      </c>
      <c r="H53" s="606">
        <v>632.44000000000005</v>
      </c>
      <c r="I53" s="606">
        <v>547.82000000000005</v>
      </c>
      <c r="J53" s="512"/>
      <c r="K53" s="508" t="s">
        <v>192</v>
      </c>
      <c r="L53" s="438">
        <v>7629.6900000000023</v>
      </c>
      <c r="N53" s="640" t="s">
        <v>210</v>
      </c>
      <c r="O53" s="641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2"/>
      <c r="X53" s="72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366"/>
    </row>
    <row r="54" spans="3:73">
      <c r="C54" s="2" t="s">
        <v>20</v>
      </c>
      <c r="D54">
        <v>34690.219999999994</v>
      </c>
      <c r="E54" s="189"/>
      <c r="F54" s="513" t="s">
        <v>248</v>
      </c>
      <c r="G54" s="606">
        <v>2026.4</v>
      </c>
      <c r="H54" s="606">
        <v>868.92</v>
      </c>
      <c r="I54" s="606">
        <v>1157.48</v>
      </c>
      <c r="J54" s="512"/>
      <c r="K54" s="508" t="s">
        <v>199</v>
      </c>
      <c r="L54" s="438">
        <v>8423.6400000000012</v>
      </c>
      <c r="N54" s="640" t="s">
        <v>211</v>
      </c>
      <c r="O54" s="705">
        <v>2465.2500000000005</v>
      </c>
      <c r="P54" s="1"/>
      <c r="Q54" s="1"/>
      <c r="R54" s="11"/>
      <c r="S54" s="1"/>
      <c r="T54" s="1"/>
      <c r="U54" s="1"/>
      <c r="V54" s="1"/>
      <c r="W54" s="72"/>
      <c r="X54" s="68"/>
      <c r="Y54" s="366"/>
      <c r="Z54" s="366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73">
      <c r="C55" s="2" t="s">
        <v>148</v>
      </c>
      <c r="D55">
        <v>30955.48</v>
      </c>
      <c r="E55" s="189"/>
      <c r="F55" s="513" t="s">
        <v>162</v>
      </c>
      <c r="G55" s="609">
        <v>2927.79</v>
      </c>
      <c r="H55" s="610">
        <v>1147.08</v>
      </c>
      <c r="I55" s="606">
        <v>1780.71</v>
      </c>
      <c r="J55" s="512"/>
      <c r="K55" s="509" t="s">
        <v>209</v>
      </c>
      <c r="L55" s="438">
        <v>8639.7199999999993</v>
      </c>
      <c r="N55" s="2" t="s">
        <v>9</v>
      </c>
      <c r="O55" s="232">
        <v>1936.8</v>
      </c>
      <c r="P55" s="1"/>
      <c r="Q55" s="1"/>
      <c r="R55" s="11"/>
      <c r="S55" s="1"/>
      <c r="T55" s="1"/>
      <c r="U55" s="1"/>
      <c r="V55" s="1"/>
      <c r="W55" s="72"/>
      <c r="X55" s="143"/>
      <c r="Y55" s="366"/>
      <c r="Z55" s="366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73">
      <c r="C56" s="2" t="s">
        <v>162</v>
      </c>
      <c r="D56">
        <v>31239.439999999995</v>
      </c>
      <c r="E56" s="189"/>
      <c r="F56" s="513" t="s">
        <v>163</v>
      </c>
      <c r="G56" s="606">
        <f>H56+I56</f>
        <v>2494.3200000000002</v>
      </c>
      <c r="H56" s="606">
        <v>1035.6500000000001</v>
      </c>
      <c r="I56" s="606">
        <v>1458.67</v>
      </c>
      <c r="J56" s="603">
        <v>199.36</v>
      </c>
      <c r="K56" s="566" t="s">
        <v>210</v>
      </c>
      <c r="L56" s="438">
        <v>12605.26</v>
      </c>
      <c r="N56" s="2" t="s">
        <v>18</v>
      </c>
      <c r="O56" s="168">
        <v>3770.63</v>
      </c>
      <c r="P56" s="1"/>
      <c r="Q56" s="1"/>
      <c r="R56" s="1"/>
      <c r="S56" s="1"/>
      <c r="T56" s="1"/>
      <c r="U56" s="1"/>
      <c r="V56" s="1"/>
      <c r="Y56" s="366"/>
      <c r="Z56" s="366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73">
      <c r="C57" s="2" t="s">
        <v>163</v>
      </c>
      <c r="D57" s="8">
        <v>28986.99</v>
      </c>
      <c r="E57" s="189"/>
      <c r="F57" s="513" t="s">
        <v>192</v>
      </c>
      <c r="G57" s="606">
        <f>H57+I57</f>
        <v>2957.59</v>
      </c>
      <c r="H57" s="606">
        <v>918.57</v>
      </c>
      <c r="I57" s="606">
        <v>2039.02</v>
      </c>
      <c r="J57" s="613">
        <v>703.01</v>
      </c>
      <c r="K57" s="566" t="s">
        <v>211</v>
      </c>
      <c r="L57" s="476">
        <v>11425.189999999999</v>
      </c>
      <c r="N57" s="2" t="s">
        <v>19</v>
      </c>
      <c r="O57" s="911">
        <f>'ЗП июЛь'!M35</f>
        <v>1736.5160000000001</v>
      </c>
      <c r="P57" s="1"/>
      <c r="Q57" s="1"/>
      <c r="R57" s="1"/>
      <c r="S57" s="1"/>
      <c r="T57" s="1"/>
      <c r="U57" s="1"/>
      <c r="V57" s="1"/>
      <c r="Y57" s="366"/>
      <c r="Z57" s="366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73">
      <c r="C58" s="2" t="s">
        <v>192</v>
      </c>
      <c r="D58" s="86">
        <v>31654.69</v>
      </c>
      <c r="E58" s="2"/>
      <c r="F58" s="513" t="s">
        <v>199</v>
      </c>
      <c r="G58" s="606">
        <f>H58+I58</f>
        <v>2533.39</v>
      </c>
      <c r="H58" s="606">
        <v>899.78</v>
      </c>
      <c r="I58" s="606">
        <v>1633.61</v>
      </c>
      <c r="J58" s="604">
        <v>529.24</v>
      </c>
      <c r="K58" s="2" t="s">
        <v>9</v>
      </c>
      <c r="L58" s="168">
        <v>13612.520000000002</v>
      </c>
      <c r="N58" s="127"/>
      <c r="O58" s="567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M58" s="1"/>
    </row>
    <row r="59" spans="3:73">
      <c r="C59" s="2" t="s">
        <v>199</v>
      </c>
      <c r="D59" s="168">
        <v>28891.4</v>
      </c>
      <c r="E59" s="2"/>
      <c r="F59" s="513" t="s">
        <v>209</v>
      </c>
      <c r="G59" s="606">
        <f>H59+I59</f>
        <v>2379.6400000000003</v>
      </c>
      <c r="H59" s="606">
        <v>815.26</v>
      </c>
      <c r="I59" s="606">
        <v>1564.38</v>
      </c>
      <c r="J59" s="604">
        <v>500.24</v>
      </c>
      <c r="K59" s="2" t="s">
        <v>18</v>
      </c>
      <c r="L59" s="168">
        <v>14474.099999999999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73" ht="15.75" thickBot="1">
      <c r="C60" s="11" t="s">
        <v>209</v>
      </c>
      <c r="D60" s="565">
        <v>28339.37</v>
      </c>
      <c r="E60" s="2"/>
      <c r="F60" s="564" t="s">
        <v>210</v>
      </c>
      <c r="G60" s="607">
        <f>H60+I60</f>
        <v>2905.91</v>
      </c>
      <c r="H60" s="608">
        <v>1117.0999999999999</v>
      </c>
      <c r="I60" s="607">
        <v>1788.81</v>
      </c>
      <c r="J60" s="605">
        <v>1191.06</v>
      </c>
      <c r="K60" s="2" t="s">
        <v>19</v>
      </c>
      <c r="L60" s="706">
        <f>'ЗП июЛь'!L35</f>
        <v>17170.439999999999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73" ht="15.75" thickBot="1">
      <c r="C61" s="2" t="s">
        <v>210</v>
      </c>
      <c r="D61" s="145">
        <v>28933.9</v>
      </c>
      <c r="E61" s="2"/>
      <c r="F61" s="564" t="s">
        <v>340</v>
      </c>
      <c r="G61" s="643" t="s">
        <v>258</v>
      </c>
      <c r="H61" s="606">
        <v>999.89</v>
      </c>
      <c r="I61" t="s">
        <v>258</v>
      </c>
      <c r="J61" t="s">
        <v>258</v>
      </c>
      <c r="N61" s="1"/>
      <c r="O61" s="1"/>
      <c r="P61" s="1"/>
      <c r="Q61" s="1"/>
      <c r="R61" s="1"/>
      <c r="S61" s="1"/>
      <c r="T61" s="1"/>
      <c r="U61" s="1"/>
      <c r="V61" s="1"/>
    </row>
    <row r="62" spans="3:73">
      <c r="C62" s="144" t="s">
        <v>211</v>
      </c>
      <c r="D62" s="145">
        <v>23375.089999999997</v>
      </c>
      <c r="E62" s="2"/>
      <c r="F62" s="513" t="s">
        <v>9</v>
      </c>
      <c r="H62" s="769">
        <v>1134.25</v>
      </c>
    </row>
    <row r="63" spans="3:73">
      <c r="C63" s="2" t="s">
        <v>9</v>
      </c>
      <c r="D63" s="768">
        <v>22761.37</v>
      </c>
      <c r="E63" s="2"/>
      <c r="F63" s="2" t="s">
        <v>18</v>
      </c>
      <c r="H63" s="769">
        <v>1275.26</v>
      </c>
    </row>
    <row r="64" spans="3:73">
      <c r="C64" s="2" t="s">
        <v>18</v>
      </c>
      <c r="D64" s="168">
        <v>23251.61</v>
      </c>
      <c r="E64" s="2"/>
      <c r="F64" s="2" t="s">
        <v>19</v>
      </c>
    </row>
    <row r="65" spans="3:11">
      <c r="C65" s="2" t="s">
        <v>19</v>
      </c>
      <c r="D65" s="706">
        <f>'ЗП июЛь'!K35</f>
        <v>30633.54</v>
      </c>
      <c r="E65" s="2"/>
    </row>
    <row r="66" spans="3:11">
      <c r="E66" s="2"/>
      <c r="I66" s="1"/>
      <c r="J66" s="12"/>
      <c r="K66" s="363"/>
    </row>
    <row r="67" spans="3:11">
      <c r="E67" s="2"/>
      <c r="I67" s="12"/>
      <c r="J67" s="12"/>
      <c r="K67" s="363"/>
    </row>
    <row r="68" spans="3:11">
      <c r="E68" s="2"/>
    </row>
    <row r="69" spans="3:11">
      <c r="E69" s="2"/>
    </row>
    <row r="70" spans="3:11">
      <c r="E70" s="2"/>
    </row>
    <row r="71" spans="3:11">
      <c r="E71" s="2"/>
    </row>
    <row r="72" spans="3:11">
      <c r="E72" s="2"/>
    </row>
    <row r="73" spans="3:11">
      <c r="E73" s="2"/>
    </row>
    <row r="74" spans="3:11">
      <c r="E74" s="2"/>
    </row>
    <row r="75" spans="3:11">
      <c r="E75" s="2"/>
    </row>
    <row r="76" spans="3:11">
      <c r="E76" s="2"/>
    </row>
    <row r="77" spans="3:11">
      <c r="E77" s="2"/>
    </row>
    <row r="78" spans="3:11">
      <c r="E78" s="2"/>
    </row>
    <row r="79" spans="3:11">
      <c r="E79" s="2"/>
    </row>
    <row r="80" spans="3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0">
    <mergeCell ref="BG35:BK35"/>
    <mergeCell ref="BG36:BK36"/>
    <mergeCell ref="BG1:BI1"/>
    <mergeCell ref="BG37:BK37"/>
    <mergeCell ref="AY1:BA1"/>
    <mergeCell ref="C49:D49"/>
    <mergeCell ref="B43:C43"/>
    <mergeCell ref="D1:E1"/>
    <mergeCell ref="K1:L1"/>
    <mergeCell ref="Q44:R44"/>
    <mergeCell ref="BO1:BQ1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53" priority="39">
      <formula>$B4=7</formula>
    </cfRule>
    <cfRule type="expression" dxfId="52" priority="40">
      <formula>$B4=6</formula>
    </cfRule>
  </conditionalFormatting>
  <conditionalFormatting sqref="P4:U34">
    <cfRule type="expression" dxfId="51" priority="35">
      <formula>$B4=7</formula>
    </cfRule>
    <cfRule type="expression" dxfId="50" priority="36">
      <formula>$B4=6</formula>
    </cfRule>
  </conditionalFormatting>
  <conditionalFormatting sqref="I4:N34">
    <cfRule type="expression" dxfId="49" priority="37">
      <formula>$B4=7</formula>
    </cfRule>
    <cfRule type="expression" dxfId="48" priority="38">
      <formula>$B4=6</formula>
    </cfRule>
  </conditionalFormatting>
  <conditionalFormatting sqref="AC4:AH34">
    <cfRule type="expression" dxfId="47" priority="33">
      <formula>$B4=7</formula>
    </cfRule>
    <cfRule type="expression" dxfId="46" priority="34">
      <formula>$B4=6</formula>
    </cfRule>
  </conditionalFormatting>
  <conditionalFormatting sqref="AJ3:AN3 AM12:AN27 AM30:AN33 AM28 AL4:AN11 AJ4:AK33">
    <cfRule type="expression" dxfId="45" priority="31">
      <formula>$B3=7</formula>
    </cfRule>
    <cfRule type="expression" dxfId="44" priority="32">
      <formula>$B3=6</formula>
    </cfRule>
  </conditionalFormatting>
  <conditionalFormatting sqref="AL31">
    <cfRule type="expression" dxfId="43" priority="29">
      <formula>$B31=7</formula>
    </cfRule>
    <cfRule type="expression" dxfId="42" priority="30">
      <formula>$B31=6</formula>
    </cfRule>
  </conditionalFormatting>
  <conditionalFormatting sqref="AN28">
    <cfRule type="expression" dxfId="41" priority="27">
      <formula>$B28=7</formula>
    </cfRule>
    <cfRule type="expression" dxfId="40" priority="28">
      <formula>$B28=6</formula>
    </cfRule>
  </conditionalFormatting>
  <conditionalFormatting sqref="AL30">
    <cfRule type="expression" dxfId="39" priority="25">
      <formula>$B30=7</formula>
    </cfRule>
    <cfRule type="expression" dxfId="38" priority="26">
      <formula>$B30=6</formula>
    </cfRule>
  </conditionalFormatting>
  <conditionalFormatting sqref="AQ3:AU3 AT31:AU32 AT12:AU27 AU30 AU33 AS4:AU11 AQ4:AR33">
    <cfRule type="expression" dxfId="37" priority="23">
      <formula>$B3=7</formula>
    </cfRule>
    <cfRule type="expression" dxfId="36" priority="24">
      <formula>$B3=6</formula>
    </cfRule>
  </conditionalFormatting>
  <conditionalFormatting sqref="AS31">
    <cfRule type="expression" dxfId="35" priority="21">
      <formula>$B31=7</formula>
    </cfRule>
    <cfRule type="expression" dxfId="34" priority="22">
      <formula>$B31=6</formula>
    </cfRule>
  </conditionalFormatting>
  <conditionalFormatting sqref="AS30">
    <cfRule type="expression" dxfId="33" priority="19">
      <formula>$B30=7</formula>
    </cfRule>
    <cfRule type="expression" dxfId="32" priority="20">
      <formula>$B30=6</formula>
    </cfRule>
  </conditionalFormatting>
  <conditionalFormatting sqref="AS14:AS15">
    <cfRule type="expression" dxfId="31" priority="17">
      <formula>$B14=7</formula>
    </cfRule>
    <cfRule type="expression" dxfId="30" priority="18">
      <formula>$B14=6</formula>
    </cfRule>
  </conditionalFormatting>
  <conditionalFormatting sqref="AS21:AS22">
    <cfRule type="expression" dxfId="29" priority="15">
      <formula>$B21=7</formula>
    </cfRule>
    <cfRule type="expression" dxfId="28" priority="16">
      <formula>$B21=6</formula>
    </cfRule>
  </conditionalFormatting>
  <conditionalFormatting sqref="AS28:AS29">
    <cfRule type="expression" dxfId="27" priority="13">
      <formula>$B28=7</formula>
    </cfRule>
    <cfRule type="expression" dxfId="26" priority="14">
      <formula>$B28=6</formula>
    </cfRule>
  </conditionalFormatting>
  <conditionalFormatting sqref="AT28:AT29">
    <cfRule type="expression" dxfId="25" priority="11">
      <formula>$B28=7</formula>
    </cfRule>
    <cfRule type="expression" dxfId="24" priority="12">
      <formula>$B28=6</formula>
    </cfRule>
  </conditionalFormatting>
  <conditionalFormatting sqref="AU28:AU29">
    <cfRule type="expression" dxfId="23" priority="9">
      <formula>$B28=7</formula>
    </cfRule>
    <cfRule type="expression" dxfId="22" priority="10">
      <formula>$B28=6</formula>
    </cfRule>
  </conditionalFormatting>
  <conditionalFormatting sqref="AT30">
    <cfRule type="expression" dxfId="21" priority="7">
      <formula>$B30=7</formula>
    </cfRule>
    <cfRule type="expression" dxfId="20" priority="8">
      <formula>$B30=6</formula>
    </cfRule>
  </conditionalFormatting>
  <conditionalFormatting sqref="BA33:BB33 AW33:AX33 AW30:BB32 AW27:BA29 AW3:BB22 AW24:BB26 AW23:BA23">
    <cfRule type="expression" dxfId="19" priority="5">
      <formula>$B3=7</formula>
    </cfRule>
    <cfRule type="expression" dxfId="18" priority="6">
      <formula>$B3=6</formula>
    </cfRule>
  </conditionalFormatting>
  <conditionalFormatting sqref="BJ33:BK33 BH27:BJ29 BF3:BK3 BH23:BJ23 BH4:BK22 BH24:BK26 BF4:BG33 BH30:BK32">
    <cfRule type="expression" dxfId="17" priority="3">
      <formula>$B3=7</formula>
    </cfRule>
    <cfRule type="expression" dxfId="16" priority="4">
      <formula>$B3=6</formula>
    </cfRule>
  </conditionalFormatting>
  <conditionalFormatting sqref="BQ33:BR33 BO27:BQ29 BM3:BR3 BO23:BQ23 BO24:BR26 BO30:BR32 BM4:BN33 BO4:BR22">
    <cfRule type="expression" dxfId="15" priority="1">
      <formula>$B2=7</formula>
    </cfRule>
    <cfRule type="expression" dxfId="14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Normal="100" zoomScaleSheetLayoutView="70" zoomScalePageLayoutView="70" workbookViewId="0">
      <pane xSplit="1" ySplit="1" topLeftCell="B20" activePane="bottomRight" state="frozen"/>
      <selection pane="topRight" activeCell="B1" sqref="B1"/>
      <selection pane="bottomLeft" activeCell="A4" sqref="A4"/>
      <selection pane="bottomRight" activeCell="D39" sqref="D39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5</v>
      </c>
      <c r="C2" s="17">
        <v>43952</v>
      </c>
      <c r="D2" s="22">
        <v>677.5</v>
      </c>
      <c r="E2" s="22"/>
      <c r="F2" s="226"/>
      <c r="G2" s="227">
        <v>372</v>
      </c>
      <c r="H2" s="227"/>
      <c r="I2" s="702"/>
      <c r="J2" s="708">
        <v>129</v>
      </c>
      <c r="K2" s="464"/>
      <c r="L2" s="464"/>
      <c r="M2" s="464"/>
    </row>
    <row r="3" spans="1:17" ht="11.1" customHeight="1">
      <c r="B3" s="16">
        <f t="shared" ref="B3:B32" si="0">IF(C3="","",WEEKDAY(C3,2))</f>
        <v>6</v>
      </c>
      <c r="C3" s="17">
        <v>43953</v>
      </c>
      <c r="D3" s="22"/>
      <c r="E3" s="22">
        <v>630.65</v>
      </c>
      <c r="F3" s="226"/>
      <c r="G3" s="707">
        <v>257.2</v>
      </c>
      <c r="H3" s="707"/>
      <c r="I3" s="702"/>
      <c r="J3" s="709">
        <v>21.8</v>
      </c>
      <c r="K3" s="464"/>
      <c r="L3" s="464"/>
      <c r="M3" s="464"/>
    </row>
    <row r="4" spans="1:17" ht="11.1" customHeight="1">
      <c r="B4" s="16">
        <f t="shared" si="0"/>
        <v>7</v>
      </c>
      <c r="C4" s="17">
        <v>43954</v>
      </c>
      <c r="D4" s="22"/>
      <c r="E4" s="21">
        <v>797.96</v>
      </c>
      <c r="F4" s="226"/>
      <c r="G4" s="227">
        <v>365.3</v>
      </c>
      <c r="H4" s="227"/>
      <c r="I4" s="702"/>
      <c r="J4" s="709">
        <v>116</v>
      </c>
      <c r="K4" s="464"/>
      <c r="L4" s="464"/>
      <c r="M4" s="464"/>
    </row>
    <row r="5" spans="1:17" ht="11.1" customHeight="1">
      <c r="B5" s="16">
        <f t="shared" si="0"/>
        <v>1</v>
      </c>
      <c r="C5" s="17">
        <v>43955</v>
      </c>
      <c r="D5" s="22">
        <v>537.6</v>
      </c>
      <c r="E5" s="22"/>
      <c r="F5" s="226">
        <v>271</v>
      </c>
      <c r="G5" s="227"/>
      <c r="H5" s="227"/>
      <c r="I5" s="702"/>
      <c r="J5" s="708"/>
      <c r="K5" s="464"/>
      <c r="L5" s="464"/>
      <c r="M5" s="464"/>
    </row>
    <row r="6" spans="1:17" ht="11.1" customHeight="1">
      <c r="B6" s="16">
        <f t="shared" si="0"/>
        <v>2</v>
      </c>
      <c r="C6" s="17">
        <v>43956</v>
      </c>
      <c r="D6" s="22"/>
      <c r="E6" s="22">
        <v>407.1</v>
      </c>
      <c r="F6" s="226"/>
      <c r="G6" s="227">
        <v>688.5</v>
      </c>
      <c r="H6" s="227"/>
      <c r="I6" s="702"/>
      <c r="J6" s="708">
        <v>25</v>
      </c>
      <c r="K6" s="464"/>
      <c r="L6" s="464"/>
      <c r="M6" s="464"/>
    </row>
    <row r="7" spans="1:17" ht="11.1" customHeight="1">
      <c r="B7" s="16">
        <f t="shared" si="0"/>
        <v>3</v>
      </c>
      <c r="C7" s="17">
        <v>43957</v>
      </c>
      <c r="D7" s="22">
        <v>451.1</v>
      </c>
      <c r="E7" s="22"/>
      <c r="F7" s="226"/>
      <c r="G7" s="227">
        <v>584.79999999999995</v>
      </c>
      <c r="H7" s="227"/>
      <c r="I7" s="702"/>
      <c r="J7" s="708">
        <v>90</v>
      </c>
      <c r="K7" s="464"/>
      <c r="L7" s="464"/>
      <c r="M7" s="464"/>
    </row>
    <row r="8" spans="1:17" ht="11.1" customHeight="1">
      <c r="B8" s="16">
        <f t="shared" si="0"/>
        <v>4</v>
      </c>
      <c r="C8" s="17">
        <v>43958</v>
      </c>
      <c r="D8" s="22">
        <v>753.5</v>
      </c>
      <c r="E8" s="22"/>
      <c r="F8" s="226"/>
      <c r="G8" s="227">
        <v>423.2</v>
      </c>
      <c r="H8" s="227"/>
      <c r="I8" s="702"/>
      <c r="J8" s="708">
        <v>168.95</v>
      </c>
      <c r="K8" s="464"/>
      <c r="L8" s="464"/>
      <c r="M8" s="464"/>
    </row>
    <row r="9" spans="1:17" ht="11.1" customHeight="1">
      <c r="B9" s="16">
        <f>IF(C9="","",WEEKDAY(C9,2))</f>
        <v>5</v>
      </c>
      <c r="C9" s="17">
        <v>43959</v>
      </c>
      <c r="D9" s="22"/>
      <c r="E9" s="22">
        <v>561.5</v>
      </c>
      <c r="F9" s="226">
        <v>449</v>
      </c>
      <c r="G9" s="227"/>
      <c r="H9" s="227"/>
      <c r="I9" s="18"/>
      <c r="J9" s="465">
        <v>67.3</v>
      </c>
      <c r="K9" s="464"/>
      <c r="L9" s="464"/>
      <c r="M9" s="464"/>
    </row>
    <row r="10" spans="1:17" ht="11.1" customHeight="1">
      <c r="B10" s="16">
        <f t="shared" si="0"/>
        <v>6</v>
      </c>
      <c r="C10" s="17">
        <v>43960</v>
      </c>
      <c r="D10" s="22"/>
      <c r="E10" s="22">
        <v>386.4</v>
      </c>
      <c r="F10" s="226">
        <v>466.5</v>
      </c>
      <c r="G10" s="227"/>
      <c r="H10" s="227"/>
      <c r="I10" s="431"/>
      <c r="J10" s="465">
        <v>153.69999999999999</v>
      </c>
      <c r="K10" s="464"/>
      <c r="L10" s="464"/>
      <c r="M10" s="464"/>
    </row>
    <row r="11" spans="1:17" ht="11.1" customHeight="1">
      <c r="B11" s="16">
        <f t="shared" si="0"/>
        <v>7</v>
      </c>
      <c r="C11" s="17">
        <v>43961</v>
      </c>
      <c r="D11" s="22">
        <v>864</v>
      </c>
      <c r="E11" s="22"/>
      <c r="F11" s="226"/>
      <c r="G11" s="226">
        <v>408.6</v>
      </c>
      <c r="H11" s="710"/>
      <c r="I11" s="710"/>
      <c r="J11" s="465">
        <v>42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1</v>
      </c>
      <c r="C12" s="17">
        <v>43962</v>
      </c>
      <c r="D12" s="22">
        <v>516.25</v>
      </c>
      <c r="E12" s="22"/>
      <c r="F12" s="226"/>
      <c r="G12" s="226">
        <v>190.5</v>
      </c>
      <c r="H12" s="226"/>
      <c r="I12" s="226"/>
      <c r="J12" s="465"/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2</v>
      </c>
      <c r="C13" s="17">
        <v>43963</v>
      </c>
      <c r="D13" s="22"/>
      <c r="E13" s="22">
        <v>746.9</v>
      </c>
      <c r="F13" s="226"/>
      <c r="G13" s="226">
        <v>390.2</v>
      </c>
      <c r="H13" s="226"/>
      <c r="I13" s="226"/>
      <c r="J13" s="465">
        <v>204.75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3</v>
      </c>
      <c r="C14" s="17">
        <v>43964</v>
      </c>
      <c r="D14" s="22"/>
      <c r="E14" s="22">
        <v>463.2</v>
      </c>
      <c r="F14" s="226">
        <v>305.7</v>
      </c>
      <c r="G14" s="226"/>
      <c r="H14" s="226"/>
      <c r="I14" s="226"/>
      <c r="J14" s="465">
        <v>93.55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4</v>
      </c>
      <c r="C15" s="17">
        <v>43965</v>
      </c>
      <c r="D15" s="22">
        <v>948.3</v>
      </c>
      <c r="E15" s="22"/>
      <c r="F15" s="226"/>
      <c r="G15" s="226">
        <v>645.5</v>
      </c>
      <c r="H15" s="226"/>
      <c r="I15" s="689"/>
      <c r="J15" s="116">
        <v>28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5</v>
      </c>
      <c r="C16" s="17">
        <v>43966</v>
      </c>
      <c r="D16" s="22">
        <v>967.01</v>
      </c>
      <c r="F16" s="226"/>
      <c r="G16" s="226">
        <v>798.35</v>
      </c>
      <c r="H16" s="226"/>
      <c r="I16" s="14"/>
      <c r="J16" s="465">
        <v>97.85</v>
      </c>
      <c r="K16" s="464"/>
      <c r="L16" s="466"/>
      <c r="M16" s="466"/>
      <c r="N16" s="86"/>
      <c r="O16" s="86"/>
      <c r="P16" s="86"/>
      <c r="Q16" s="86"/>
    </row>
    <row r="17" spans="1:17" ht="11.1" customHeight="1">
      <c r="B17" s="16">
        <f t="shared" si="0"/>
        <v>6</v>
      </c>
      <c r="C17" s="17">
        <v>43967</v>
      </c>
      <c r="D17" s="22"/>
      <c r="E17" s="22">
        <v>440.35</v>
      </c>
      <c r="F17" s="226">
        <v>468.8</v>
      </c>
      <c r="G17" s="226"/>
      <c r="H17" s="226"/>
      <c r="I17" s="14"/>
      <c r="J17" s="465">
        <v>99</v>
      </c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7</v>
      </c>
      <c r="C18" s="17">
        <v>43968</v>
      </c>
      <c r="D18" s="22"/>
      <c r="E18" s="22">
        <v>1001.3</v>
      </c>
      <c r="F18" s="226"/>
      <c r="G18" s="226">
        <v>598.1</v>
      </c>
      <c r="H18" s="226"/>
      <c r="I18" s="226"/>
      <c r="J18" s="465">
        <v>196.7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1</v>
      </c>
      <c r="C19" s="17">
        <v>43969</v>
      </c>
      <c r="D19" s="22"/>
      <c r="E19" s="22">
        <v>540.5</v>
      </c>
      <c r="F19" s="226">
        <v>559.70000000000005</v>
      </c>
      <c r="G19" s="226"/>
      <c r="H19" s="226"/>
      <c r="I19" s="14"/>
      <c r="J19" s="465"/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2</v>
      </c>
      <c r="C20" s="17">
        <v>43970</v>
      </c>
      <c r="D20" s="22">
        <v>844.5</v>
      </c>
      <c r="E20" s="22"/>
      <c r="F20" s="226">
        <v>443.7</v>
      </c>
      <c r="G20" s="226"/>
      <c r="H20" s="226"/>
      <c r="I20" s="22"/>
      <c r="J20" s="468">
        <v>172.8</v>
      </c>
      <c r="K20" s="466"/>
      <c r="L20" s="466"/>
      <c r="M20" s="466"/>
    </row>
    <row r="21" spans="1:17" s="86" customFormat="1" ht="11.1" customHeight="1">
      <c r="B21" s="460">
        <f t="shared" si="0"/>
        <v>3</v>
      </c>
      <c r="C21" s="17">
        <v>43971</v>
      </c>
      <c r="D21" s="22"/>
      <c r="E21" s="22">
        <v>1418.5</v>
      </c>
      <c r="F21" s="226"/>
      <c r="G21" s="226">
        <v>444.6</v>
      </c>
      <c r="H21" s="226"/>
      <c r="I21" s="226"/>
      <c r="J21" s="468">
        <v>184.5</v>
      </c>
      <c r="K21" s="466"/>
      <c r="L21" s="466"/>
      <c r="M21" s="466"/>
    </row>
    <row r="22" spans="1:17" s="86" customFormat="1" ht="11.1" customHeight="1">
      <c r="B22" s="460">
        <f>IF(C22="","",WEEKDAY(C22,2))</f>
        <v>4</v>
      </c>
      <c r="C22" s="17">
        <v>43972</v>
      </c>
      <c r="D22" s="22"/>
      <c r="E22" s="22">
        <v>824.7</v>
      </c>
      <c r="F22" s="226"/>
      <c r="G22" s="226">
        <v>225.5</v>
      </c>
      <c r="H22" s="226"/>
      <c r="I22" s="226"/>
      <c r="J22" s="468">
        <v>45.9</v>
      </c>
      <c r="K22" s="466"/>
      <c r="L22" s="466"/>
      <c r="M22" s="466"/>
    </row>
    <row r="23" spans="1:17" s="86" customFormat="1" ht="11.1" customHeight="1">
      <c r="B23" s="460">
        <f t="shared" si="0"/>
        <v>5</v>
      </c>
      <c r="C23" s="17">
        <v>43973</v>
      </c>
      <c r="D23" s="22">
        <v>858.8</v>
      </c>
      <c r="E23" s="22"/>
      <c r="F23" s="226"/>
      <c r="G23" s="226">
        <v>417.4</v>
      </c>
      <c r="H23" s="226"/>
      <c r="I23" s="476"/>
      <c r="J23" s="468"/>
      <c r="K23" s="466"/>
      <c r="L23" s="466"/>
      <c r="M23" s="466"/>
    </row>
    <row r="24" spans="1:17" s="86" customFormat="1" ht="10.5" customHeight="1">
      <c r="B24" s="460">
        <f t="shared" si="0"/>
        <v>6</v>
      </c>
      <c r="C24" s="17">
        <v>43974</v>
      </c>
      <c r="D24" s="22"/>
      <c r="E24" s="22">
        <v>775.1</v>
      </c>
      <c r="F24" s="226">
        <v>388.5</v>
      </c>
      <c r="G24" s="226"/>
      <c r="H24" s="226"/>
      <c r="I24" s="226"/>
      <c r="J24" s="468"/>
      <c r="K24" s="466"/>
      <c r="L24" s="743"/>
      <c r="M24" s="466"/>
    </row>
    <row r="25" spans="1:17" s="86" customFormat="1" ht="11.1" customHeight="1">
      <c r="B25" s="460">
        <f t="shared" si="0"/>
        <v>7</v>
      </c>
      <c r="C25" s="17">
        <v>43975</v>
      </c>
      <c r="D25" s="22"/>
      <c r="E25" s="22">
        <v>835.3</v>
      </c>
      <c r="F25" s="226"/>
      <c r="G25" s="226"/>
      <c r="H25" s="226">
        <v>414.5</v>
      </c>
      <c r="I25" s="226"/>
      <c r="J25" s="468"/>
      <c r="K25" s="466"/>
      <c r="L25" s="466"/>
      <c r="M25" s="477"/>
    </row>
    <row r="26" spans="1:17" s="86" customFormat="1" ht="11.1" customHeight="1">
      <c r="B26" s="460">
        <f t="shared" si="0"/>
        <v>1</v>
      </c>
      <c r="C26" s="17">
        <v>43976</v>
      </c>
      <c r="D26" s="22">
        <v>683.5</v>
      </c>
      <c r="E26" s="22"/>
      <c r="F26" s="22"/>
      <c r="G26" s="515">
        <v>443.5</v>
      </c>
      <c r="H26" s="515"/>
      <c r="I26" s="226"/>
      <c r="J26" s="468"/>
      <c r="K26" s="466"/>
      <c r="L26" s="466"/>
      <c r="M26" s="477"/>
    </row>
    <row r="27" spans="1:17" s="86" customFormat="1" ht="11.1" customHeight="1">
      <c r="B27" s="460">
        <f t="shared" si="0"/>
        <v>2</v>
      </c>
      <c r="C27" s="17">
        <v>43977</v>
      </c>
      <c r="D27" s="22">
        <v>1194</v>
      </c>
      <c r="E27" s="22"/>
      <c r="F27" s="226"/>
      <c r="G27" s="226">
        <v>517.16999999999996</v>
      </c>
      <c r="H27" s="226"/>
      <c r="I27" s="226"/>
      <c r="J27" s="467"/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3</v>
      </c>
      <c r="C28" s="17">
        <v>43978</v>
      </c>
      <c r="D28" s="22"/>
      <c r="E28" s="22"/>
      <c r="F28" s="741">
        <v>960.4</v>
      </c>
      <c r="G28" s="226">
        <v>461.6</v>
      </c>
      <c r="H28" s="226"/>
      <c r="I28" s="226"/>
      <c r="J28" s="467"/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4</v>
      </c>
      <c r="C29" s="17">
        <v>43979</v>
      </c>
      <c r="D29" s="22"/>
      <c r="E29" s="22"/>
      <c r="F29" s="741">
        <v>663.75</v>
      </c>
      <c r="G29" s="226"/>
      <c r="H29" s="226">
        <v>246.2</v>
      </c>
      <c r="I29" s="226"/>
      <c r="J29" s="467"/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5</v>
      </c>
      <c r="C30" s="17">
        <v>43980</v>
      </c>
      <c r="D30" s="22">
        <v>656.6</v>
      </c>
      <c r="E30" s="226"/>
      <c r="G30" s="226"/>
      <c r="H30" s="226">
        <v>392.4</v>
      </c>
      <c r="I30" s="226"/>
      <c r="J30" s="467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6</v>
      </c>
      <c r="C31" s="17">
        <v>43981</v>
      </c>
      <c r="D31" s="22">
        <v>868.4</v>
      </c>
      <c r="E31" s="22"/>
      <c r="F31" s="226"/>
      <c r="G31" s="226">
        <v>667.8</v>
      </c>
      <c r="H31" s="226"/>
      <c r="I31" s="22"/>
      <c r="J31" s="470"/>
      <c r="K31" s="470"/>
      <c r="L31" s="470"/>
      <c r="M31" s="470"/>
      <c r="N31" s="366"/>
      <c r="O31" s="366"/>
      <c r="P31" s="366"/>
      <c r="Q31" s="366"/>
    </row>
    <row r="32" spans="1:17" s="86" customFormat="1" ht="12" customHeight="1">
      <c r="A32" s="475"/>
      <c r="B32" s="303">
        <f t="shared" si="0"/>
        <v>7</v>
      </c>
      <c r="C32" s="17">
        <v>43982</v>
      </c>
      <c r="D32" s="236"/>
      <c r="E32" s="236"/>
      <c r="F32" s="740">
        <v>486.7</v>
      </c>
      <c r="G32" s="305"/>
      <c r="H32" s="305">
        <v>306.7</v>
      </c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0" ht="12.95" customHeight="1" thickBot="1">
      <c r="B33" s="21"/>
      <c r="C33" s="612" t="s">
        <v>225</v>
      </c>
      <c r="D33" s="85">
        <f>COUNT(D2:D32)</f>
        <v>14</v>
      </c>
      <c r="E33" s="85">
        <f>COUNT(E2:E32)</f>
        <v>14</v>
      </c>
      <c r="F33" s="85">
        <f>COUNT(F2:F32)</f>
        <v>11</v>
      </c>
      <c r="G33" s="85">
        <f>COUNT(G2:G32)</f>
        <v>19</v>
      </c>
      <c r="H33" s="85">
        <f>COUNT(H2:H32)</f>
        <v>4</v>
      </c>
      <c r="J33" s="470"/>
      <c r="K33" s="470"/>
      <c r="L33" s="470"/>
      <c r="M33" s="470"/>
      <c r="N33" s="366"/>
      <c r="O33" s="366"/>
      <c r="P33" s="366"/>
      <c r="Q33" s="366"/>
    </row>
    <row r="34" spans="1:20" ht="12.75" customHeight="1" thickBot="1">
      <c r="B34" s="21"/>
      <c r="C34" s="85" t="s">
        <v>13</v>
      </c>
      <c r="D34" s="238">
        <f>SUM(D2:D32)</f>
        <v>10821.060000000001</v>
      </c>
      <c r="E34" s="238">
        <f>SUM(E2:E32)</f>
        <v>9829.4600000000009</v>
      </c>
      <c r="F34" s="238">
        <f>SUM(F2:F32)</f>
        <v>5463.7499999999991</v>
      </c>
      <c r="G34" s="238">
        <f>SUM(G2:G32)</f>
        <v>8899.82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0" ht="13.9" customHeight="1" thickBot="1">
      <c r="B35" s="21"/>
      <c r="C35" s="85" t="s">
        <v>22</v>
      </c>
      <c r="D35" s="238">
        <v>9715.75</v>
      </c>
      <c r="E35" s="238">
        <v>8507.9</v>
      </c>
      <c r="F35" s="238">
        <v>5200.25</v>
      </c>
      <c r="G35" s="238">
        <v>7935.22</v>
      </c>
      <c r="H35" s="66"/>
      <c r="I35" s="12"/>
      <c r="J35" s="292">
        <f>SUM(D2:E32)+F28+F29+F32</f>
        <v>22761.37</v>
      </c>
      <c r="K35" s="292">
        <f>SUM(F2:G27)+G28+H25+H29+H30+G31+H32</f>
        <v>13612.520000000002</v>
      </c>
      <c r="L35" s="454">
        <f>SUM(J2:J32)</f>
        <v>1936.8</v>
      </c>
      <c r="M35" s="363"/>
      <c r="N35" s="366"/>
      <c r="O35" s="366"/>
      <c r="P35" s="366"/>
      <c r="Q35" s="366"/>
    </row>
    <row r="36" spans="1:20" ht="13.9" customHeight="1">
      <c r="B36" s="21"/>
      <c r="C36" s="85" t="s">
        <v>5</v>
      </c>
      <c r="D36" s="88">
        <f>ABS(D34-D35)</f>
        <v>1105.3100000000013</v>
      </c>
      <c r="E36" s="88">
        <f>ABS(E34-E35)</f>
        <v>1321.5600000000013</v>
      </c>
      <c r="F36" s="88">
        <f>ABS(F34-F35)</f>
        <v>263.49999999999909</v>
      </c>
      <c r="G36" s="88">
        <f>ABS(G34-G35)</f>
        <v>964.59999999999945</v>
      </c>
      <c r="H36" s="68"/>
      <c r="I36" s="1"/>
      <c r="J36" s="363" t="s">
        <v>356</v>
      </c>
      <c r="K36" s="363" t="s">
        <v>356</v>
      </c>
      <c r="L36" s="363"/>
      <c r="M36" s="363"/>
      <c r="N36" s="366"/>
      <c r="O36" s="366"/>
      <c r="P36" s="366"/>
      <c r="Q36" s="366"/>
    </row>
    <row r="37" spans="1:20" ht="13.9" customHeight="1">
      <c r="B37" s="21"/>
      <c r="C37" s="739" t="s">
        <v>233</v>
      </c>
      <c r="D37" s="89">
        <f>ROUND(D36*1%,2)</f>
        <v>11.05</v>
      </c>
      <c r="E37" s="89">
        <f>ROUND(E36*1%,2)</f>
        <v>13.22</v>
      </c>
      <c r="F37" s="89">
        <f>ROUND(F36*1%,2)</f>
        <v>2.63</v>
      </c>
      <c r="G37" s="89">
        <f>ROUND(G36*1%,2)</f>
        <v>9.65</v>
      </c>
      <c r="H37" s="70"/>
      <c r="I37" s="1"/>
      <c r="J37" s="363">
        <f>D44+E44</f>
        <v>1230.98</v>
      </c>
      <c r="K37" s="363">
        <f>F44+G44</f>
        <v>1105.8000000000002</v>
      </c>
      <c r="L37" s="363"/>
      <c r="M37" s="363"/>
      <c r="N37" s="366"/>
      <c r="O37" s="366"/>
      <c r="P37" s="366"/>
      <c r="Q37" s="366"/>
    </row>
    <row r="38" spans="1:20" ht="13.9" customHeight="1">
      <c r="B38" s="21"/>
      <c r="C38" s="738" t="s">
        <v>234</v>
      </c>
      <c r="D38" s="89">
        <f>ROUND(3%*D35,2)</f>
        <v>291.47000000000003</v>
      </c>
      <c r="E38" s="89">
        <f>ROUND(3%*E35,2)</f>
        <v>255.24</v>
      </c>
      <c r="F38" s="89">
        <f>ROUND(3%*F35,2)</f>
        <v>156.01</v>
      </c>
      <c r="G38" s="89">
        <f>ROUND(3%*G35,2)</f>
        <v>238.06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0" ht="11.25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0" ht="13.9" customHeight="1">
      <c r="B40" s="21"/>
      <c r="C40" s="85" t="s">
        <v>244</v>
      </c>
      <c r="D40" s="87">
        <f>ROUND(20*D33,2)</f>
        <v>280</v>
      </c>
      <c r="E40" s="87">
        <f>ROUND(20*E33,2)</f>
        <v>280</v>
      </c>
      <c r="F40" s="490">
        <f>ROUND(23*8,2)+20*3</f>
        <v>244</v>
      </c>
      <c r="G40" s="88">
        <f>ROUND(23*G33,2)</f>
        <v>437</v>
      </c>
      <c r="H40" s="68"/>
      <c r="I40" s="8"/>
      <c r="J40" s="283">
        <f>D43+E43</f>
        <v>712.3900000000001</v>
      </c>
      <c r="K40" s="145"/>
      <c r="L40" s="145"/>
      <c r="M40" s="363"/>
      <c r="N40" s="366"/>
      <c r="O40" s="366"/>
      <c r="P40" s="366"/>
      <c r="Q40" s="366"/>
    </row>
    <row r="41" spans="1:20" ht="12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0" ht="11.25" customHeight="1">
      <c r="B42" s="21"/>
      <c r="C42" s="242" t="s">
        <v>48</v>
      </c>
      <c r="D42" s="243"/>
      <c r="E42" s="240"/>
      <c r="F42" s="87"/>
      <c r="G42" s="87">
        <f>3%*(375+204+36)</f>
        <v>18.45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0" ht="13.9" customHeight="1">
      <c r="B43" s="21"/>
      <c r="C43" s="245" t="s">
        <v>77</v>
      </c>
      <c r="D43" s="456">
        <f>D37+D38+D39+D40-D41</f>
        <v>294.81</v>
      </c>
      <c r="E43" s="456">
        <f>E37+E38+E39+E40-E41-E42</f>
        <v>417.58000000000004</v>
      </c>
      <c r="F43" s="456">
        <f>F37+F38+F39+F40-F41-F42</f>
        <v>402.64</v>
      </c>
      <c r="G43" s="456">
        <f>G37+G38+G39+G40-G41+G42</f>
        <v>446.07000000000005</v>
      </c>
      <c r="H43" s="730"/>
      <c r="I43" s="8"/>
      <c r="J43" s="145"/>
      <c r="K43" s="145"/>
      <c r="L43" s="366"/>
      <c r="M43" s="366"/>
      <c r="N43" s="366"/>
      <c r="O43" s="366"/>
      <c r="P43" s="366"/>
      <c r="Q43" s="366"/>
    </row>
    <row r="44" spans="1:20" ht="13.9" customHeight="1">
      <c r="B44" s="21"/>
      <c r="C44" s="286" t="s">
        <v>45</v>
      </c>
      <c r="D44" s="287">
        <f>D37+D38+D39+D40</f>
        <v>632.52</v>
      </c>
      <c r="E44" s="287">
        <f>E37+E38+E39+E40</f>
        <v>598.46</v>
      </c>
      <c r="F44" s="287">
        <f>F37+F38+F39+F40</f>
        <v>402.64</v>
      </c>
      <c r="G44" s="287">
        <f>G37+G38+G39+G40+G42</f>
        <v>703.16000000000008</v>
      </c>
      <c r="H44" s="462"/>
      <c r="I44" s="8"/>
      <c r="J44" s="462"/>
      <c r="K44" s="366"/>
      <c r="L44" s="366"/>
      <c r="M44" s="366"/>
      <c r="N44" s="366"/>
      <c r="O44" s="366"/>
      <c r="P44" s="366"/>
      <c r="Q44" s="366"/>
    </row>
    <row r="45" spans="1:20" ht="12.95" customHeight="1">
      <c r="B45" s="21"/>
      <c r="C45" s="169"/>
      <c r="D45" s="364"/>
      <c r="E45" s="462"/>
      <c r="F45" s="8"/>
      <c r="G45" s="8"/>
      <c r="H45" s="8"/>
      <c r="J45" s="128"/>
      <c r="K45" s="520"/>
      <c r="L45" s="213"/>
      <c r="M45" s="213"/>
      <c r="N45" s="213"/>
      <c r="O45" s="213"/>
      <c r="P45" s="213"/>
      <c r="Q45" s="213"/>
      <c r="R45" s="7"/>
      <c r="S45" s="7"/>
      <c r="T45" s="521"/>
    </row>
    <row r="46" spans="1:20" ht="12.95" customHeight="1">
      <c r="A46" s="8"/>
      <c r="B46" s="31"/>
      <c r="C46" s="1071" t="s">
        <v>352</v>
      </c>
      <c r="D46" s="1071"/>
      <c r="E46" s="1071"/>
      <c r="F46" s="1071"/>
      <c r="G46" s="1071"/>
      <c r="H46" s="723"/>
      <c r="I46" s="8"/>
      <c r="J46" s="68"/>
      <c r="K46" s="522"/>
      <c r="L46" s="366"/>
      <c r="M46" s="366"/>
      <c r="N46" s="145"/>
      <c r="O46" s="366"/>
      <c r="P46" s="366"/>
      <c r="Q46" s="366"/>
      <c r="R46" s="1"/>
      <c r="S46" s="1"/>
      <c r="T46" s="523"/>
    </row>
    <row r="47" spans="1:20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2"/>
      <c r="K47" s="522"/>
      <c r="L47" s="366"/>
      <c r="M47" s="366"/>
      <c r="N47" s="145"/>
      <c r="O47" s="366"/>
      <c r="P47" s="366"/>
      <c r="Q47" s="366"/>
      <c r="R47" s="1"/>
      <c r="S47" s="1"/>
      <c r="T47" s="523"/>
    </row>
    <row r="48" spans="1:20" ht="12.95" customHeight="1">
      <c r="B48" s="32"/>
      <c r="C48" s="1"/>
      <c r="D48" s="1"/>
      <c r="E48" s="127"/>
      <c r="G48" s="8"/>
      <c r="H48" s="8"/>
      <c r="I48" s="207"/>
      <c r="J48" s="68"/>
      <c r="K48" s="522"/>
      <c r="L48" s="366"/>
      <c r="M48" s="366"/>
      <c r="N48" s="366"/>
      <c r="O48" s="366"/>
      <c r="P48" s="366"/>
      <c r="Q48" s="366"/>
      <c r="R48" s="1"/>
      <c r="S48" s="1"/>
      <c r="T48" s="523"/>
    </row>
    <row r="49" spans="1:20" s="86" customFormat="1" ht="12.95" customHeight="1">
      <c r="B49" s="517"/>
      <c r="C49" s="518"/>
      <c r="D49" s="518"/>
      <c r="E49" s="518"/>
      <c r="F49" s="518"/>
      <c r="G49" s="518"/>
      <c r="H49" s="518"/>
      <c r="I49" s="519"/>
      <c r="J49" s="561"/>
      <c r="K49" s="366"/>
      <c r="L49" s="366"/>
      <c r="M49" s="366"/>
      <c r="N49" s="366"/>
      <c r="O49" s="366"/>
      <c r="P49" s="366"/>
      <c r="Q49" s="366"/>
      <c r="R49" s="366"/>
      <c r="S49" s="366"/>
      <c r="T49" s="166"/>
    </row>
    <row r="50" spans="1:20" s="86" customFormat="1" ht="12.95" customHeight="1">
      <c r="C50" s="518"/>
      <c r="D50" s="518"/>
      <c r="E50" s="550"/>
      <c r="F50" s="550"/>
      <c r="G50" s="518"/>
      <c r="H50" s="518"/>
      <c r="I50" s="168"/>
      <c r="J50" s="551"/>
      <c r="K50" s="524"/>
      <c r="L50" s="518"/>
      <c r="M50" s="366"/>
      <c r="N50" s="366"/>
      <c r="O50" s="366"/>
      <c r="P50" s="366"/>
      <c r="Q50" s="366"/>
      <c r="R50" s="366"/>
      <c r="S50" s="366"/>
      <c r="T50" s="166"/>
    </row>
    <row r="51" spans="1:20" s="86" customFormat="1" ht="12" customHeight="1">
      <c r="A51" s="366"/>
      <c r="B51" s="366"/>
      <c r="C51" s="518"/>
      <c r="D51" s="518"/>
      <c r="E51" s="550"/>
      <c r="F51" s="550"/>
      <c r="G51" s="518"/>
      <c r="H51" s="518"/>
      <c r="I51" s="519"/>
      <c r="J51" s="518"/>
      <c r="K51" s="524"/>
      <c r="L51" s="518"/>
      <c r="M51" s="366"/>
      <c r="N51" s="366"/>
      <c r="O51" s="366"/>
      <c r="P51" s="366"/>
      <c r="Q51" s="366"/>
      <c r="R51" s="366"/>
      <c r="S51" s="366"/>
      <c r="T51" s="166"/>
    </row>
    <row r="52" spans="1:20" s="86" customFormat="1" ht="18.75">
      <c r="A52" s="366"/>
      <c r="B52" s="366"/>
      <c r="C52" s="366"/>
      <c r="D52" s="366"/>
      <c r="E52" s="144"/>
      <c r="I52" s="519"/>
      <c r="J52" s="518"/>
      <c r="K52" s="524"/>
      <c r="L52" s="518"/>
      <c r="M52" s="366"/>
      <c r="N52" s="366"/>
      <c r="O52" s="366"/>
      <c r="P52" s="366"/>
      <c r="Q52" s="366"/>
      <c r="R52" s="366"/>
      <c r="S52" s="366"/>
      <c r="T52" s="166"/>
    </row>
    <row r="53" spans="1:20" s="86" customFormat="1">
      <c r="A53" s="366"/>
      <c r="B53" s="366"/>
      <c r="C53" s="366"/>
      <c r="D53" s="366"/>
      <c r="E53" s="144"/>
      <c r="J53" s="143"/>
      <c r="K53" s="522"/>
      <c r="L53" s="366"/>
      <c r="M53" s="366"/>
      <c r="N53" s="366"/>
      <c r="O53" s="366"/>
      <c r="P53" s="366"/>
      <c r="Q53" s="366"/>
      <c r="R53" s="366"/>
      <c r="S53" s="366"/>
      <c r="T53" s="166"/>
    </row>
    <row r="54" spans="1:20" s="86" customFormat="1" ht="15" customHeight="1">
      <c r="A54" s="366"/>
      <c r="B54" s="366"/>
      <c r="C54" s="366"/>
      <c r="D54" s="366"/>
      <c r="E54" s="144"/>
      <c r="I54" s="550"/>
      <c r="J54" s="366"/>
      <c r="K54" s="522"/>
      <c r="L54" s="366"/>
      <c r="M54" s="366"/>
      <c r="N54" s="366"/>
      <c r="O54" s="366"/>
      <c r="P54" s="366"/>
      <c r="Q54" s="366"/>
      <c r="R54" s="366"/>
      <c r="S54" s="366"/>
      <c r="T54" s="166"/>
    </row>
    <row r="55" spans="1:20" s="86" customFormat="1" ht="15" customHeight="1">
      <c r="A55" s="366"/>
      <c r="B55" s="366"/>
      <c r="C55" s="366"/>
      <c r="D55" s="366"/>
      <c r="E55" s="144"/>
      <c r="I55" s="550"/>
      <c r="J55" s="366"/>
      <c r="K55" s="522"/>
      <c r="L55" s="366"/>
      <c r="M55" s="366"/>
      <c r="N55" s="366"/>
      <c r="O55" s="366"/>
      <c r="P55" s="366"/>
      <c r="Q55" s="366"/>
      <c r="R55" s="366"/>
      <c r="S55" s="366"/>
      <c r="T55" s="166"/>
    </row>
    <row r="56" spans="1:20" s="86" customFormat="1" ht="15" customHeight="1">
      <c r="A56" s="366"/>
      <c r="B56" s="366"/>
      <c r="C56" s="366"/>
      <c r="D56" s="366"/>
      <c r="E56" s="144"/>
      <c r="I56" s="550"/>
      <c r="J56" s="366"/>
      <c r="K56" s="522"/>
      <c r="L56" s="366"/>
      <c r="M56" s="366"/>
      <c r="N56" s="366"/>
      <c r="O56" s="366"/>
      <c r="P56" s="366"/>
      <c r="Q56" s="366"/>
      <c r="R56" s="366"/>
      <c r="S56" s="366"/>
      <c r="T56" s="166"/>
    </row>
    <row r="57" spans="1:20" s="86" customFormat="1">
      <c r="A57" s="366"/>
      <c r="B57" s="366"/>
      <c r="C57" s="366"/>
      <c r="D57" s="366"/>
      <c r="E57" s="144"/>
      <c r="I57" s="168"/>
      <c r="K57" s="522"/>
      <c r="L57" s="366"/>
      <c r="M57" s="366"/>
      <c r="N57" s="366"/>
      <c r="O57" s="366"/>
      <c r="P57" s="366"/>
      <c r="Q57" s="366"/>
      <c r="R57" s="366"/>
      <c r="S57" s="366"/>
      <c r="T57" s="166"/>
    </row>
    <row r="58" spans="1:20" s="86" customFormat="1">
      <c r="A58" s="366"/>
      <c r="B58" s="366"/>
      <c r="C58" s="366"/>
      <c r="D58" s="366"/>
      <c r="E58" s="144"/>
      <c r="K58" s="522"/>
      <c r="L58" s="366"/>
      <c r="M58" s="366"/>
      <c r="N58" s="366"/>
      <c r="O58" s="366"/>
      <c r="P58" s="366"/>
      <c r="Q58" s="366"/>
      <c r="R58" s="366"/>
      <c r="S58" s="366"/>
      <c r="T58" s="166"/>
    </row>
    <row r="59" spans="1:20" s="86" customFormat="1">
      <c r="A59" s="366"/>
      <c r="B59" s="366"/>
      <c r="C59" s="366"/>
      <c r="D59" s="366"/>
      <c r="E59" s="144"/>
      <c r="K59" s="522"/>
      <c r="L59" s="366"/>
      <c r="M59" s="366"/>
      <c r="N59" s="366"/>
      <c r="O59" s="366"/>
      <c r="P59" s="366"/>
      <c r="Q59" s="366"/>
      <c r="R59" s="366"/>
      <c r="S59" s="366"/>
      <c r="T59" s="166"/>
    </row>
    <row r="60" spans="1:20" s="86" customFormat="1">
      <c r="A60" s="366"/>
      <c r="B60" s="366"/>
      <c r="C60" s="366"/>
      <c r="D60" s="366"/>
      <c r="E60" s="144"/>
      <c r="K60" s="522"/>
      <c r="L60" s="366"/>
      <c r="M60" s="366"/>
      <c r="N60" s="366"/>
      <c r="O60" s="366"/>
      <c r="P60" s="366"/>
      <c r="Q60" s="366"/>
      <c r="R60" s="366"/>
      <c r="S60" s="366"/>
      <c r="T60" s="166"/>
    </row>
    <row r="61" spans="1:20" s="86" customFormat="1">
      <c r="A61" s="366"/>
      <c r="B61" s="366"/>
      <c r="C61" s="366"/>
      <c r="D61" s="366"/>
      <c r="E61" s="144"/>
      <c r="K61" s="522"/>
      <c r="L61" s="366"/>
      <c r="M61" s="366"/>
      <c r="N61" s="366"/>
      <c r="O61" s="366"/>
      <c r="P61" s="366"/>
      <c r="Q61" s="366"/>
      <c r="R61" s="366"/>
      <c r="S61" s="366"/>
      <c r="T61" s="166"/>
    </row>
    <row r="62" spans="1:20">
      <c r="A62" s="1"/>
      <c r="B62" s="1"/>
      <c r="C62" s="1"/>
      <c r="D62" s="1"/>
      <c r="E62" s="11"/>
      <c r="K62" s="525"/>
      <c r="L62" s="526"/>
      <c r="M62" s="526"/>
      <c r="N62" s="526"/>
      <c r="O62" s="526"/>
      <c r="P62" s="526"/>
      <c r="Q62" s="526"/>
      <c r="R62" s="526"/>
      <c r="S62" s="526"/>
      <c r="T62" s="527"/>
    </row>
    <row r="63" spans="1:20">
      <c r="A63" s="1"/>
      <c r="B63" s="1"/>
      <c r="C63" s="1"/>
      <c r="D63" s="1"/>
      <c r="E63" s="11"/>
    </row>
    <row r="64" spans="1:20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M2:N15">
    <sortCondition ref="N2"/>
  </sortState>
  <mergeCells count="1">
    <mergeCell ref="C46:G46"/>
  </mergeCells>
  <conditionalFormatting sqref="F32:H32 B2:H2 F4:H4 D4 D26:F28 D5:H15 D29:H29 D31:H31 G30:H30 D30:E30 D3:H3 D17:H25 F16:H16 D16 B3:C32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3"/>
  <sheetViews>
    <sheetView topLeftCell="A34" zoomScale="85" zoomScaleNormal="85" zoomScaleSheetLayoutView="70" zoomScalePageLayoutView="70" workbookViewId="0">
      <selection activeCell="I45" sqref="I45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082" t="s">
        <v>358</v>
      </c>
      <c r="B1" s="1082"/>
      <c r="C1" s="1082"/>
      <c r="D1" s="1082"/>
      <c r="E1" s="1082"/>
      <c r="F1" s="1082"/>
      <c r="G1" s="1082"/>
      <c r="H1" s="1082"/>
      <c r="I1" s="1082"/>
      <c r="J1" s="1082"/>
      <c r="K1" s="1082"/>
      <c r="L1" s="1082"/>
      <c r="M1" s="1082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083"/>
      <c r="B2" s="1083"/>
      <c r="C2" s="1083"/>
      <c r="D2" s="1083"/>
      <c r="E2" s="1083"/>
      <c r="F2" s="1083"/>
      <c r="G2" s="1083"/>
      <c r="H2" s="1083"/>
      <c r="I2" s="1083"/>
      <c r="J2" s="1083"/>
      <c r="K2" s="1083"/>
      <c r="L2" s="1083"/>
      <c r="M2" s="1083"/>
      <c r="N2" s="751"/>
      <c r="O2" s="780"/>
      <c r="P2" s="780"/>
      <c r="Q2" s="780"/>
      <c r="R2" s="366"/>
      <c r="S2" s="780"/>
      <c r="T2" s="780"/>
      <c r="U2" s="780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91" t="s">
        <v>346</v>
      </c>
      <c r="B3" s="1037"/>
      <c r="C3" s="1037"/>
      <c r="D3" s="1037"/>
      <c r="E3" s="1037"/>
      <c r="F3" s="1037"/>
      <c r="G3" s="1038"/>
      <c r="H3" s="1121" t="s">
        <v>345</v>
      </c>
      <c r="I3" s="1122"/>
      <c r="J3" s="1122"/>
      <c r="K3" s="1122"/>
      <c r="L3" s="1122"/>
      <c r="M3" s="1123"/>
      <c r="N3" s="751"/>
      <c r="O3" s="366"/>
      <c r="P3" s="366"/>
      <c r="Q3" s="366"/>
      <c r="R3" s="366"/>
      <c r="S3" s="366"/>
      <c r="T3" s="366"/>
      <c r="U3" s="366"/>
      <c r="V3" s="780"/>
      <c r="W3" s="780"/>
      <c r="X3" s="366"/>
      <c r="Y3" s="780"/>
      <c r="Z3" s="668"/>
      <c r="AA3" s="366"/>
      <c r="AB3" s="366"/>
      <c r="AC3" s="366"/>
      <c r="AD3" s="753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45" t="s">
        <v>34</v>
      </c>
      <c r="C4" s="36" t="s">
        <v>35</v>
      </c>
      <c r="D4" s="36" t="s">
        <v>38</v>
      </c>
      <c r="E4" s="36" t="s">
        <v>42</v>
      </c>
      <c r="F4" s="745" t="s">
        <v>36</v>
      </c>
      <c r="G4" s="100" t="s">
        <v>173</v>
      </c>
      <c r="H4" s="715" t="s">
        <v>2</v>
      </c>
      <c r="I4" s="1105" t="s">
        <v>34</v>
      </c>
      <c r="J4" s="1105"/>
      <c r="K4" s="781" t="s">
        <v>35</v>
      </c>
      <c r="L4" s="1124" t="s">
        <v>173</v>
      </c>
      <c r="M4" s="1125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 t="s">
        <v>219</v>
      </c>
      <c r="B5" s="161" t="s">
        <v>222</v>
      </c>
      <c r="C5" s="275">
        <v>297.27</v>
      </c>
      <c r="D5" s="275">
        <v>297.27</v>
      </c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>оплачено</v>
      </c>
      <c r="G5" s="162" t="s">
        <v>361</v>
      </c>
      <c r="H5" s="717"/>
      <c r="I5" s="1115"/>
      <c r="J5" s="1116"/>
      <c r="K5" s="481">
        <v>7130</v>
      </c>
      <c r="L5" s="1117"/>
      <c r="M5" s="1118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 t="s">
        <v>219</v>
      </c>
      <c r="B6" s="276" t="s">
        <v>155</v>
      </c>
      <c r="C6" s="275">
        <v>153.37</v>
      </c>
      <c r="D6" s="275">
        <v>153.37</v>
      </c>
      <c r="E6" s="576" t="str">
        <f t="shared" ref="E6:E19" si="2">IF(C6-D6=0,"",C6-D6)</f>
        <v/>
      </c>
      <c r="F6" s="162" t="str">
        <f t="shared" ref="F6:F19" si="3">IF(C6=0,"",IF(C6-D6=0,"оплачено","ОЖИДАЕТСЯ оплата"))</f>
        <v>оплачено</v>
      </c>
      <c r="G6" s="162" t="s">
        <v>361</v>
      </c>
      <c r="H6" s="717"/>
      <c r="I6" s="1115" t="s">
        <v>27</v>
      </c>
      <c r="J6" s="1116"/>
      <c r="K6" s="481">
        <v>648.25</v>
      </c>
      <c r="L6" s="1117"/>
      <c r="M6" s="1118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62"/>
      <c r="AG6" s="1062"/>
      <c r="AH6" s="366"/>
      <c r="AI6" s="366"/>
    </row>
    <row r="7" spans="1:35" s="86" customFormat="1">
      <c r="A7" s="325">
        <v>44008</v>
      </c>
      <c r="B7" s="161" t="s">
        <v>372</v>
      </c>
      <c r="C7" s="275">
        <v>2238.84</v>
      </c>
      <c r="D7" s="275">
        <v>2238.84</v>
      </c>
      <c r="E7" s="576" t="str">
        <f t="shared" si="2"/>
        <v/>
      </c>
      <c r="F7" s="162" t="str">
        <f t="shared" si="3"/>
        <v>оплачено</v>
      </c>
      <c r="G7" s="162" t="s">
        <v>131</v>
      </c>
      <c r="H7" s="717"/>
      <c r="I7" s="1115"/>
      <c r="J7" s="1116"/>
      <c r="K7" s="481"/>
      <c r="L7" s="1119"/>
      <c r="M7" s="1120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62"/>
      <c r="AG7" s="1062"/>
      <c r="AH7" s="366"/>
      <c r="AI7" s="366"/>
    </row>
    <row r="8" spans="1:35" s="86" customFormat="1">
      <c r="A8" s="325">
        <v>44011</v>
      </c>
      <c r="B8" s="161" t="s">
        <v>82</v>
      </c>
      <c r="C8" s="275">
        <v>208</v>
      </c>
      <c r="D8" s="275">
        <v>208</v>
      </c>
      <c r="E8" s="576" t="str">
        <f t="shared" si="2"/>
        <v/>
      </c>
      <c r="F8" s="162" t="str">
        <f t="shared" si="3"/>
        <v>оплачено</v>
      </c>
      <c r="G8" s="162"/>
      <c r="H8" s="717"/>
      <c r="I8" s="1115"/>
      <c r="J8" s="1116"/>
      <c r="K8" s="481"/>
      <c r="L8" s="1119"/>
      <c r="M8" s="1120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44011</v>
      </c>
      <c r="B9" s="161" t="s">
        <v>363</v>
      </c>
      <c r="C9" s="275">
        <v>266.05</v>
      </c>
      <c r="D9" s="275">
        <v>266.05</v>
      </c>
      <c r="E9" s="576" t="str">
        <f t="shared" si="2"/>
        <v/>
      </c>
      <c r="F9" s="162" t="str">
        <f t="shared" si="3"/>
        <v>оплачено</v>
      </c>
      <c r="G9" s="162"/>
      <c r="H9" s="717"/>
      <c r="I9" s="1115"/>
      <c r="J9" s="1116"/>
      <c r="K9" s="481"/>
      <c r="L9" s="1119"/>
      <c r="M9" s="1120"/>
      <c r="N9" s="754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44008</v>
      </c>
      <c r="B10" s="161" t="s">
        <v>257</v>
      </c>
      <c r="C10" s="275">
        <v>136.56</v>
      </c>
      <c r="D10" s="275">
        <v>136.56</v>
      </c>
      <c r="E10" s="576" t="str">
        <f t="shared" si="2"/>
        <v/>
      </c>
      <c r="F10" s="162" t="str">
        <f t="shared" si="3"/>
        <v>оплачено</v>
      </c>
      <c r="G10" s="162"/>
      <c r="H10" s="717"/>
      <c r="I10" s="1115"/>
      <c r="J10" s="1116"/>
      <c r="K10" s="481"/>
      <c r="L10" s="1119"/>
      <c r="M10" s="1120"/>
      <c r="N10" s="754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2"/>
        <v/>
      </c>
      <c r="F11" s="162" t="str">
        <f t="shared" si="3"/>
        <v/>
      </c>
      <c r="G11" s="162"/>
      <c r="H11" s="717"/>
      <c r="I11" s="1115"/>
      <c r="J11" s="1116"/>
      <c r="K11" s="481"/>
      <c r="L11" s="1054"/>
      <c r="M11" s="1112"/>
      <c r="N11" s="754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2"/>
        <v/>
      </c>
      <c r="F12" s="162" t="str">
        <f t="shared" si="3"/>
        <v/>
      </c>
      <c r="G12" s="162"/>
      <c r="H12" s="717"/>
      <c r="I12" s="1115"/>
      <c r="J12" s="1116"/>
      <c r="K12" s="481"/>
      <c r="L12" s="1054"/>
      <c r="M12" s="1112"/>
      <c r="N12" s="754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2"/>
        <v/>
      </c>
      <c r="F13" s="162" t="str">
        <f t="shared" si="3"/>
        <v/>
      </c>
      <c r="G13" s="162"/>
      <c r="H13" s="717"/>
      <c r="I13" s="1115"/>
      <c r="J13" s="1116"/>
      <c r="K13" s="481"/>
      <c r="L13" s="1054"/>
      <c r="M13" s="1112"/>
      <c r="N13" s="754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2"/>
        <v/>
      </c>
      <c r="F14" s="162" t="str">
        <f t="shared" si="3"/>
        <v/>
      </c>
      <c r="G14" s="162"/>
      <c r="H14" s="717"/>
      <c r="I14" s="1115"/>
      <c r="J14" s="1116"/>
      <c r="K14" s="481"/>
      <c r="L14" s="1054"/>
      <c r="M14" s="1112"/>
      <c r="N14" s="754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2"/>
        <v/>
      </c>
      <c r="F15" s="162" t="str">
        <f t="shared" si="3"/>
        <v/>
      </c>
      <c r="G15" s="162"/>
      <c r="H15" s="717"/>
      <c r="I15" s="1115"/>
      <c r="J15" s="1116"/>
      <c r="K15" s="481"/>
      <c r="L15" s="1054"/>
      <c r="M15" s="1112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2"/>
        <v/>
      </c>
      <c r="F16" s="162" t="str">
        <f t="shared" si="3"/>
        <v/>
      </c>
      <c r="G16" s="162"/>
      <c r="H16" s="717"/>
      <c r="I16" s="1115"/>
      <c r="J16" s="1116"/>
      <c r="K16" s="481"/>
      <c r="L16" s="1054"/>
      <c r="M16" s="1112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2"/>
        <v/>
      </c>
      <c r="F17" s="162" t="str">
        <f t="shared" si="3"/>
        <v/>
      </c>
      <c r="G17" s="162"/>
      <c r="H17" s="717"/>
      <c r="I17" s="1115"/>
      <c r="J17" s="1116"/>
      <c r="K17" s="481"/>
      <c r="L17" s="1054"/>
      <c r="M17" s="1112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2"/>
        <v/>
      </c>
      <c r="F18" s="162" t="str">
        <f t="shared" si="3"/>
        <v/>
      </c>
      <c r="G18" s="162"/>
      <c r="H18" s="717"/>
      <c r="I18" s="1115"/>
      <c r="J18" s="1116"/>
      <c r="K18" s="481"/>
      <c r="L18" s="1054"/>
      <c r="M18" s="1112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2"/>
        <v/>
      </c>
      <c r="F19" s="162" t="str">
        <f t="shared" si="3"/>
        <v/>
      </c>
      <c r="G19" s="162"/>
      <c r="H19" s="717"/>
      <c r="I19" s="1115"/>
      <c r="J19" s="1116"/>
      <c r="K19" s="481"/>
      <c r="L19" s="1054"/>
      <c r="M19" s="1112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092" t="s">
        <v>259</v>
      </c>
      <c r="B20" s="1093"/>
      <c r="C20" s="358">
        <f>SUM(C5:C19)</f>
        <v>3300.09</v>
      </c>
      <c r="D20" s="358"/>
      <c r="E20" s="160">
        <f>SUM(E5:E19)</f>
        <v>0</v>
      </c>
      <c r="F20" s="162"/>
      <c r="G20" s="451"/>
      <c r="H20" s="1109" t="s">
        <v>259</v>
      </c>
      <c r="I20" s="1110"/>
      <c r="J20" s="1111"/>
      <c r="K20" s="716">
        <f>SUM(K4:K19)</f>
        <v>7778.25</v>
      </c>
      <c r="L20" s="1113"/>
      <c r="M20" s="1114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39" t="s">
        <v>16</v>
      </c>
      <c r="I21" s="1041" t="s">
        <v>17</v>
      </c>
      <c r="J21" s="1041" t="s">
        <v>21</v>
      </c>
      <c r="K21" s="1041"/>
      <c r="L21" s="1043" t="s">
        <v>93</v>
      </c>
      <c r="M21" s="1045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040"/>
      <c r="I22" s="1042"/>
      <c r="J22" s="750" t="s">
        <v>21</v>
      </c>
      <c r="K22" s="750" t="s">
        <v>25</v>
      </c>
      <c r="L22" s="1044"/>
      <c r="M22" s="1046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4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4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4"/>
        <v>112611.86999999998</v>
      </c>
      <c r="N27" s="1"/>
      <c r="O27" s="448"/>
      <c r="P27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4"/>
        <v>98984.919999999984</v>
      </c>
      <c r="N28" s="1"/>
      <c r="O28" s="189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4"/>
        <v>91825.64999999998</v>
      </c>
      <c r="N29" s="1"/>
      <c r="O29" s="449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4"/>
        <v>89703.379999999976</v>
      </c>
      <c r="N30" s="1"/>
      <c r="O30" s="449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4"/>
        <v>94325.64999999998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380">
        <v>28933.9</v>
      </c>
      <c r="J32" s="432">
        <v>954.3</v>
      </c>
      <c r="K32" s="773">
        <v>1267.8599999999999</v>
      </c>
      <c r="L32" s="773">
        <v>22833.599999999999</v>
      </c>
      <c r="M32" s="104">
        <f t="shared" si="4"/>
        <v>86003.189999999973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771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772">
        <v>70105.570000000007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9</v>
      </c>
      <c r="I34" s="728">
        <f>'зп май'!J35</f>
        <v>22761.37</v>
      </c>
      <c r="J34" s="438">
        <f>116.9+42+40.8+6+67.5+160+87+4.9+69+6+31.5+264.5+501.5+19+1.4+367.5</f>
        <v>1785.5</v>
      </c>
      <c r="K34" s="645">
        <f>515+347.7+121.5+12.5</f>
        <v>996.7</v>
      </c>
      <c r="L34" s="645">
        <v>30847</v>
      </c>
      <c r="M34" s="772">
        <f>M33-I34-J34-K34+L34</f>
        <v>75409.000000000015</v>
      </c>
      <c r="N34" s="1"/>
      <c r="O34" s="127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Bot="1">
      <c r="A35" s="339"/>
      <c r="B35" s="199"/>
      <c r="C35" s="1"/>
      <c r="D35" s="273"/>
      <c r="E35" s="366"/>
      <c r="F35" s="366"/>
      <c r="G35" s="366"/>
      <c r="H35" s="727" t="s">
        <v>18</v>
      </c>
      <c r="I35" s="774">
        <v>23251.61</v>
      </c>
      <c r="J35" s="775">
        <v>3103.5</v>
      </c>
      <c r="K35" s="776">
        <v>1099.29</v>
      </c>
      <c r="L35" s="776">
        <v>20113.5</v>
      </c>
      <c r="M35" s="772">
        <f>M34-I35-J35-K35+L35</f>
        <v>68068.100000000006</v>
      </c>
      <c r="N35" s="1"/>
      <c r="O35" s="127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 thickTop="1">
      <c r="A36" s="339"/>
      <c r="B36" s="199"/>
      <c r="C36" s="1"/>
      <c r="D36" s="273"/>
      <c r="E36" s="84"/>
      <c r="F36" s="366"/>
      <c r="G36" s="366"/>
      <c r="H36" s="1023" t="s">
        <v>36</v>
      </c>
      <c r="I36" s="1025" t="s">
        <v>178</v>
      </c>
      <c r="J36" s="1026"/>
      <c r="K36" s="1027"/>
      <c r="L36" s="1031" t="s">
        <v>159</v>
      </c>
      <c r="M36" s="1031"/>
      <c r="N36" s="786" t="s">
        <v>370</v>
      </c>
      <c r="O36" s="127"/>
      <c r="P36" s="84"/>
      <c r="Q36" s="145"/>
      <c r="R36" s="145"/>
      <c r="S36" s="86"/>
      <c r="T36" s="86"/>
      <c r="U36" s="86"/>
      <c r="V36" s="86"/>
      <c r="W36" s="86"/>
      <c r="X36" s="86"/>
      <c r="Y36" s="366"/>
      <c r="Z36" s="366"/>
    </row>
    <row r="37" spans="1:26" ht="13.5" customHeight="1">
      <c r="A37" s="339"/>
      <c r="B37" s="199"/>
      <c r="C37" s="284"/>
      <c r="D37" s="273"/>
      <c r="E37" s="284"/>
      <c r="F37" s="366"/>
      <c r="G37" s="378"/>
      <c r="H37" s="1024"/>
      <c r="I37" s="1028"/>
      <c r="J37" s="1029"/>
      <c r="K37" s="1030"/>
      <c r="L37" s="1033"/>
      <c r="M37" s="1033"/>
      <c r="N37" s="787" t="s">
        <v>189</v>
      </c>
      <c r="O37" s="127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 ht="15.75" customHeight="1">
      <c r="A38" s="339"/>
      <c r="B38" s="199"/>
      <c r="C38" s="199"/>
      <c r="D38" s="273"/>
      <c r="E38" s="199"/>
      <c r="F38" s="366"/>
      <c r="G38" s="378"/>
      <c r="H38" s="529" t="s">
        <v>250</v>
      </c>
      <c r="I38" s="1102" t="s">
        <v>47</v>
      </c>
      <c r="J38" s="1102"/>
      <c r="K38" s="781">
        <v>328.13</v>
      </c>
      <c r="L38" s="282">
        <v>43997</v>
      </c>
      <c r="M38" s="1" t="s">
        <v>324</v>
      </c>
      <c r="N38" s="788">
        <v>132</v>
      </c>
      <c r="O38" s="127"/>
      <c r="P38" s="84"/>
      <c r="Q38" s="145"/>
      <c r="R38" s="84"/>
      <c r="S38" s="86"/>
      <c r="T38" s="86"/>
      <c r="U38" s="86"/>
      <c r="V38" s="294"/>
      <c r="W38" s="86"/>
      <c r="X38" s="86"/>
      <c r="Y38" s="366"/>
      <c r="Z38" s="366"/>
    </row>
    <row r="39" spans="1:26">
      <c r="A39" s="339"/>
      <c r="B39" s="366"/>
      <c r="C39" s="274"/>
      <c r="D39" s="273"/>
      <c r="E39" s="274"/>
      <c r="F39" s="366"/>
      <c r="G39" s="366"/>
      <c r="H39" s="529" t="s">
        <v>250</v>
      </c>
      <c r="I39" s="1100" t="s">
        <v>51</v>
      </c>
      <c r="J39" s="1100"/>
      <c r="K39" s="756">
        <v>71.83</v>
      </c>
      <c r="L39" s="282">
        <v>43997</v>
      </c>
      <c r="M39" s="1" t="s">
        <v>324</v>
      </c>
      <c r="N39" s="789">
        <v>40</v>
      </c>
      <c r="O39" s="127"/>
      <c r="P39" s="84"/>
      <c r="Q39" s="145"/>
      <c r="R39" s="273"/>
      <c r="S39" s="366"/>
      <c r="T39" s="86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199"/>
      <c r="F40" s="366"/>
      <c r="G40" s="366"/>
      <c r="H40" s="529" t="s">
        <v>250</v>
      </c>
      <c r="I40" s="1100" t="s">
        <v>52</v>
      </c>
      <c r="J40" s="1100"/>
      <c r="K40" s="756">
        <v>5.63</v>
      </c>
      <c r="L40" s="282">
        <v>43997</v>
      </c>
      <c r="M40" s="1" t="s">
        <v>324</v>
      </c>
      <c r="N40" s="789">
        <v>3</v>
      </c>
      <c r="O40" s="127"/>
      <c r="P40" s="84"/>
      <c r="Q40" s="145"/>
      <c r="R40" s="273"/>
      <c r="S40" s="366"/>
      <c r="T40" s="294"/>
      <c r="U40" s="86"/>
      <c r="V40" s="366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782" t="s">
        <v>364</v>
      </c>
      <c r="I41" s="1100" t="s">
        <v>49</v>
      </c>
      <c r="J41" s="1100"/>
      <c r="K41" s="756">
        <v>314</v>
      </c>
      <c r="L41" s="783" t="s">
        <v>367</v>
      </c>
      <c r="M41" s="1" t="s">
        <v>104</v>
      </c>
      <c r="N41" s="788">
        <v>200</v>
      </c>
      <c r="O41" s="127"/>
      <c r="P41" s="760"/>
      <c r="Q41" s="366"/>
      <c r="R41" s="753"/>
      <c r="S41" s="366"/>
      <c r="T41" s="294"/>
      <c r="U41" s="86"/>
      <c r="V41" s="294"/>
      <c r="W41" s="294"/>
      <c r="X41" s="294"/>
      <c r="Y41" s="366"/>
    </row>
    <row r="42" spans="1:26">
      <c r="A42" s="340"/>
      <c r="B42" s="366"/>
      <c r="C42" s="366"/>
      <c r="D42" s="273"/>
      <c r="E42" s="366"/>
      <c r="F42" s="366"/>
      <c r="G42" s="366"/>
      <c r="H42" s="529" t="s">
        <v>250</v>
      </c>
      <c r="I42" s="1101" t="s">
        <v>59</v>
      </c>
      <c r="J42" s="1101"/>
      <c r="K42" s="759">
        <v>102.73</v>
      </c>
      <c r="L42" s="302" t="s">
        <v>177</v>
      </c>
      <c r="M42" s="1" t="s">
        <v>324</v>
      </c>
      <c r="N42" s="790">
        <v>102.73</v>
      </c>
      <c r="O42" s="127"/>
      <c r="P42" s="685"/>
      <c r="Q42" s="366"/>
      <c r="R42" s="753"/>
      <c r="S42" s="366"/>
      <c r="T42" s="294"/>
      <c r="U42" s="86"/>
      <c r="V42" s="294"/>
      <c r="W42" s="366"/>
      <c r="X42" s="366"/>
      <c r="Y42" s="366"/>
    </row>
    <row r="43" spans="1:26">
      <c r="A43" s="340"/>
      <c r="B43" s="199"/>
      <c r="C43" s="199"/>
      <c r="D43" s="273"/>
      <c r="E43" s="199"/>
      <c r="F43" s="366"/>
      <c r="G43" s="366"/>
      <c r="H43" s="529" t="s">
        <v>250</v>
      </c>
      <c r="I43" s="1089" t="s">
        <v>68</v>
      </c>
      <c r="J43" s="1090"/>
      <c r="K43" s="756">
        <v>188.54</v>
      </c>
      <c r="L43" s="282">
        <v>44002</v>
      </c>
      <c r="M43" s="1" t="s">
        <v>324</v>
      </c>
      <c r="N43" s="790">
        <f>K43/2</f>
        <v>94.27</v>
      </c>
      <c r="O43" s="127"/>
      <c r="P43" s="682"/>
      <c r="Q43" s="753"/>
      <c r="R43" s="753"/>
      <c r="S43" s="366"/>
      <c r="T43" s="366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529" t="s">
        <v>250</v>
      </c>
      <c r="I44" s="757" t="s">
        <v>174</v>
      </c>
      <c r="J44" s="758"/>
      <c r="K44" s="5">
        <f>337.71</f>
        <v>337.71</v>
      </c>
      <c r="L44" s="282">
        <v>43997</v>
      </c>
      <c r="M44" s="1" t="s">
        <v>324</v>
      </c>
      <c r="N44" s="791">
        <f>K44</f>
        <v>337.71</v>
      </c>
      <c r="O44" s="127"/>
      <c r="P44" s="682"/>
      <c r="Q44" s="753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199"/>
      <c r="F45" s="366"/>
      <c r="G45" s="366"/>
      <c r="H45" s="529" t="s">
        <v>250</v>
      </c>
      <c r="I45" s="757" t="s">
        <v>176</v>
      </c>
      <c r="J45" s="758"/>
      <c r="K45" s="756">
        <v>409.71</v>
      </c>
      <c r="L45" s="282">
        <v>44002</v>
      </c>
      <c r="M45" s="1" t="s">
        <v>324</v>
      </c>
      <c r="N45" s="789">
        <f>K45</f>
        <v>409.71</v>
      </c>
      <c r="O45" s="127"/>
      <c r="P45" s="449"/>
      <c r="Q45" s="753"/>
      <c r="R45" s="365"/>
      <c r="S45" s="366"/>
      <c r="T45" s="294"/>
      <c r="U45" s="294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089" t="s">
        <v>81</v>
      </c>
      <c r="J46" s="1090"/>
      <c r="K46" s="756">
        <v>1251.52</v>
      </c>
      <c r="L46" s="282">
        <v>43997</v>
      </c>
      <c r="M46" s="1" t="s">
        <v>324</v>
      </c>
      <c r="N46" s="789">
        <f>K46/2</f>
        <v>625.76</v>
      </c>
      <c r="O46" s="449"/>
      <c r="P46" s="84"/>
      <c r="Q46" s="753"/>
      <c r="R46" s="753"/>
      <c r="S46" s="366"/>
      <c r="T46" s="294"/>
      <c r="U46" s="366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089" t="s">
        <v>181</v>
      </c>
      <c r="J47" s="1090"/>
      <c r="K47" s="756">
        <v>10</v>
      </c>
      <c r="L47" s="282">
        <v>43997</v>
      </c>
      <c r="M47" s="1" t="s">
        <v>324</v>
      </c>
      <c r="N47" s="791">
        <f>K47</f>
        <v>10</v>
      </c>
      <c r="O47" s="127"/>
      <c r="P47" s="145"/>
      <c r="Q47" s="753"/>
      <c r="R47" s="366"/>
      <c r="S47" s="366"/>
      <c r="T47" s="294"/>
      <c r="U47" s="294"/>
      <c r="V47" s="366"/>
      <c r="W47" s="294"/>
      <c r="X47" s="294"/>
      <c r="Y47" s="366"/>
    </row>
    <row r="48" spans="1:26">
      <c r="A48" s="340" t="s">
        <v>343</v>
      </c>
      <c r="B48" s="199"/>
      <c r="C48" s="366"/>
      <c r="D48" s="273"/>
      <c r="E48" s="232"/>
      <c r="F48" s="366"/>
      <c r="G48" s="366"/>
      <c r="H48" s="529" t="s">
        <v>250</v>
      </c>
      <c r="I48" s="1017" t="s">
        <v>61</v>
      </c>
      <c r="J48" s="1017"/>
      <c r="K48" s="93">
        <v>1134.25</v>
      </c>
      <c r="L48" s="282">
        <v>44002</v>
      </c>
      <c r="M48" s="1" t="s">
        <v>324</v>
      </c>
      <c r="N48" s="789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017" t="s">
        <v>298</v>
      </c>
      <c r="J49" s="1017"/>
      <c r="K49" s="93">
        <v>73</v>
      </c>
      <c r="L49" s="282">
        <v>44002</v>
      </c>
      <c r="M49" s="1" t="s">
        <v>324</v>
      </c>
      <c r="N49" s="788">
        <v>40</v>
      </c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017" t="s">
        <v>299</v>
      </c>
      <c r="J50" s="1017"/>
      <c r="K50" s="93">
        <v>50</v>
      </c>
      <c r="L50" s="282">
        <v>43997</v>
      </c>
      <c r="M50" s="1" t="s">
        <v>324</v>
      </c>
      <c r="N50" s="789">
        <v>50</v>
      </c>
      <c r="P50" s="449"/>
      <c r="Q50" s="273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017" t="s">
        <v>300</v>
      </c>
      <c r="J51" s="1017"/>
      <c r="K51" s="93">
        <v>150</v>
      </c>
      <c r="L51" s="282">
        <v>44012</v>
      </c>
      <c r="M51" s="1" t="s">
        <v>324</v>
      </c>
      <c r="N51" s="789">
        <v>150</v>
      </c>
      <c r="O51" s="12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250</v>
      </c>
      <c r="I52" s="1017" t="s">
        <v>325</v>
      </c>
      <c r="J52" s="1017"/>
      <c r="K52" s="93">
        <v>18</v>
      </c>
      <c r="L52" s="282">
        <v>43997</v>
      </c>
      <c r="M52" s="1" t="s">
        <v>324</v>
      </c>
      <c r="N52" s="790">
        <v>9</v>
      </c>
      <c r="O52" s="150"/>
      <c r="P52" s="449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 t="s">
        <v>250</v>
      </c>
      <c r="I53" s="1021" t="s">
        <v>374</v>
      </c>
      <c r="J53" s="1022"/>
      <c r="K53" s="93">
        <f>796.42+262.54</f>
        <v>1058.96</v>
      </c>
      <c r="L53" s="282"/>
      <c r="M53" s="1"/>
      <c r="N53" s="810">
        <f>K53</f>
        <v>1058.96</v>
      </c>
      <c r="O53" s="150"/>
      <c r="P53" s="449"/>
      <c r="Q53" s="365"/>
      <c r="R53" s="365"/>
      <c r="S53" s="366"/>
      <c r="T53" s="294"/>
      <c r="U53" s="294"/>
      <c r="V53" s="366"/>
      <c r="W53" s="294"/>
      <c r="X53" s="294"/>
      <c r="Y53" s="366"/>
    </row>
    <row r="54" spans="1:25" ht="15.75" thickBot="1">
      <c r="A54" s="341"/>
      <c r="B54" s="330"/>
      <c r="C54" s="331"/>
      <c r="D54" s="342"/>
      <c r="E54" s="330"/>
      <c r="F54" s="331"/>
      <c r="G54" s="331"/>
      <c r="H54" s="1128" t="s">
        <v>179</v>
      </c>
      <c r="I54" s="1108"/>
      <c r="J54" s="361">
        <f>SUM(K38:K53)</f>
        <v>5504.01</v>
      </c>
      <c r="K54" s="1018" t="s">
        <v>180</v>
      </c>
      <c r="L54" s="1018"/>
      <c r="M54" s="785">
        <v>0</v>
      </c>
      <c r="N54" s="792">
        <f>SUM(N38:N53)</f>
        <v>3263.1400000000003</v>
      </c>
      <c r="P54" s="449"/>
      <c r="Q54" s="365"/>
      <c r="R54" s="366"/>
      <c r="S54" s="366"/>
      <c r="T54" s="294"/>
      <c r="U54" s="366"/>
      <c r="V54" s="366"/>
      <c r="W54" s="366"/>
      <c r="X54" s="366"/>
      <c r="Y54" s="366"/>
    </row>
    <row r="55" spans="1:25" ht="15.75" thickTop="1">
      <c r="A55" s="366"/>
      <c r="B55" s="366"/>
      <c r="C55" s="366"/>
      <c r="D55" s="366"/>
      <c r="E55" s="366"/>
      <c r="F55" s="366"/>
      <c r="G55" s="366"/>
      <c r="H55" s="1081"/>
      <c r="I55" s="1081"/>
      <c r="J55" s="1081"/>
      <c r="K55" s="1081"/>
      <c r="L55" s="366"/>
      <c r="M55" s="442"/>
      <c r="N55" s="1"/>
      <c r="P55" s="449"/>
      <c r="Q55" s="365"/>
      <c r="R55" s="366"/>
      <c r="S55" s="366"/>
      <c r="T55" s="366"/>
      <c r="U55" s="366"/>
      <c r="V55" s="366"/>
      <c r="W55" s="366"/>
      <c r="X55" s="366"/>
      <c r="Y55" s="366"/>
    </row>
    <row r="56" spans="1:25" ht="15" customHeight="1">
      <c r="A56" s="1082" t="s">
        <v>375</v>
      </c>
      <c r="B56" s="1082"/>
      <c r="C56" s="1082"/>
      <c r="D56" s="1082"/>
      <c r="E56" s="1082"/>
      <c r="F56" s="1082"/>
      <c r="G56" s="1082"/>
      <c r="H56" s="1082"/>
      <c r="I56" s="1082"/>
      <c r="J56" s="1082"/>
      <c r="K56" s="1082"/>
      <c r="L56" s="1082"/>
      <c r="M56" s="1082"/>
      <c r="N56" s="1"/>
      <c r="O56" s="150"/>
      <c r="P56" s="449"/>
      <c r="Q56" s="365"/>
      <c r="R56" s="366"/>
      <c r="S56" s="366"/>
      <c r="T56" s="366"/>
      <c r="U56" s="366"/>
      <c r="V56" s="366"/>
      <c r="W56" s="366"/>
      <c r="X56" s="366"/>
    </row>
    <row r="57" spans="1:25" ht="15.75" customHeight="1" thickBot="1">
      <c r="A57" s="1083"/>
      <c r="B57" s="1083"/>
      <c r="C57" s="1083"/>
      <c r="D57" s="1083"/>
      <c r="E57" s="1083"/>
      <c r="F57" s="1083"/>
      <c r="G57" s="1083"/>
      <c r="H57" s="1083"/>
      <c r="I57" s="1083"/>
      <c r="J57" s="1083"/>
      <c r="K57" s="1083"/>
      <c r="L57" s="1083"/>
      <c r="M57" s="1083"/>
      <c r="N57" s="1"/>
      <c r="P57" s="449"/>
      <c r="Q57" s="365"/>
      <c r="R57" s="365"/>
      <c r="S57" s="753"/>
      <c r="T57" s="366"/>
      <c r="U57" s="366"/>
      <c r="V57" s="366"/>
      <c r="W57" s="366"/>
      <c r="X57" s="366"/>
    </row>
    <row r="58" spans="1:25" ht="15.75" thickTop="1">
      <c r="A58" s="1091" t="s">
        <v>346</v>
      </c>
      <c r="B58" s="1037"/>
      <c r="C58" s="1037"/>
      <c r="D58" s="1037"/>
      <c r="E58" s="1037"/>
      <c r="F58" s="1037"/>
      <c r="G58" s="1038"/>
      <c r="H58" s="1121" t="s">
        <v>345</v>
      </c>
      <c r="I58" s="1122"/>
      <c r="J58" s="1122"/>
      <c r="K58" s="1122"/>
      <c r="L58" s="1122"/>
      <c r="M58" s="1123"/>
      <c r="N58" s="1"/>
      <c r="P58" s="449"/>
      <c r="Q58" s="366"/>
      <c r="S58" s="274"/>
      <c r="T58" s="366"/>
      <c r="U58" s="366"/>
      <c r="V58" s="366"/>
      <c r="W58" s="366"/>
      <c r="X58" s="366"/>
    </row>
    <row r="59" spans="1:25">
      <c r="A59" s="324" t="s">
        <v>2</v>
      </c>
      <c r="B59" s="745" t="s">
        <v>34</v>
      </c>
      <c r="C59" s="36" t="s">
        <v>35</v>
      </c>
      <c r="D59" s="36" t="s">
        <v>38</v>
      </c>
      <c r="E59" s="36" t="s">
        <v>42</v>
      </c>
      <c r="F59" s="745" t="s">
        <v>36</v>
      </c>
      <c r="G59" s="100" t="s">
        <v>173</v>
      </c>
      <c r="H59" s="715" t="s">
        <v>2</v>
      </c>
      <c r="I59" s="1105" t="s">
        <v>34</v>
      </c>
      <c r="J59" s="1105"/>
      <c r="K59" s="755" t="s">
        <v>35</v>
      </c>
      <c r="L59" s="1124" t="s">
        <v>173</v>
      </c>
      <c r="M59" s="1125"/>
      <c r="N59" s="1"/>
      <c r="P59" s="449"/>
      <c r="Q59" s="366"/>
      <c r="S59" s="274"/>
      <c r="T59" s="366"/>
      <c r="U59" s="366"/>
      <c r="V59" s="366"/>
      <c r="W59" s="366"/>
      <c r="X59" s="366"/>
    </row>
    <row r="60" spans="1:25">
      <c r="A60" s="325">
        <v>43973</v>
      </c>
      <c r="B60" s="161" t="s">
        <v>263</v>
      </c>
      <c r="C60" s="275">
        <v>210.82</v>
      </c>
      <c r="D60" s="275">
        <v>210.82</v>
      </c>
      <c r="E60" s="576" t="str">
        <f t="shared" ref="E60" si="5">IF(C60-D60=0,"",C60-D60)</f>
        <v/>
      </c>
      <c r="F60" s="162" t="str">
        <f t="shared" ref="F60" si="6">IF(C60=0,"",IF(C60-D60=0,"оплачено","ОЖИДАЕТСЯ оплата"))</f>
        <v>оплачено</v>
      </c>
      <c r="G60" s="162" t="s">
        <v>131</v>
      </c>
      <c r="H60" s="717" t="str">
        <f>IF(S4="","",S4)</f>
        <v/>
      </c>
      <c r="I60" s="1115" t="str">
        <f>IF(T4="","",T4)</f>
        <v/>
      </c>
      <c r="J60" s="1116"/>
      <c r="K60" s="481" t="str">
        <f>IF(U4="","",U4)</f>
        <v/>
      </c>
      <c r="L60" s="1117"/>
      <c r="M60" s="1118"/>
      <c r="N60" s="1"/>
      <c r="P60" s="449"/>
      <c r="Q60" s="366"/>
      <c r="S60" s="366"/>
      <c r="T60" s="84"/>
      <c r="U60" s="366"/>
      <c r="W60" s="366"/>
      <c r="X60" s="366"/>
    </row>
    <row r="61" spans="1:25">
      <c r="A61" s="325">
        <v>43985</v>
      </c>
      <c r="B61" s="161" t="s">
        <v>320</v>
      </c>
      <c r="C61" s="275">
        <v>308.64999999999998</v>
      </c>
      <c r="D61" s="275">
        <v>308.64999999999998</v>
      </c>
      <c r="E61" s="576" t="str">
        <f t="shared" ref="E61:E75" si="7">IF(C61-D61=0,"",C61-D61)</f>
        <v/>
      </c>
      <c r="F61" s="162" t="str">
        <f t="shared" ref="F61:F75" si="8">IF(C61=0,"",IF(C61-D61=0,"оплачено","ОЖИДАЕТСЯ оплата"))</f>
        <v>оплачено</v>
      </c>
      <c r="G61" s="162"/>
      <c r="H61" s="717" t="str">
        <f t="shared" ref="H61:H75" si="9">IF(S5="","",S5)</f>
        <v/>
      </c>
      <c r="I61" s="1115" t="str">
        <f t="shared" ref="I61:I75" si="10">IF(T5="","",T5)</f>
        <v/>
      </c>
      <c r="J61" s="1116"/>
      <c r="K61" s="481" t="str">
        <f t="shared" ref="K61:K75" si="11">IF(U5="","",U5)</f>
        <v/>
      </c>
      <c r="L61" s="1117"/>
      <c r="M61" s="1118"/>
      <c r="N61" s="1"/>
      <c r="P61" s="449"/>
      <c r="Q61" s="366"/>
      <c r="S61" s="366"/>
      <c r="T61" s="366"/>
      <c r="U61" s="366"/>
      <c r="W61" s="366"/>
      <c r="X61" s="366"/>
    </row>
    <row r="62" spans="1:25">
      <c r="A62" s="325">
        <v>43999</v>
      </c>
      <c r="B62" s="161" t="s">
        <v>263</v>
      </c>
      <c r="C62" s="275">
        <v>52.25</v>
      </c>
      <c r="D62" s="275">
        <v>52.25</v>
      </c>
      <c r="E62" s="576" t="str">
        <f t="shared" si="7"/>
        <v/>
      </c>
      <c r="F62" s="162" t="str">
        <f t="shared" si="8"/>
        <v>оплачено</v>
      </c>
      <c r="G62" s="162"/>
      <c r="H62" s="717" t="str">
        <f t="shared" si="9"/>
        <v/>
      </c>
      <c r="I62" s="1115" t="str">
        <f t="shared" si="10"/>
        <v/>
      </c>
      <c r="J62" s="1116"/>
      <c r="K62" s="481" t="str">
        <f t="shared" si="11"/>
        <v/>
      </c>
      <c r="L62" s="1119"/>
      <c r="M62" s="1120"/>
      <c r="N62" s="1"/>
      <c r="P62" s="449"/>
      <c r="T62" s="366"/>
      <c r="U62" s="366"/>
    </row>
    <row r="63" spans="1:25">
      <c r="A63" s="325">
        <v>43998</v>
      </c>
      <c r="B63" s="161" t="s">
        <v>222</v>
      </c>
      <c r="C63" s="275">
        <v>214.78</v>
      </c>
      <c r="D63" s="275">
        <v>214.78</v>
      </c>
      <c r="E63" s="576" t="str">
        <f t="shared" si="7"/>
        <v/>
      </c>
      <c r="F63" s="162" t="str">
        <f t="shared" si="8"/>
        <v>оплачено</v>
      </c>
      <c r="G63" s="162"/>
      <c r="H63" s="717" t="str">
        <f t="shared" si="9"/>
        <v/>
      </c>
      <c r="I63" s="1115" t="str">
        <f t="shared" si="10"/>
        <v/>
      </c>
      <c r="J63" s="1116"/>
      <c r="K63" s="481" t="str">
        <f t="shared" si="11"/>
        <v/>
      </c>
      <c r="L63" s="1119"/>
      <c r="M63" s="1120"/>
      <c r="N63" s="1"/>
      <c r="P63" s="449"/>
      <c r="U63" s="366"/>
    </row>
    <row r="64" spans="1:25">
      <c r="A64" s="325">
        <v>43990</v>
      </c>
      <c r="B64" s="161" t="s">
        <v>330</v>
      </c>
      <c r="C64" s="275">
        <v>851.63</v>
      </c>
      <c r="D64" s="275">
        <v>851.63</v>
      </c>
      <c r="E64" s="576" t="str">
        <f t="shared" si="7"/>
        <v/>
      </c>
      <c r="F64" s="162" t="str">
        <f t="shared" si="8"/>
        <v>оплачено</v>
      </c>
      <c r="G64" s="162"/>
      <c r="H64" s="717" t="str">
        <f t="shared" si="9"/>
        <v/>
      </c>
      <c r="I64" s="1115" t="str">
        <f t="shared" si="10"/>
        <v/>
      </c>
      <c r="J64" s="1116"/>
      <c r="K64" s="481" t="str">
        <f t="shared" si="11"/>
        <v/>
      </c>
      <c r="L64" s="1119"/>
      <c r="M64" s="1120"/>
      <c r="N64" s="1"/>
      <c r="P64" s="571"/>
      <c r="U64" s="366"/>
    </row>
    <row r="65" spans="1:21">
      <c r="A65" s="325">
        <v>43991</v>
      </c>
      <c r="B65" s="161" t="s">
        <v>336</v>
      </c>
      <c r="C65" s="275">
        <v>595</v>
      </c>
      <c r="D65" s="275">
        <v>595</v>
      </c>
      <c r="E65" s="576" t="str">
        <f t="shared" si="7"/>
        <v/>
      </c>
      <c r="F65" s="162" t="str">
        <f t="shared" si="8"/>
        <v>оплачено</v>
      </c>
      <c r="G65" s="162"/>
      <c r="H65" s="717" t="str">
        <f t="shared" si="9"/>
        <v/>
      </c>
      <c r="I65" s="1115" t="str">
        <f t="shared" si="10"/>
        <v/>
      </c>
      <c r="J65" s="1116"/>
      <c r="K65" s="481" t="str">
        <f t="shared" si="11"/>
        <v/>
      </c>
      <c r="L65" s="1119"/>
      <c r="M65" s="1120"/>
      <c r="N65" s="1"/>
      <c r="P65" s="86"/>
      <c r="U65" s="366"/>
    </row>
    <row r="66" spans="1:21" ht="14.45" customHeight="1">
      <c r="A66" s="325">
        <v>44004</v>
      </c>
      <c r="B66" s="161" t="s">
        <v>330</v>
      </c>
      <c r="C66" s="731">
        <v>913.16</v>
      </c>
      <c r="D66" s="731">
        <v>913.16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si="9"/>
        <v/>
      </c>
      <c r="I66" s="1115" t="str">
        <f t="shared" si="10"/>
        <v/>
      </c>
      <c r="J66" s="1116"/>
      <c r="K66" s="481" t="str">
        <f t="shared" si="11"/>
        <v/>
      </c>
      <c r="L66" s="1054"/>
      <c r="M66" s="1112"/>
      <c r="N66" s="1"/>
      <c r="P66" s="86"/>
    </row>
    <row r="67" spans="1:21" ht="14.45" customHeight="1">
      <c r="A67" s="325">
        <v>44005</v>
      </c>
      <c r="B67" s="161" t="s">
        <v>363</v>
      </c>
      <c r="C67" s="275">
        <v>237.18</v>
      </c>
      <c r="D67" s="275">
        <v>237.18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9"/>
        <v/>
      </c>
      <c r="I67" s="1115" t="str">
        <f t="shared" si="10"/>
        <v/>
      </c>
      <c r="J67" s="1116"/>
      <c r="K67" s="481" t="str">
        <f t="shared" si="11"/>
        <v/>
      </c>
      <c r="L67" s="1054"/>
      <c r="M67" s="1112"/>
      <c r="N67" s="1"/>
    </row>
    <row r="68" spans="1:21" ht="14.45" customHeight="1">
      <c r="A68" s="325">
        <v>44006</v>
      </c>
      <c r="B68" s="161" t="s">
        <v>336</v>
      </c>
      <c r="C68" s="275">
        <v>463</v>
      </c>
      <c r="D68" s="275">
        <f>C68/2+231.5</f>
        <v>463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9"/>
        <v/>
      </c>
      <c r="I68" s="1115" t="str">
        <f t="shared" si="10"/>
        <v/>
      </c>
      <c r="J68" s="1116"/>
      <c r="K68" s="481" t="str">
        <f t="shared" si="11"/>
        <v/>
      </c>
      <c r="L68" s="1054"/>
      <c r="M68" s="1112"/>
      <c r="N68" s="1"/>
      <c r="O68" s="366"/>
    </row>
    <row r="69" spans="1:21">
      <c r="A69" s="325">
        <v>44012</v>
      </c>
      <c r="B69" s="161" t="s">
        <v>330</v>
      </c>
      <c r="C69" s="275">
        <v>341.04</v>
      </c>
      <c r="D69" s="275">
        <v>341.04</v>
      </c>
      <c r="E69" s="576" t="str">
        <f t="shared" si="7"/>
        <v/>
      </c>
      <c r="F69" s="162" t="str">
        <f t="shared" si="8"/>
        <v>оплачено</v>
      </c>
      <c r="G69" s="162"/>
      <c r="H69" s="717" t="str">
        <f t="shared" si="9"/>
        <v/>
      </c>
      <c r="I69" s="1115" t="str">
        <f t="shared" si="10"/>
        <v/>
      </c>
      <c r="J69" s="1116"/>
      <c r="K69" s="481" t="str">
        <f t="shared" si="11"/>
        <v/>
      </c>
      <c r="L69" s="1054"/>
      <c r="M69" s="1112"/>
      <c r="N69" s="1"/>
      <c r="O69" s="366"/>
    </row>
    <row r="70" spans="1:21" s="86" customFormat="1">
      <c r="A70" s="325">
        <v>44008</v>
      </c>
      <c r="B70" s="161" t="s">
        <v>257</v>
      </c>
      <c r="C70" s="275">
        <v>82.92</v>
      </c>
      <c r="D70" s="275">
        <v>82.92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9"/>
        <v/>
      </c>
      <c r="I70" s="1115" t="str">
        <f t="shared" si="10"/>
        <v/>
      </c>
      <c r="J70" s="1116"/>
      <c r="K70" s="481" t="str">
        <f t="shared" si="11"/>
        <v/>
      </c>
      <c r="L70" s="1119"/>
      <c r="M70" s="1120"/>
      <c r="N70" s="366"/>
      <c r="O70" s="84"/>
      <c r="P70" s="1"/>
      <c r="Q70" s="35"/>
      <c r="T70" s="35"/>
      <c r="U70" s="35"/>
    </row>
    <row r="71" spans="1:21">
      <c r="A71" s="325">
        <v>44008</v>
      </c>
      <c r="B71" s="161" t="s">
        <v>257</v>
      </c>
      <c r="C71" s="275">
        <v>57.06</v>
      </c>
      <c r="D71" s="275">
        <v>57.06</v>
      </c>
      <c r="E71" s="576" t="str">
        <f t="shared" si="7"/>
        <v/>
      </c>
      <c r="F71" s="162" t="str">
        <f t="shared" si="8"/>
        <v>оплачено</v>
      </c>
      <c r="G71" s="162"/>
      <c r="H71" s="717" t="str">
        <f t="shared" si="9"/>
        <v/>
      </c>
      <c r="I71" s="1115" t="str">
        <f t="shared" si="10"/>
        <v/>
      </c>
      <c r="J71" s="1116"/>
      <c r="K71" s="481" t="str">
        <f t="shared" si="11"/>
        <v/>
      </c>
      <c r="L71" s="1054"/>
      <c r="M71" s="1112"/>
      <c r="N71" s="1"/>
      <c r="O71" s="366"/>
      <c r="P71" s="1"/>
      <c r="T71" s="86"/>
    </row>
    <row r="72" spans="1:21">
      <c r="A72" s="325">
        <v>44008</v>
      </c>
      <c r="B72" s="161" t="s">
        <v>205</v>
      </c>
      <c r="C72" s="275">
        <v>65.180000000000007</v>
      </c>
      <c r="D72" s="275">
        <v>65.180000000000007</v>
      </c>
      <c r="E72" s="576" t="str">
        <f t="shared" si="7"/>
        <v/>
      </c>
      <c r="F72" s="162" t="str">
        <f t="shared" si="8"/>
        <v>оплачено</v>
      </c>
      <c r="G72" s="162"/>
      <c r="H72" s="717" t="str">
        <f t="shared" si="9"/>
        <v/>
      </c>
      <c r="I72" s="1115" t="str">
        <f t="shared" si="10"/>
        <v/>
      </c>
      <c r="J72" s="1116"/>
      <c r="K72" s="481" t="str">
        <f t="shared" si="11"/>
        <v/>
      </c>
      <c r="L72" s="1054"/>
      <c r="M72" s="1112"/>
      <c r="N72" s="1"/>
      <c r="O72" s="366"/>
      <c r="P72" s="36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9"/>
        <v/>
      </c>
      <c r="I73" s="1115" t="str">
        <f t="shared" si="10"/>
        <v/>
      </c>
      <c r="J73" s="1116"/>
      <c r="K73" s="481" t="str">
        <f t="shared" si="11"/>
        <v/>
      </c>
      <c r="L73" s="1054"/>
      <c r="M73" s="1112"/>
      <c r="N73" s="1"/>
      <c r="O73" s="84"/>
      <c r="P73" s="150"/>
    </row>
    <row r="74" spans="1:21">
      <c r="A74" s="325"/>
      <c r="B74" s="161"/>
      <c r="C74" s="275"/>
      <c r="D74" s="275"/>
      <c r="E74" s="576" t="str">
        <f t="shared" si="7"/>
        <v/>
      </c>
      <c r="F74" s="162" t="str">
        <f t="shared" si="8"/>
        <v/>
      </c>
      <c r="G74" s="162"/>
      <c r="H74" s="717" t="str">
        <f t="shared" si="9"/>
        <v/>
      </c>
      <c r="I74" s="1115" t="str">
        <f t="shared" si="10"/>
        <v/>
      </c>
      <c r="J74" s="1116"/>
      <c r="K74" s="481" t="str">
        <f t="shared" si="11"/>
        <v/>
      </c>
      <c r="L74" s="1054"/>
      <c r="M74" s="1112"/>
      <c r="N74" s="1"/>
      <c r="O74" s="366"/>
      <c r="P74" s="1"/>
      <c r="Q74" s="86"/>
    </row>
    <row r="75" spans="1:21">
      <c r="A75" s="325"/>
      <c r="B75" s="161"/>
      <c r="C75" s="275"/>
      <c r="D75" s="275"/>
      <c r="E75" s="576" t="str">
        <f t="shared" si="7"/>
        <v/>
      </c>
      <c r="F75" s="162" t="str">
        <f t="shared" si="8"/>
        <v/>
      </c>
      <c r="G75" s="162"/>
      <c r="H75" s="717" t="str">
        <f t="shared" si="9"/>
        <v/>
      </c>
      <c r="I75" s="1115" t="str">
        <f t="shared" si="10"/>
        <v/>
      </c>
      <c r="J75" s="1116"/>
      <c r="K75" s="481" t="str">
        <f t="shared" si="11"/>
        <v/>
      </c>
      <c r="L75" s="1054"/>
      <c r="M75" s="1112"/>
      <c r="N75" s="1"/>
      <c r="O75" s="366"/>
      <c r="P75" s="1"/>
    </row>
    <row r="76" spans="1:21" ht="15.75" thickBot="1">
      <c r="A76" s="1092" t="s">
        <v>259</v>
      </c>
      <c r="B76" s="1093"/>
      <c r="C76" s="358">
        <f>SUM(C60:C75)</f>
        <v>4392.670000000001</v>
      </c>
      <c r="D76" s="358"/>
      <c r="E76" s="576">
        <f>SUM(E60:E75)</f>
        <v>0</v>
      </c>
      <c r="F76" s="162"/>
      <c r="G76" s="451"/>
      <c r="H76" s="1109" t="s">
        <v>259</v>
      </c>
      <c r="I76" s="1110"/>
      <c r="J76" s="1111"/>
      <c r="K76" s="716">
        <f>SUM(K60:K75)</f>
        <v>0</v>
      </c>
      <c r="L76" s="1113"/>
      <c r="M76" s="1114"/>
      <c r="N76" s="1"/>
      <c r="O76" s="366"/>
      <c r="P76" s="84"/>
      <c r="U76" s="86"/>
    </row>
    <row r="77" spans="1:21" ht="15.75" thickTop="1">
      <c r="A77" s="351"/>
      <c r="B77" s="352"/>
      <c r="C77" s="353"/>
      <c r="D77" s="353"/>
      <c r="E77" s="354"/>
      <c r="F77" s="352"/>
      <c r="G77" s="376"/>
      <c r="H77" s="1039" t="s">
        <v>16</v>
      </c>
      <c r="I77" s="1041" t="s">
        <v>17</v>
      </c>
      <c r="J77" s="1041" t="s">
        <v>21</v>
      </c>
      <c r="K77" s="1041"/>
      <c r="L77" s="1043" t="s">
        <v>93</v>
      </c>
      <c r="M77" s="1045" t="s">
        <v>95</v>
      </c>
      <c r="N77" s="1"/>
      <c r="O77" s="366"/>
      <c r="P77" s="84"/>
    </row>
    <row r="78" spans="1:21" ht="24">
      <c r="A78" s="355"/>
      <c r="B78" s="201"/>
      <c r="C78" s="201"/>
      <c r="D78" s="201"/>
      <c r="E78" s="216"/>
      <c r="F78" s="201"/>
      <c r="G78" s="201"/>
      <c r="H78" s="1040"/>
      <c r="I78" s="1042"/>
      <c r="J78" s="750" t="s">
        <v>21</v>
      </c>
      <c r="K78" s="750" t="s">
        <v>25</v>
      </c>
      <c r="L78" s="1044"/>
      <c r="M78" s="1046"/>
      <c r="N78" s="1"/>
      <c r="O78" s="366"/>
      <c r="P78" s="84"/>
    </row>
    <row r="79" spans="1:21">
      <c r="A79" s="338"/>
      <c r="B79" s="199"/>
      <c r="C79" s="288"/>
      <c r="D79" s="232"/>
      <c r="E79" s="84"/>
      <c r="F79" s="199"/>
      <c r="G79" s="199"/>
      <c r="H79" s="347" t="s">
        <v>163</v>
      </c>
      <c r="I79" s="94">
        <v>2420.3999999999996</v>
      </c>
      <c r="J79" s="94">
        <v>115.5</v>
      </c>
      <c r="K79" s="751">
        <v>132.61000000000001</v>
      </c>
      <c r="L79" s="96">
        <v>22665.5</v>
      </c>
      <c r="M79" s="104">
        <f>L79-I79-J79-K79</f>
        <v>19996.989999999998</v>
      </c>
      <c r="N79" s="150"/>
      <c r="O79" s="449"/>
      <c r="P79" s="439"/>
      <c r="R79" s="86"/>
    </row>
    <row r="80" spans="1:21">
      <c r="A80" s="339"/>
      <c r="B80" s="199"/>
      <c r="C80" s="199"/>
      <c r="D80" s="273"/>
      <c r="E80" s="366"/>
      <c r="F80" s="84"/>
      <c r="G80" s="366"/>
      <c r="H80" s="347" t="s">
        <v>192</v>
      </c>
      <c r="I80" s="94">
        <v>7629.69</v>
      </c>
      <c r="J80" s="94">
        <v>352.29</v>
      </c>
      <c r="K80" s="94">
        <v>193.85000000000002</v>
      </c>
      <c r="L80" s="96">
        <v>10342</v>
      </c>
      <c r="M80" s="104">
        <f>M79-I80-J80-K80+L80</f>
        <v>22163.159999999996</v>
      </c>
      <c r="N80" s="1"/>
      <c r="O80" s="449"/>
      <c r="P80" s="439"/>
      <c r="R80" s="86"/>
    </row>
    <row r="81" spans="1:26">
      <c r="A81" s="339"/>
      <c r="B81" s="366"/>
      <c r="C81" s="199"/>
      <c r="D81" s="273"/>
      <c r="E81" s="366"/>
      <c r="F81" s="366"/>
      <c r="G81" s="366"/>
      <c r="H81" s="347" t="s">
        <v>199</v>
      </c>
      <c r="I81" s="298">
        <v>8423.6400000000012</v>
      </c>
      <c r="J81" s="94">
        <v>921.3</v>
      </c>
      <c r="K81" s="299">
        <v>312.46000000000004</v>
      </c>
      <c r="L81" s="299">
        <v>16668</v>
      </c>
      <c r="M81" s="104">
        <f>M80-I81-J81-K81+L81</f>
        <v>29173.759999999995</v>
      </c>
      <c r="N81" s="1"/>
      <c r="O81" s="449"/>
      <c r="P81" s="436"/>
      <c r="R81" s="86"/>
    </row>
    <row r="82" spans="1:26">
      <c r="A82" s="339"/>
      <c r="B82" s="1"/>
      <c r="C82" s="284"/>
      <c r="D82" s="273"/>
      <c r="E82" s="366"/>
      <c r="F82" s="366"/>
      <c r="G82" s="84"/>
      <c r="H82" s="347" t="s">
        <v>209</v>
      </c>
      <c r="I82" s="299">
        <v>8639.7199999999993</v>
      </c>
      <c r="J82" s="300">
        <v>749.49</v>
      </c>
      <c r="K82" s="552">
        <v>435.1</v>
      </c>
      <c r="L82" s="299">
        <v>17824.919999999998</v>
      </c>
      <c r="M82" s="104">
        <f>M81-I82-J82-K82+L82</f>
        <v>37174.369999999995</v>
      </c>
      <c r="N82" s="92" t="s">
        <v>313</v>
      </c>
      <c r="O82" s="658"/>
      <c r="P82" s="763"/>
      <c r="R82" s="86"/>
    </row>
    <row r="83" spans="1:26">
      <c r="A83" s="339"/>
      <c r="B83" s="199"/>
      <c r="C83" s="1"/>
      <c r="D83" s="273"/>
      <c r="E83" s="366"/>
      <c r="F83" s="366"/>
      <c r="G83" s="366"/>
      <c r="H83" s="348" t="s">
        <v>210</v>
      </c>
      <c r="I83" s="300">
        <v>12605.26</v>
      </c>
      <c r="J83" s="299">
        <v>600.5</v>
      </c>
      <c r="K83" s="300">
        <v>491.64</v>
      </c>
      <c r="L83" s="299">
        <v>15183.9</v>
      </c>
      <c r="M83" s="104">
        <v>36025.39</v>
      </c>
      <c r="N83" s="657">
        <v>38660.869999999995</v>
      </c>
      <c r="O83" s="145"/>
      <c r="P83" s="437"/>
      <c r="Q83" s="86"/>
      <c r="R83" s="86"/>
    </row>
    <row r="84" spans="1:26">
      <c r="A84" s="339"/>
      <c r="B84" s="199"/>
      <c r="C84" s="1"/>
      <c r="D84" s="273"/>
      <c r="E84" s="366"/>
      <c r="F84" s="366"/>
      <c r="G84" s="366"/>
      <c r="H84" s="379" t="s">
        <v>211</v>
      </c>
      <c r="I84" s="728">
        <v>11425.189999999999</v>
      </c>
      <c r="J84" s="438">
        <v>232.2</v>
      </c>
      <c r="K84" s="733">
        <v>262</v>
      </c>
      <c r="L84" s="644">
        <v>11864.4</v>
      </c>
      <c r="M84" s="104">
        <f>M83-I84-J84-K84+L84</f>
        <v>35970.400000000001</v>
      </c>
      <c r="N84" s="1"/>
      <c r="O84" s="366"/>
      <c r="P84" s="437"/>
      <c r="Q84" s="86"/>
      <c r="R84" s="86"/>
      <c r="V84" s="1"/>
    </row>
    <row r="85" spans="1:26">
      <c r="A85" s="339"/>
      <c r="B85" s="199"/>
      <c r="C85" s="1"/>
      <c r="D85" s="273"/>
      <c r="E85" s="366"/>
      <c r="F85" s="366"/>
      <c r="G85" s="366"/>
      <c r="H85" s="347" t="s">
        <v>9</v>
      </c>
      <c r="I85" s="728">
        <v>13612.520000000002</v>
      </c>
      <c r="J85" s="438">
        <f>19+42+25.5+33+4+25+7.5+18+170+1+9+37.5+2+1.4</f>
        <v>394.9</v>
      </c>
      <c r="K85" s="733">
        <f>112.8+296.38+33.5</f>
        <v>442.68</v>
      </c>
      <c r="L85" s="645">
        <f>14352+1353+311+316+73+278</f>
        <v>16683</v>
      </c>
      <c r="M85" s="777">
        <v>37929.35</v>
      </c>
      <c r="N85" s="761" t="s">
        <v>355</v>
      </c>
      <c r="O85" s="762"/>
      <c r="P85" s="437"/>
      <c r="Q85" s="742"/>
      <c r="R85" s="86"/>
      <c r="V85" s="1"/>
    </row>
    <row r="86" spans="1:26" ht="15.75" thickBot="1">
      <c r="A86" s="339"/>
      <c r="B86" s="199"/>
      <c r="C86" s="1"/>
      <c r="D86" s="273"/>
      <c r="E86" s="366"/>
      <c r="F86" s="366"/>
      <c r="G86" s="366"/>
      <c r="H86" s="646" t="s">
        <v>18</v>
      </c>
      <c r="I86" s="661">
        <v>14474.099999999999</v>
      </c>
      <c r="J86" s="648">
        <v>947.5</v>
      </c>
      <c r="K86" s="734">
        <v>526.15</v>
      </c>
      <c r="L86" s="649">
        <v>19238.8</v>
      </c>
      <c r="M86" s="104">
        <f>M85-I86-J86-K86+L86</f>
        <v>41220.399999999994</v>
      </c>
      <c r="N86" s="84"/>
      <c r="O86" s="366"/>
      <c r="P86" s="437"/>
      <c r="Q86" s="742"/>
      <c r="R86" s="86"/>
      <c r="V86" s="1"/>
    </row>
    <row r="87" spans="1:26" ht="14.25" customHeight="1" thickTop="1">
      <c r="A87" s="339"/>
      <c r="B87" s="199"/>
      <c r="C87" s="1"/>
      <c r="D87" s="273"/>
      <c r="E87" s="84"/>
      <c r="F87" s="366"/>
      <c r="G87" s="366"/>
      <c r="H87" s="1023" t="s">
        <v>36</v>
      </c>
      <c r="I87" s="1025" t="s">
        <v>178</v>
      </c>
      <c r="J87" s="1026"/>
      <c r="K87" s="1027"/>
      <c r="L87" s="1031" t="s">
        <v>159</v>
      </c>
      <c r="M87" s="1032"/>
      <c r="N87" s="1"/>
      <c r="O87" s="366"/>
      <c r="P87" s="437"/>
      <c r="Q87" s="86"/>
      <c r="R87" s="86"/>
      <c r="V87" s="1"/>
    </row>
    <row r="88" spans="1:26">
      <c r="A88" s="339"/>
      <c r="B88" s="199"/>
      <c r="C88" s="284"/>
      <c r="D88" s="273"/>
      <c r="E88" s="284"/>
      <c r="F88" s="366"/>
      <c r="G88" s="378"/>
      <c r="H88" s="1024"/>
      <c r="I88" s="1028"/>
      <c r="J88" s="1029"/>
      <c r="K88" s="1030"/>
      <c r="L88" s="1033"/>
      <c r="M88" s="1034"/>
      <c r="N88" s="1"/>
      <c r="O88" s="84"/>
      <c r="P88" s="685"/>
      <c r="Q88" s="86"/>
      <c r="R88" s="366"/>
      <c r="S88" s="1"/>
      <c r="V88" s="1"/>
      <c r="W88" s="1"/>
      <c r="X88" s="1"/>
      <c r="Y88" s="1"/>
    </row>
    <row r="89" spans="1:26">
      <c r="A89" s="339"/>
      <c r="B89" s="199"/>
      <c r="C89" s="199"/>
      <c r="D89" s="273"/>
      <c r="E89" s="199"/>
      <c r="F89" s="366"/>
      <c r="G89" s="378"/>
      <c r="H89" s="529" t="s">
        <v>250</v>
      </c>
      <c r="I89" s="1035" t="s">
        <v>47</v>
      </c>
      <c r="J89" s="1035"/>
      <c r="K89" s="755">
        <v>131.25</v>
      </c>
      <c r="L89" s="282">
        <v>43966</v>
      </c>
      <c r="M89" s="44" t="s">
        <v>269</v>
      </c>
      <c r="O89" s="366"/>
      <c r="P89" s="685"/>
      <c r="Q89" s="86"/>
      <c r="R89" s="366"/>
      <c r="S89" s="1"/>
      <c r="T89" s="1"/>
      <c r="V89" s="282"/>
      <c r="W89" s="1"/>
      <c r="X89" s="1"/>
      <c r="Y89" s="1"/>
    </row>
    <row r="90" spans="1:26">
      <c r="A90" s="339"/>
      <c r="B90" s="366"/>
      <c r="C90" s="274"/>
      <c r="D90" s="273"/>
      <c r="E90" s="274"/>
      <c r="F90" s="366"/>
      <c r="G90" s="366"/>
      <c r="H90" s="529" t="s">
        <v>250</v>
      </c>
      <c r="I90" s="1020" t="s">
        <v>51</v>
      </c>
      <c r="J90" s="1020"/>
      <c r="K90" s="756">
        <v>21.35</v>
      </c>
      <c r="L90" s="282">
        <v>43966</v>
      </c>
      <c r="M90" s="44" t="s">
        <v>269</v>
      </c>
      <c r="O90" s="366"/>
      <c r="P90" s="685"/>
      <c r="Q90" s="571"/>
      <c r="R90" s="86"/>
      <c r="S90" s="1"/>
      <c r="T90" s="1"/>
      <c r="V90" s="282"/>
      <c r="W90" s="1"/>
      <c r="X90" s="1"/>
      <c r="Y90" s="1"/>
    </row>
    <row r="91" spans="1:26">
      <c r="A91" s="340"/>
      <c r="B91" s="366"/>
      <c r="C91" s="366"/>
      <c r="D91" s="273"/>
      <c r="E91" s="199"/>
      <c r="F91" s="366"/>
      <c r="G91" s="366"/>
      <c r="H91" s="529" t="s">
        <v>250</v>
      </c>
      <c r="I91" s="1020" t="s">
        <v>52</v>
      </c>
      <c r="J91" s="1020"/>
      <c r="K91" s="756">
        <v>2.25</v>
      </c>
      <c r="L91" s="282">
        <v>43966</v>
      </c>
      <c r="M91" s="44" t="s">
        <v>269</v>
      </c>
      <c r="O91" s="366"/>
      <c r="P91" s="685"/>
      <c r="Q91" s="86"/>
      <c r="R91" s="753"/>
      <c r="S91" s="1"/>
      <c r="T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782" t="s">
        <v>364</v>
      </c>
      <c r="I92" s="1020" t="s">
        <v>49</v>
      </c>
      <c r="J92" s="1020"/>
      <c r="K92" s="756">
        <v>44.5</v>
      </c>
      <c r="L92" s="783" t="s">
        <v>367</v>
      </c>
      <c r="M92" s="44" t="s">
        <v>386</v>
      </c>
      <c r="N92" s="35" t="s">
        <v>365</v>
      </c>
      <c r="O92" s="84"/>
      <c r="P92" s="685"/>
      <c r="Q92" s="366"/>
      <c r="R92" s="86"/>
      <c r="S92" s="1"/>
      <c r="T92" s="282"/>
      <c r="U92" s="1"/>
      <c r="V92" s="282"/>
      <c r="W92" s="282"/>
      <c r="X92" s="282"/>
      <c r="Y92" s="1"/>
      <c r="Z92" s="1"/>
    </row>
    <row r="93" spans="1:26">
      <c r="A93" s="340"/>
      <c r="B93" s="366"/>
      <c r="C93" s="366"/>
      <c r="D93" s="273"/>
      <c r="E93" s="366"/>
      <c r="F93" s="366"/>
      <c r="G93" s="366"/>
      <c r="H93" s="529" t="s">
        <v>250</v>
      </c>
      <c r="I93" s="1088" t="s">
        <v>59</v>
      </c>
      <c r="J93" s="1088"/>
      <c r="K93" s="759">
        <v>392.11</v>
      </c>
      <c r="L93" s="302" t="s">
        <v>177</v>
      </c>
      <c r="M93" s="44" t="s">
        <v>269</v>
      </c>
      <c r="N93" s="506"/>
      <c r="O93" s="84"/>
      <c r="P93" s="685"/>
      <c r="Q93" s="480"/>
      <c r="R93" s="753"/>
      <c r="S93" s="1"/>
      <c r="T93" s="282"/>
      <c r="U93" s="1"/>
      <c r="V93" s="1"/>
      <c r="W93" s="282"/>
      <c r="X93" s="282"/>
      <c r="Y93" s="1"/>
      <c r="Z93" s="1"/>
    </row>
    <row r="94" spans="1:26">
      <c r="A94" s="340"/>
      <c r="B94" s="199"/>
      <c r="C94" s="199"/>
      <c r="D94" s="273"/>
      <c r="E94" s="199"/>
      <c r="F94" s="366"/>
      <c r="G94" s="366"/>
      <c r="H94" s="529" t="s">
        <v>250</v>
      </c>
      <c r="I94" s="1089" t="s">
        <v>68</v>
      </c>
      <c r="J94" s="1090"/>
      <c r="K94" s="756">
        <v>52.62</v>
      </c>
      <c r="L94" s="282">
        <v>43971</v>
      </c>
      <c r="M94" s="44" t="s">
        <v>269</v>
      </c>
      <c r="O94" s="366"/>
      <c r="P94" s="437"/>
      <c r="Q94" s="366"/>
      <c r="R94" s="753"/>
      <c r="S94" s="1"/>
      <c r="T94" s="282"/>
      <c r="U94" s="1"/>
      <c r="V94" s="282"/>
      <c r="W94" s="282"/>
      <c r="X94" s="282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529" t="s">
        <v>250</v>
      </c>
      <c r="I95" s="1021" t="s">
        <v>174</v>
      </c>
      <c r="J95" s="1022"/>
      <c r="K95" s="756">
        <v>257.08999999999997</v>
      </c>
      <c r="L95" s="282">
        <v>43966</v>
      </c>
      <c r="M95" s="44" t="s">
        <v>269</v>
      </c>
      <c r="O95" s="84"/>
      <c r="P95" s="86"/>
      <c r="Q95" s="366"/>
      <c r="R95" s="753"/>
      <c r="S95" s="1"/>
      <c r="T95" s="282"/>
      <c r="U95" s="282"/>
      <c r="V95" s="282"/>
      <c r="W95" s="1"/>
      <c r="X95" s="1"/>
      <c r="Y95" s="1"/>
      <c r="Z95" s="1"/>
    </row>
    <row r="96" spans="1:26">
      <c r="A96" s="340"/>
      <c r="B96" s="199"/>
      <c r="C96" s="366"/>
      <c r="D96" s="273"/>
      <c r="E96" s="199"/>
      <c r="F96" s="366"/>
      <c r="G96" s="366"/>
      <c r="H96" s="726" t="s">
        <v>366</v>
      </c>
      <c r="I96" s="747" t="s">
        <v>176</v>
      </c>
      <c r="J96" s="748"/>
      <c r="K96" s="756" t="s">
        <v>258</v>
      </c>
      <c r="L96" s="282">
        <v>43971</v>
      </c>
      <c r="M96" s="44" t="s">
        <v>269</v>
      </c>
      <c r="O96" s="84"/>
      <c r="P96" s="86"/>
      <c r="Q96" s="366"/>
      <c r="R96" s="485"/>
      <c r="S96" s="1"/>
      <c r="T96" s="1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089" t="s">
        <v>81</v>
      </c>
      <c r="J97" s="1090"/>
      <c r="K97" s="756">
        <v>658.67</v>
      </c>
      <c r="L97" s="282">
        <v>43992</v>
      </c>
      <c r="M97" s="44" t="s">
        <v>324</v>
      </c>
      <c r="O97" s="84"/>
      <c r="P97" s="86"/>
      <c r="Q97" s="485"/>
      <c r="R97" s="365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089" t="s">
        <v>53</v>
      </c>
      <c r="J98" s="1090"/>
      <c r="K98" s="455">
        <v>10</v>
      </c>
      <c r="L98" s="282">
        <v>43966</v>
      </c>
      <c r="M98" s="44" t="s">
        <v>269</v>
      </c>
      <c r="O98" s="84"/>
      <c r="P98" s="86"/>
      <c r="Q98" s="804"/>
      <c r="R98" s="86"/>
      <c r="S98" s="1"/>
      <c r="T98" s="282"/>
      <c r="U98" s="282"/>
      <c r="V98" s="282"/>
      <c r="W98" s="282"/>
      <c r="X98" s="282"/>
      <c r="Y98" s="366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1101" t="s">
        <v>300</v>
      </c>
      <c r="J99" s="1101"/>
      <c r="K99" s="676">
        <v>100</v>
      </c>
      <c r="L99" s="282">
        <v>43981</v>
      </c>
      <c r="M99" s="44" t="s">
        <v>269</v>
      </c>
      <c r="O99" s="84"/>
      <c r="P99" s="86"/>
      <c r="Q99" s="804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1101" t="s">
        <v>325</v>
      </c>
      <c r="J100" s="1101"/>
      <c r="K100" s="676">
        <v>9</v>
      </c>
      <c r="L100" s="282">
        <v>43966</v>
      </c>
      <c r="M100" s="44" t="s">
        <v>269</v>
      </c>
      <c r="O100" s="84"/>
      <c r="P100" s="86"/>
      <c r="Q100" s="804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>
      <c r="A101" s="340"/>
      <c r="B101" s="199"/>
      <c r="C101" s="366"/>
      <c r="D101" s="273"/>
      <c r="E101" s="232"/>
      <c r="F101" s="366"/>
      <c r="G101" s="366"/>
      <c r="H101" s="529" t="s">
        <v>250</v>
      </c>
      <c r="I101" s="1021" t="s">
        <v>374</v>
      </c>
      <c r="J101" s="1022"/>
      <c r="K101" s="676">
        <v>817.24</v>
      </c>
      <c r="L101" s="282">
        <v>43966</v>
      </c>
      <c r="M101" s="44" t="s">
        <v>269</v>
      </c>
      <c r="O101" s="84"/>
      <c r="P101" s="86"/>
      <c r="Q101" s="804"/>
      <c r="R101" s="86"/>
      <c r="S101" s="366"/>
      <c r="T101" s="282"/>
      <c r="U101" s="282"/>
      <c r="V101" s="282"/>
      <c r="W101" s="282"/>
      <c r="X101" s="282"/>
      <c r="Y101" s="1"/>
      <c r="Z101" s="1"/>
    </row>
    <row r="102" spans="1:26" ht="15.75" thickBot="1">
      <c r="A102" s="341"/>
      <c r="B102" s="330"/>
      <c r="C102" s="331"/>
      <c r="D102" s="342"/>
      <c r="E102" s="330"/>
      <c r="F102" s="331"/>
      <c r="G102" s="331"/>
      <c r="H102" s="1107" t="s">
        <v>179</v>
      </c>
      <c r="I102" s="1108"/>
      <c r="J102" s="361">
        <f>SUM(K89:K101)</f>
        <v>2496.08</v>
      </c>
      <c r="K102" s="1018" t="s">
        <v>180</v>
      </c>
      <c r="L102" s="1018"/>
      <c r="M102" s="535">
        <v>0</v>
      </c>
      <c r="O102" s="84"/>
      <c r="P102" s="86"/>
      <c r="Q102" s="804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.75" thickTop="1">
      <c r="C103" s="507"/>
      <c r="D103" s="507"/>
      <c r="O103" s="84"/>
      <c r="P103" s="86"/>
      <c r="Q103" s="804"/>
      <c r="R103" s="365"/>
      <c r="S103" s="366"/>
      <c r="T103" s="282"/>
      <c r="U103" s="282"/>
      <c r="V103" s="1"/>
      <c r="W103" s="282"/>
      <c r="X103" s="282"/>
      <c r="Y103" s="1"/>
      <c r="Z103" s="1"/>
    </row>
    <row r="104" spans="1:26" ht="15" customHeight="1">
      <c r="A104" s="1082" t="s">
        <v>369</v>
      </c>
      <c r="B104" s="1082"/>
      <c r="C104" s="1082"/>
      <c r="D104" s="1082"/>
      <c r="E104" s="1082"/>
      <c r="F104" s="1082"/>
      <c r="G104" s="1082"/>
      <c r="H104" s="1082"/>
      <c r="I104" s="1082"/>
      <c r="J104" s="1082"/>
      <c r="K104" s="1082"/>
      <c r="L104" s="1082"/>
      <c r="M104" s="1082"/>
      <c r="O104" s="84"/>
      <c r="P104" s="86"/>
      <c r="Q104" s="804"/>
      <c r="R104" s="366"/>
      <c r="S104" s="1"/>
      <c r="T104" s="282"/>
      <c r="U104" s="282"/>
      <c r="V104" s="1"/>
      <c r="W104" s="1"/>
      <c r="X104" s="1"/>
      <c r="Y104" s="1"/>
      <c r="Z104" s="1"/>
    </row>
    <row r="105" spans="1:26" ht="15.75" customHeight="1" thickBot="1">
      <c r="A105" s="1083"/>
      <c r="B105" s="1083"/>
      <c r="C105" s="1083"/>
      <c r="D105" s="1083"/>
      <c r="E105" s="1083"/>
      <c r="F105" s="1083"/>
      <c r="G105" s="1083"/>
      <c r="H105" s="1083"/>
      <c r="I105" s="1083"/>
      <c r="J105" s="1083"/>
      <c r="K105" s="1083"/>
      <c r="L105" s="1083"/>
      <c r="M105" s="1083"/>
      <c r="O105" s="84"/>
      <c r="P105" s="86"/>
      <c r="Q105" s="804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 ht="15.75" thickTop="1">
      <c r="A106" s="1126" t="s">
        <v>360</v>
      </c>
      <c r="B106" s="1098"/>
      <c r="C106" s="1098"/>
      <c r="D106" s="1098"/>
      <c r="E106" s="1098"/>
      <c r="F106" s="1127"/>
      <c r="G106" s="323"/>
      <c r="O106" s="84"/>
      <c r="P106" s="86"/>
      <c r="Q106" s="686"/>
      <c r="R106" s="366"/>
      <c r="S106" s="1"/>
      <c r="T106" s="1"/>
      <c r="U106" s="282"/>
      <c r="V106" s="1"/>
      <c r="W106" s="1"/>
      <c r="X106" s="1"/>
      <c r="Y106" s="1"/>
      <c r="Z106" s="1"/>
    </row>
    <row r="107" spans="1:26">
      <c r="A107" s="1015" t="s">
        <v>371</v>
      </c>
      <c r="B107" s="1016"/>
      <c r="C107" s="779" t="s">
        <v>35</v>
      </c>
      <c r="D107" s="779" t="s">
        <v>38</v>
      </c>
      <c r="E107" s="779" t="s">
        <v>42</v>
      </c>
      <c r="F107" s="779" t="s">
        <v>44</v>
      </c>
      <c r="G107" s="1"/>
      <c r="O107" s="84"/>
      <c r="P107" s="86"/>
      <c r="Q107" s="804"/>
      <c r="R107" s="366"/>
      <c r="S107" s="1"/>
      <c r="T107" s="1"/>
      <c r="U107" s="1"/>
      <c r="W107" s="1"/>
      <c r="X107" s="1"/>
      <c r="Y107" s="1"/>
      <c r="Z107" s="1"/>
    </row>
    <row r="108" spans="1:26">
      <c r="A108" s="1119" t="s">
        <v>40</v>
      </c>
      <c r="B108" s="1095"/>
      <c r="C108" s="482">
        <v>1134.25</v>
      </c>
      <c r="D108" s="482">
        <v>1134.25</v>
      </c>
      <c r="E108" s="481">
        <v>0</v>
      </c>
      <c r="F108" s="3">
        <v>44011</v>
      </c>
      <c r="G108" s="1"/>
      <c r="O108" s="84"/>
      <c r="P108" s="86"/>
      <c r="Q108" s="804"/>
      <c r="R108" s="366"/>
      <c r="S108" s="1"/>
      <c r="T108" s="1"/>
      <c r="U108" s="1"/>
      <c r="W108" s="1"/>
      <c r="X108" s="1"/>
      <c r="Y108" s="1"/>
      <c r="Z108" s="1"/>
    </row>
    <row r="109" spans="1:26">
      <c r="A109" s="340"/>
      <c r="B109" s="366"/>
      <c r="C109" s="514">
        <f>SUM(C108:C108)</f>
        <v>1134.25</v>
      </c>
      <c r="D109" s="366"/>
      <c r="E109" s="84"/>
      <c r="F109" s="366"/>
      <c r="G109" s="1"/>
      <c r="K109" s="506"/>
      <c r="O109" s="84"/>
      <c r="P109" s="86"/>
      <c r="Q109" s="804"/>
      <c r="R109" s="86"/>
      <c r="T109" s="1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O110" s="84"/>
      <c r="P110" s="86"/>
      <c r="Q110" s="804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M111" s="506"/>
      <c r="O111" s="84"/>
      <c r="P111" s="86"/>
      <c r="Q111" s="804"/>
      <c r="R111" s="86"/>
      <c r="U111" s="1"/>
      <c r="Z111" s="1"/>
    </row>
    <row r="112" spans="1:26">
      <c r="A112" s="340"/>
      <c r="B112" s="366"/>
      <c r="C112" s="366"/>
      <c r="D112" s="366"/>
      <c r="E112" s="366"/>
      <c r="F112" s="366"/>
      <c r="G112" s="1"/>
      <c r="O112" s="84"/>
      <c r="P112" s="86"/>
      <c r="Q112" s="804"/>
      <c r="R112" s="86"/>
      <c r="U112" s="1"/>
    </row>
    <row r="113" spans="1:18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804"/>
      <c r="R113" s="86"/>
    </row>
    <row r="114" spans="1:18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804"/>
      <c r="R114" s="86"/>
    </row>
    <row r="115" spans="1:18">
      <c r="A115" s="43"/>
      <c r="B115" s="1"/>
      <c r="C115" s="366"/>
      <c r="D115" s="1"/>
      <c r="E115" s="1"/>
      <c r="F115" s="1"/>
      <c r="G115" s="1"/>
      <c r="M115" s="1"/>
      <c r="O115" s="84"/>
      <c r="P115" s="86"/>
      <c r="Q115" s="804"/>
      <c r="R115" s="86"/>
    </row>
    <row r="116" spans="1:18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804"/>
      <c r="R116" s="86"/>
    </row>
    <row r="117" spans="1:18">
      <c r="A117" s="43"/>
      <c r="B117" s="1"/>
      <c r="C117" s="366"/>
      <c r="D117" s="1"/>
      <c r="E117" s="1"/>
      <c r="F117" s="1"/>
      <c r="G117" s="1"/>
      <c r="M117" s="366"/>
      <c r="O117" s="84"/>
      <c r="P117" s="86"/>
      <c r="Q117" s="804"/>
      <c r="R117" s="86"/>
    </row>
    <row r="118" spans="1:18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794"/>
      <c r="R118" s="86"/>
    </row>
    <row r="119" spans="1:18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794"/>
      <c r="R119" s="86"/>
    </row>
    <row r="120" spans="1:18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18">
      <c r="A121" s="43"/>
      <c r="B121" s="1"/>
      <c r="C121" s="366"/>
      <c r="D121" s="1"/>
      <c r="E121" s="1"/>
      <c r="F121" s="1"/>
      <c r="G121" s="1"/>
      <c r="M121" s="1"/>
      <c r="O121" s="84"/>
      <c r="P121" s="86"/>
      <c r="Q121" s="86"/>
      <c r="R121" s="86"/>
    </row>
    <row r="122" spans="1:18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18">
      <c r="A123" s="43"/>
      <c r="B123" s="1"/>
      <c r="C123" s="366"/>
      <c r="D123" s="1"/>
      <c r="E123" s="1"/>
      <c r="F123" s="1"/>
      <c r="G123" s="1"/>
      <c r="O123" s="84"/>
      <c r="P123" s="86"/>
      <c r="Q123" s="86"/>
      <c r="R123" s="86"/>
    </row>
    <row r="124" spans="1:18">
      <c r="C124" s="447"/>
      <c r="O124" s="84"/>
      <c r="P124" s="86"/>
      <c r="Q124" s="86"/>
      <c r="R124" s="86"/>
    </row>
    <row r="125" spans="1:18">
      <c r="C125" s="447"/>
      <c r="O125" s="84"/>
      <c r="P125" s="86"/>
      <c r="Q125" s="86"/>
      <c r="R125" s="86"/>
    </row>
    <row r="126" spans="1:18">
      <c r="C126" s="447"/>
    </row>
    <row r="127" spans="1:18">
      <c r="C127" s="447"/>
    </row>
    <row r="128" spans="1:18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  <row r="133" spans="3:3">
      <c r="C133" s="447"/>
    </row>
  </sheetData>
  <mergeCells count="131">
    <mergeCell ref="A1:M2"/>
    <mergeCell ref="A3:G3"/>
    <mergeCell ref="H3:M3"/>
    <mergeCell ref="I40:J40"/>
    <mergeCell ref="AF6:AF7"/>
    <mergeCell ref="AG6:AG7"/>
    <mergeCell ref="A20:B20"/>
    <mergeCell ref="H21:H22"/>
    <mergeCell ref="I21:I22"/>
    <mergeCell ref="J21:K21"/>
    <mergeCell ref="L21:L22"/>
    <mergeCell ref="M21:M22"/>
    <mergeCell ref="H36:H37"/>
    <mergeCell ref="I36:K37"/>
    <mergeCell ref="L36:M37"/>
    <mergeCell ref="I38:J38"/>
    <mergeCell ref="I39:J39"/>
    <mergeCell ref="L10:M10"/>
    <mergeCell ref="L18:M18"/>
    <mergeCell ref="I19:J19"/>
    <mergeCell ref="L19:M19"/>
    <mergeCell ref="I11:J11"/>
    <mergeCell ref="L11:M11"/>
    <mergeCell ref="H20:J20"/>
    <mergeCell ref="K54:L54"/>
    <mergeCell ref="I41:J41"/>
    <mergeCell ref="I42:J42"/>
    <mergeCell ref="I43:J43"/>
    <mergeCell ref="I46:J46"/>
    <mergeCell ref="I47:J47"/>
    <mergeCell ref="I48:J48"/>
    <mergeCell ref="I49:J49"/>
    <mergeCell ref="I50:J50"/>
    <mergeCell ref="I51:J51"/>
    <mergeCell ref="I52:J52"/>
    <mergeCell ref="H54:I54"/>
    <mergeCell ref="I53:J53"/>
    <mergeCell ref="I60:J60"/>
    <mergeCell ref="L60:M60"/>
    <mergeCell ref="I61:J61"/>
    <mergeCell ref="L61:M61"/>
    <mergeCell ref="I62:J62"/>
    <mergeCell ref="L62:M62"/>
    <mergeCell ref="H55:K55"/>
    <mergeCell ref="A56:M57"/>
    <mergeCell ref="A58:G58"/>
    <mergeCell ref="H58:M58"/>
    <mergeCell ref="I59:J59"/>
    <mergeCell ref="L59:M59"/>
    <mergeCell ref="I66:J66"/>
    <mergeCell ref="L66:M66"/>
    <mergeCell ref="I67:J67"/>
    <mergeCell ref="L67:M67"/>
    <mergeCell ref="I68:J68"/>
    <mergeCell ref="L68:M68"/>
    <mergeCell ref="I63:J63"/>
    <mergeCell ref="L63:M63"/>
    <mergeCell ref="I64:J64"/>
    <mergeCell ref="L64:M64"/>
    <mergeCell ref="I65:J65"/>
    <mergeCell ref="L65:M65"/>
    <mergeCell ref="I72:J72"/>
    <mergeCell ref="L72:M72"/>
    <mergeCell ref="I73:J73"/>
    <mergeCell ref="L73:M73"/>
    <mergeCell ref="I74:J74"/>
    <mergeCell ref="L74:M74"/>
    <mergeCell ref="I75:J75"/>
    <mergeCell ref="L75:M75"/>
    <mergeCell ref="I69:J69"/>
    <mergeCell ref="L69:M69"/>
    <mergeCell ref="I70:J70"/>
    <mergeCell ref="L70:M70"/>
    <mergeCell ref="I71:J71"/>
    <mergeCell ref="L71:M71"/>
    <mergeCell ref="A76:B76"/>
    <mergeCell ref="H76:J76"/>
    <mergeCell ref="L76:M76"/>
    <mergeCell ref="H77:H78"/>
    <mergeCell ref="I77:I78"/>
    <mergeCell ref="J77:K77"/>
    <mergeCell ref="L77:L78"/>
    <mergeCell ref="M77:M78"/>
    <mergeCell ref="A106:F106"/>
    <mergeCell ref="A104:M105"/>
    <mergeCell ref="I89:J89"/>
    <mergeCell ref="I90:J90"/>
    <mergeCell ref="I97:J97"/>
    <mergeCell ref="I91:J91"/>
    <mergeCell ref="I92:J92"/>
    <mergeCell ref="I93:J93"/>
    <mergeCell ref="I94:J94"/>
    <mergeCell ref="I95:J95"/>
    <mergeCell ref="I100:J100"/>
    <mergeCell ref="A107:B107"/>
    <mergeCell ref="A108:B108"/>
    <mergeCell ref="I4:J4"/>
    <mergeCell ref="L4:M4"/>
    <mergeCell ref="I5:J5"/>
    <mergeCell ref="L5:M5"/>
    <mergeCell ref="I6:J6"/>
    <mergeCell ref="L6:M6"/>
    <mergeCell ref="I7:J7"/>
    <mergeCell ref="L7:M7"/>
    <mergeCell ref="I8:J8"/>
    <mergeCell ref="L8:M8"/>
    <mergeCell ref="I9:J9"/>
    <mergeCell ref="L9:M9"/>
    <mergeCell ref="I10:J10"/>
    <mergeCell ref="I99:J99"/>
    <mergeCell ref="I101:J101"/>
    <mergeCell ref="H102:I102"/>
    <mergeCell ref="K102:L102"/>
    <mergeCell ref="I98:J98"/>
    <mergeCell ref="H87:H88"/>
    <mergeCell ref="I87:K88"/>
    <mergeCell ref="L87:M88"/>
    <mergeCell ref="I18:J18"/>
    <mergeCell ref="L20:M20"/>
    <mergeCell ref="I12:J12"/>
    <mergeCell ref="L12:M12"/>
    <mergeCell ref="I13:J13"/>
    <mergeCell ref="L13:M13"/>
    <mergeCell ref="I14:J14"/>
    <mergeCell ref="L14:M14"/>
    <mergeCell ref="I15:J15"/>
    <mergeCell ref="L15:M15"/>
    <mergeCell ref="I16:J16"/>
    <mergeCell ref="L16:M16"/>
    <mergeCell ref="I17:J17"/>
    <mergeCell ref="L17:M17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7"/>
  <sheetViews>
    <sheetView zoomScaleNormal="100" zoomScaleSheetLayoutView="70" zoomScalePageLayoutView="70" workbookViewId="0">
      <pane xSplit="1" ySplit="1" topLeftCell="B32" activePane="bottomRight" state="frozen"/>
      <selection pane="topRight" activeCell="B1" sqref="B1"/>
      <selection pane="bottomLeft" activeCell="A4" sqref="A4"/>
      <selection pane="bottomRight" activeCell="F39" sqref="F39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2.140625" style="35" customWidth="1"/>
    <col min="5" max="5" width="12.28515625" style="35" customWidth="1"/>
    <col min="6" max="6" width="15.8554687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1</v>
      </c>
      <c r="C2" s="17">
        <v>43983</v>
      </c>
      <c r="D2" s="796"/>
      <c r="E2" s="778"/>
      <c r="F2" s="741">
        <v>564.95000000000005</v>
      </c>
      <c r="G2" s="227">
        <v>637.5</v>
      </c>
      <c r="H2" s="227"/>
      <c r="I2" s="746"/>
      <c r="J2" s="708"/>
      <c r="K2" s="464"/>
      <c r="L2" s="464"/>
      <c r="M2" s="464"/>
    </row>
    <row r="3" spans="1:17" ht="11.1" customHeight="1">
      <c r="B3" s="16">
        <f t="shared" ref="B3:B32" si="0">IF(C3="","",WEEKDAY(C3,2))</f>
        <v>2</v>
      </c>
      <c r="C3" s="17">
        <v>43984</v>
      </c>
      <c r="D3" s="796">
        <v>570.5</v>
      </c>
      <c r="E3" s="778"/>
      <c r="F3" s="770"/>
      <c r="G3" s="707">
        <v>465.85</v>
      </c>
      <c r="H3" s="707"/>
      <c r="I3" s="746"/>
      <c r="J3" s="709">
        <v>79</v>
      </c>
      <c r="K3" s="464"/>
      <c r="L3" s="464"/>
      <c r="M3" s="464"/>
    </row>
    <row r="4" spans="1:17" ht="11.1" customHeight="1">
      <c r="B4" s="16">
        <f t="shared" si="0"/>
        <v>3</v>
      </c>
      <c r="C4" s="17">
        <v>43985</v>
      </c>
      <c r="D4" s="796">
        <v>631.4</v>
      </c>
      <c r="E4" s="21"/>
      <c r="F4" s="741"/>
      <c r="G4" s="227"/>
      <c r="H4" s="227">
        <v>339.5</v>
      </c>
      <c r="I4" s="746"/>
      <c r="J4" s="709">
        <v>54.5</v>
      </c>
      <c r="K4" s="464"/>
      <c r="L4" s="464"/>
      <c r="M4" s="464"/>
    </row>
    <row r="5" spans="1:17" ht="11.1" customHeight="1">
      <c r="B5" s="16">
        <f t="shared" si="0"/>
        <v>4</v>
      </c>
      <c r="C5" s="17">
        <v>43986</v>
      </c>
      <c r="D5" s="796"/>
      <c r="E5" s="22"/>
      <c r="F5" s="741">
        <v>893.2</v>
      </c>
      <c r="G5" s="227"/>
      <c r="H5" s="227">
        <v>252.5</v>
      </c>
      <c r="I5" s="746"/>
      <c r="J5" s="708">
        <v>265.45</v>
      </c>
      <c r="K5" s="464"/>
      <c r="L5" s="464"/>
      <c r="M5" s="464"/>
    </row>
    <row r="6" spans="1:17" ht="11.1" customHeight="1">
      <c r="B6" s="16">
        <f t="shared" si="0"/>
        <v>5</v>
      </c>
      <c r="C6" s="17">
        <v>43987</v>
      </c>
      <c r="D6" s="796"/>
      <c r="E6" s="22"/>
      <c r="F6" s="741">
        <v>578.79999999999995</v>
      </c>
      <c r="G6" s="227">
        <v>551</v>
      </c>
      <c r="H6" s="227"/>
      <c r="I6" s="746"/>
      <c r="J6" s="85">
        <v>92.7</v>
      </c>
      <c r="K6" s="464"/>
      <c r="L6" s="464"/>
      <c r="M6" s="464"/>
    </row>
    <row r="7" spans="1:17" ht="11.1" customHeight="1">
      <c r="B7" s="16">
        <f t="shared" si="0"/>
        <v>6</v>
      </c>
      <c r="C7" s="17">
        <v>43988</v>
      </c>
      <c r="D7" s="796">
        <v>457.9</v>
      </c>
      <c r="E7" s="22"/>
      <c r="F7" s="226"/>
      <c r="G7" s="227">
        <v>323</v>
      </c>
      <c r="H7" s="227"/>
      <c r="I7" s="746"/>
      <c r="J7" s="85">
        <v>121.5</v>
      </c>
      <c r="K7" s="464"/>
      <c r="L7" s="464"/>
      <c r="M7" s="464"/>
    </row>
    <row r="8" spans="1:17" ht="11.1" customHeight="1">
      <c r="B8" s="16">
        <f t="shared" si="0"/>
        <v>7</v>
      </c>
      <c r="C8" s="17">
        <v>43989</v>
      </c>
      <c r="D8" s="796">
        <v>901.5</v>
      </c>
      <c r="E8" s="22"/>
      <c r="F8" s="226"/>
      <c r="G8" s="227">
        <v>401.5</v>
      </c>
      <c r="H8" s="227"/>
      <c r="I8" s="746"/>
      <c r="J8" s="85">
        <v>326.18</v>
      </c>
      <c r="K8" s="464"/>
      <c r="L8" s="464"/>
      <c r="M8" s="464"/>
    </row>
    <row r="9" spans="1:17" ht="11.1" customHeight="1">
      <c r="B9" s="16">
        <f>IF(C9="","",WEEKDAY(C9,2))</f>
        <v>1</v>
      </c>
      <c r="C9" s="17">
        <v>43990</v>
      </c>
      <c r="D9" s="796"/>
      <c r="E9" s="22">
        <v>904.15</v>
      </c>
      <c r="F9" s="226"/>
      <c r="G9" s="227"/>
      <c r="H9" s="227">
        <v>241</v>
      </c>
      <c r="I9" s="18"/>
      <c r="J9" s="765"/>
      <c r="K9" s="464"/>
      <c r="L9" s="464"/>
      <c r="M9" s="464"/>
    </row>
    <row r="10" spans="1:17" ht="11.1" customHeight="1">
      <c r="B10" s="16">
        <f t="shared" si="0"/>
        <v>2</v>
      </c>
      <c r="C10" s="17">
        <v>43991</v>
      </c>
      <c r="D10" s="796"/>
      <c r="E10" s="22">
        <v>877.86</v>
      </c>
      <c r="F10" s="226"/>
      <c r="G10" s="227"/>
      <c r="H10" s="227">
        <v>359</v>
      </c>
      <c r="I10" s="431"/>
      <c r="J10" s="765">
        <v>241.85</v>
      </c>
      <c r="K10" s="464"/>
      <c r="L10" s="464"/>
      <c r="M10" s="464"/>
    </row>
    <row r="11" spans="1:17" ht="11.1" customHeight="1">
      <c r="B11" s="16">
        <f t="shared" si="0"/>
        <v>3</v>
      </c>
      <c r="C11" s="17">
        <v>43992</v>
      </c>
      <c r="D11" s="796">
        <v>696.3</v>
      </c>
      <c r="E11" s="22"/>
      <c r="F11" s="226"/>
      <c r="G11" s="226">
        <v>359.5</v>
      </c>
      <c r="H11" s="710"/>
      <c r="I11" s="710"/>
      <c r="J11" s="765">
        <v>108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4</v>
      </c>
      <c r="C12" s="17">
        <v>43993</v>
      </c>
      <c r="D12" s="796">
        <v>876.3</v>
      </c>
      <c r="E12" s="22"/>
      <c r="F12" s="226"/>
      <c r="G12" s="226">
        <v>342</v>
      </c>
      <c r="H12" s="226"/>
      <c r="I12" s="226"/>
      <c r="J12" s="765">
        <v>201.6</v>
      </c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5</v>
      </c>
      <c r="C13" s="17">
        <v>43994</v>
      </c>
      <c r="D13" s="796"/>
      <c r="E13" s="22">
        <v>790.6</v>
      </c>
      <c r="F13" s="226"/>
      <c r="G13" s="226"/>
      <c r="H13" s="226">
        <v>332.5</v>
      </c>
      <c r="I13" s="226"/>
      <c r="J13" s="765">
        <v>196.7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6</v>
      </c>
      <c r="C14" s="17">
        <v>43995</v>
      </c>
      <c r="D14" s="796"/>
      <c r="E14" s="22">
        <v>500</v>
      </c>
      <c r="F14" s="226"/>
      <c r="G14" s="226"/>
      <c r="H14" s="226">
        <v>209.7</v>
      </c>
      <c r="I14" s="226"/>
      <c r="J14" s="765">
        <v>71.05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7</v>
      </c>
      <c r="C15" s="17">
        <v>43996</v>
      </c>
      <c r="D15" s="796">
        <v>844.35</v>
      </c>
      <c r="E15" s="22"/>
      <c r="F15" s="226"/>
      <c r="G15" s="226">
        <v>323.60000000000002</v>
      </c>
      <c r="H15" s="226"/>
      <c r="I15" s="746"/>
      <c r="J15" s="14">
        <v>112.8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1</v>
      </c>
      <c r="C16" s="17">
        <v>43997</v>
      </c>
      <c r="D16" s="796"/>
      <c r="E16" s="793"/>
      <c r="F16" s="741">
        <v>1178.7</v>
      </c>
      <c r="G16" s="226">
        <v>790.1</v>
      </c>
      <c r="H16" s="226"/>
      <c r="I16" s="14"/>
      <c r="J16" s="765"/>
      <c r="K16" s="464"/>
      <c r="L16" s="466"/>
      <c r="M16" s="466"/>
      <c r="N16" s="86"/>
      <c r="O16" s="86"/>
      <c r="P16" s="86"/>
      <c r="Q16" s="86"/>
    </row>
    <row r="17" spans="1:17" ht="11.1" customHeight="1">
      <c r="A17" s="35" t="s">
        <v>373</v>
      </c>
      <c r="B17" s="16">
        <f t="shared" si="0"/>
        <v>2</v>
      </c>
      <c r="C17" s="17">
        <v>43998</v>
      </c>
      <c r="D17" s="796"/>
      <c r="E17" s="22">
        <v>854.25</v>
      </c>
      <c r="F17" s="226"/>
      <c r="G17" s="226">
        <v>996.6</v>
      </c>
      <c r="H17" s="226"/>
      <c r="I17" s="14"/>
      <c r="J17" s="765"/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3</v>
      </c>
      <c r="C18" s="17">
        <v>43999</v>
      </c>
      <c r="D18" s="22"/>
      <c r="E18" s="22">
        <v>1103</v>
      </c>
      <c r="F18" s="741"/>
      <c r="G18" s="226"/>
      <c r="H18" s="226">
        <v>717</v>
      </c>
      <c r="I18" s="226"/>
      <c r="J18" s="765">
        <v>296.10000000000002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4</v>
      </c>
      <c r="C19" s="17">
        <v>44000</v>
      </c>
      <c r="D19" s="22"/>
      <c r="E19" s="778"/>
      <c r="F19" s="741">
        <v>1149.4000000000001</v>
      </c>
      <c r="G19" s="226"/>
      <c r="H19" s="226">
        <v>353.5</v>
      </c>
      <c r="I19" s="14"/>
      <c r="J19" s="765">
        <v>126.4</v>
      </c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5</v>
      </c>
      <c r="C20" s="17">
        <v>44001</v>
      </c>
      <c r="D20" s="22"/>
      <c r="E20" s="22"/>
      <c r="F20" s="741">
        <v>668.2</v>
      </c>
      <c r="G20" s="226">
        <v>748.6</v>
      </c>
      <c r="H20" s="226"/>
      <c r="I20" s="22"/>
      <c r="J20" s="766">
        <v>208</v>
      </c>
      <c r="K20" s="466"/>
      <c r="L20" s="466"/>
      <c r="M20" s="466"/>
    </row>
    <row r="21" spans="1:17" s="86" customFormat="1" ht="11.1" customHeight="1">
      <c r="B21" s="460">
        <f t="shared" si="0"/>
        <v>6</v>
      </c>
      <c r="C21" s="17">
        <v>44002</v>
      </c>
      <c r="D21" s="22"/>
      <c r="E21" s="22">
        <v>456.1</v>
      </c>
      <c r="F21" s="226"/>
      <c r="G21" s="226">
        <v>453.4</v>
      </c>
      <c r="H21" s="226"/>
      <c r="I21" s="226"/>
      <c r="J21" s="766">
        <v>239.5</v>
      </c>
      <c r="K21" s="466"/>
      <c r="L21" s="466"/>
      <c r="M21" s="466"/>
    </row>
    <row r="22" spans="1:17" s="86" customFormat="1" ht="11.1" customHeight="1">
      <c r="B22" s="460">
        <f>IF(C22="","",WEEKDAY(C22,2))</f>
        <v>7</v>
      </c>
      <c r="C22" s="17">
        <v>44003</v>
      </c>
      <c r="D22" s="22"/>
      <c r="E22" s="22">
        <v>663.4</v>
      </c>
      <c r="F22" s="226"/>
      <c r="G22" s="226">
        <v>752.4</v>
      </c>
      <c r="H22" s="226"/>
      <c r="I22" s="226"/>
      <c r="J22" s="766">
        <v>145.9</v>
      </c>
      <c r="K22" s="466"/>
      <c r="L22" s="466"/>
      <c r="M22" s="466"/>
    </row>
    <row r="23" spans="1:17" s="86" customFormat="1" ht="11.1" customHeight="1">
      <c r="A23" s="1129" t="s">
        <v>368</v>
      </c>
      <c r="B23" s="460">
        <f t="shared" si="0"/>
        <v>1</v>
      </c>
      <c r="C23" s="17">
        <v>44004</v>
      </c>
      <c r="D23" s="22">
        <v>165.6</v>
      </c>
      <c r="E23" s="22"/>
      <c r="F23" s="226"/>
      <c r="G23" s="226"/>
      <c r="H23" s="226"/>
      <c r="I23" s="476"/>
      <c r="J23" s="766"/>
      <c r="K23" s="466"/>
      <c r="L23" s="466"/>
      <c r="M23" s="466"/>
    </row>
    <row r="24" spans="1:17" s="86" customFormat="1" ht="10.5" customHeight="1">
      <c r="A24" s="1129"/>
      <c r="B24" s="460">
        <f t="shared" si="0"/>
        <v>2</v>
      </c>
      <c r="C24" s="17">
        <v>44005</v>
      </c>
      <c r="D24" s="22">
        <v>2044.2</v>
      </c>
      <c r="E24" s="22"/>
      <c r="F24" s="226"/>
      <c r="G24" s="226">
        <v>571</v>
      </c>
      <c r="H24" s="226"/>
      <c r="I24" s="226"/>
      <c r="J24" s="766">
        <v>324.3</v>
      </c>
      <c r="K24" s="466"/>
      <c r="L24" s="743"/>
      <c r="M24" s="466"/>
    </row>
    <row r="25" spans="1:17" s="86" customFormat="1" ht="11.1" customHeight="1">
      <c r="B25" s="460">
        <f t="shared" si="0"/>
        <v>3</v>
      </c>
      <c r="C25" s="17">
        <v>44006</v>
      </c>
      <c r="D25" s="22"/>
      <c r="E25" s="22">
        <v>830.6</v>
      </c>
      <c r="F25" s="226"/>
      <c r="G25" s="226">
        <v>619.79999999999995</v>
      </c>
      <c r="H25" s="226"/>
      <c r="I25" s="226"/>
      <c r="J25" s="766">
        <v>131.65</v>
      </c>
      <c r="K25" s="466"/>
      <c r="L25" s="466"/>
      <c r="M25" s="477"/>
    </row>
    <row r="26" spans="1:17" s="86" customFormat="1" ht="11.1" customHeight="1">
      <c r="B26" s="460">
        <f t="shared" si="0"/>
        <v>4</v>
      </c>
      <c r="C26" s="17">
        <v>44007</v>
      </c>
      <c r="D26" s="22"/>
      <c r="E26" s="22">
        <v>767.5</v>
      </c>
      <c r="F26" s="22"/>
      <c r="G26" s="515">
        <v>794</v>
      </c>
      <c r="H26" s="515"/>
      <c r="I26" s="226"/>
      <c r="J26" s="766">
        <v>58</v>
      </c>
      <c r="K26" s="466"/>
      <c r="L26" s="466"/>
      <c r="M26" s="477"/>
    </row>
    <row r="27" spans="1:17" s="86" customFormat="1" ht="11.1" customHeight="1">
      <c r="B27" s="460">
        <f t="shared" si="0"/>
        <v>5</v>
      </c>
      <c r="C27" s="17">
        <v>44008</v>
      </c>
      <c r="D27" s="226">
        <v>532.20000000000005</v>
      </c>
      <c r="E27" s="22"/>
      <c r="F27" s="226"/>
      <c r="G27" s="226">
        <v>372.55</v>
      </c>
      <c r="H27" s="226"/>
      <c r="I27" s="226"/>
      <c r="J27" s="766">
        <v>78</v>
      </c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6</v>
      </c>
      <c r="C28" s="17">
        <v>44009</v>
      </c>
      <c r="D28" s="22">
        <v>655.20000000000005</v>
      </c>
      <c r="E28" s="22"/>
      <c r="F28" s="741"/>
      <c r="G28" s="226"/>
      <c r="H28" s="226"/>
      <c r="I28" s="226">
        <v>400.5</v>
      </c>
      <c r="J28" s="766">
        <v>42.5</v>
      </c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7</v>
      </c>
      <c r="C29" s="17">
        <v>44010</v>
      </c>
      <c r="D29" s="22"/>
      <c r="E29" s="22">
        <v>651.6</v>
      </c>
      <c r="F29" s="741"/>
      <c r="G29" s="226">
        <v>419</v>
      </c>
      <c r="H29" s="226"/>
      <c r="I29" s="226"/>
      <c r="J29" s="766">
        <v>27</v>
      </c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1</v>
      </c>
      <c r="C30" s="17">
        <v>44011</v>
      </c>
      <c r="D30" s="22"/>
      <c r="E30" s="226">
        <v>573.65</v>
      </c>
      <c r="G30" s="226">
        <v>470.3</v>
      </c>
      <c r="H30" s="226"/>
      <c r="I30" s="226"/>
      <c r="J30" s="766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2</v>
      </c>
      <c r="C31" s="17">
        <v>44012</v>
      </c>
      <c r="D31" s="22">
        <v>870.2</v>
      </c>
      <c r="E31" s="22"/>
      <c r="F31" s="226"/>
      <c r="G31" s="226">
        <v>506.7</v>
      </c>
      <c r="H31" s="226"/>
      <c r="I31" s="22"/>
      <c r="J31" s="767">
        <v>221.95</v>
      </c>
      <c r="K31" s="470"/>
      <c r="L31" s="470"/>
      <c r="M31" s="470"/>
      <c r="N31" s="366"/>
      <c r="O31" s="366"/>
      <c r="P31" s="366"/>
      <c r="Q31" s="366"/>
    </row>
    <row r="32" spans="1:17" s="86" customFormat="1" ht="14.1" customHeight="1">
      <c r="A32" s="475"/>
      <c r="B32" s="303" t="str">
        <f t="shared" si="0"/>
        <v/>
      </c>
      <c r="C32" s="17"/>
      <c r="D32" s="236"/>
      <c r="E32" s="236"/>
      <c r="F32" s="764"/>
      <c r="G32" s="305"/>
      <c r="H32" s="305"/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3" ht="14.1" customHeight="1" thickBot="1">
      <c r="B33" s="21"/>
      <c r="C33" s="612" t="s">
        <v>225</v>
      </c>
      <c r="D33" s="85">
        <f>COUNT(D2:D32)</f>
        <v>12</v>
      </c>
      <c r="E33" s="85">
        <f>COUNT(E2:E32)</f>
        <v>12</v>
      </c>
      <c r="F33" s="85">
        <f>COUNT(F2:F32)</f>
        <v>6</v>
      </c>
      <c r="G33" s="85">
        <f>COUNT(G2:G32)</f>
        <v>20</v>
      </c>
      <c r="H33" s="85">
        <f>COUNT(H2:H32)</f>
        <v>8</v>
      </c>
      <c r="J33" s="470"/>
      <c r="K33" s="470"/>
      <c r="L33" s="470"/>
      <c r="M33" s="470"/>
      <c r="N33" s="366"/>
      <c r="O33" s="366"/>
      <c r="P33" s="366"/>
      <c r="Q33" s="366"/>
    </row>
    <row r="34" spans="1:23" ht="14.1" customHeight="1" thickBot="1">
      <c r="B34" s="21"/>
      <c r="C34" s="85" t="s">
        <v>73</v>
      </c>
      <c r="D34" s="238">
        <f>SUM(D2:D32)+D42</f>
        <v>9616.1500000000015</v>
      </c>
      <c r="E34" s="238">
        <f>SUM(E2:E32)</f>
        <v>8972.7100000000009</v>
      </c>
      <c r="F34" s="238">
        <f>SUM(F2:F32)</f>
        <v>5033.25</v>
      </c>
      <c r="G34" s="238">
        <f>SUM(G2:G32)</f>
        <v>10898.4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3" ht="14.1" customHeight="1" thickBot="1">
      <c r="B35" s="21"/>
      <c r="C35" s="85" t="s">
        <v>22</v>
      </c>
      <c r="D35" s="238">
        <v>9022.15</v>
      </c>
      <c r="E35" s="238">
        <v>8240.4599999999991</v>
      </c>
      <c r="F35" s="238">
        <v>4610.3999999999996</v>
      </c>
      <c r="G35" s="238">
        <v>10266.9</v>
      </c>
      <c r="H35" s="66"/>
      <c r="I35" s="12"/>
      <c r="J35" s="292">
        <f>SUM(D2:F32)</f>
        <v>23251.61</v>
      </c>
      <c r="K35" s="292">
        <f>SUM(G2:H32)+370.5+I28</f>
        <v>14474.099999999999</v>
      </c>
      <c r="L35" s="454">
        <f>SUM(J2:J32)</f>
        <v>3770.63</v>
      </c>
      <c r="M35" s="363"/>
      <c r="N35" s="366"/>
      <c r="O35" s="366"/>
      <c r="P35" s="366"/>
      <c r="Q35" s="366"/>
    </row>
    <row r="36" spans="1:23" ht="14.1" customHeight="1">
      <c r="B36" s="21"/>
      <c r="C36" s="85" t="s">
        <v>5</v>
      </c>
      <c r="D36" s="88">
        <f>ABS(D34-D35)</f>
        <v>594.00000000000182</v>
      </c>
      <c r="E36" s="88">
        <f>ABS(E34-E35)</f>
        <v>732.25000000000182</v>
      </c>
      <c r="F36" s="88">
        <f>ABS(F34-F35)</f>
        <v>422.85000000000036</v>
      </c>
      <c r="G36" s="88">
        <f>ABS(G34-G35)</f>
        <v>631.5</v>
      </c>
      <c r="H36" s="68"/>
      <c r="I36" s="1"/>
      <c r="J36" s="363"/>
      <c r="K36" s="363"/>
      <c r="L36" s="363"/>
      <c r="M36" s="363"/>
      <c r="N36" s="366"/>
      <c r="O36" s="366"/>
      <c r="P36" s="366"/>
      <c r="Q36" s="366"/>
    </row>
    <row r="37" spans="1:23" ht="14.1" customHeight="1">
      <c r="B37" s="21"/>
      <c r="C37" s="739" t="s">
        <v>233</v>
      </c>
      <c r="D37" s="89">
        <f>ROUND(D36*1%,2)</f>
        <v>5.94</v>
      </c>
      <c r="E37" s="89">
        <f>ROUND(E36*1%,2)</f>
        <v>7.32</v>
      </c>
      <c r="F37" s="89">
        <f>ROUND(F36*1%,2)</f>
        <v>4.2300000000000004</v>
      </c>
      <c r="G37" s="89">
        <f>ROUND(G36*1%,2)</f>
        <v>6.32</v>
      </c>
      <c r="H37" s="70"/>
      <c r="I37" s="1"/>
      <c r="J37" s="363">
        <f>D45+E45+F45</f>
        <v>1396.67</v>
      </c>
      <c r="K37" s="363">
        <f>G45+300</f>
        <v>1074.33</v>
      </c>
      <c r="L37" s="363"/>
      <c r="M37" s="363"/>
      <c r="N37" s="366"/>
      <c r="O37" s="366"/>
      <c r="P37" s="366"/>
      <c r="Q37" s="366"/>
    </row>
    <row r="38" spans="1:23" ht="14.1" customHeight="1">
      <c r="B38" s="21"/>
      <c r="C38" s="738" t="s">
        <v>234</v>
      </c>
      <c r="D38" s="89">
        <f>ROUND(3%*D35,2)</f>
        <v>270.66000000000003</v>
      </c>
      <c r="E38" s="89">
        <f>ROUND(3%*E35,2)</f>
        <v>247.21</v>
      </c>
      <c r="F38" s="89">
        <f>ROUND(3%*F35,2)</f>
        <v>138.31</v>
      </c>
      <c r="G38" s="89">
        <f>ROUND(3%*G35,2)</f>
        <v>308.01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3" ht="14.1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3" ht="14.1" customHeight="1">
      <c r="B40" s="21"/>
      <c r="C40" s="85" t="s">
        <v>244</v>
      </c>
      <c r="D40" s="87">
        <f>ROUND(20*D33,2)</f>
        <v>240</v>
      </c>
      <c r="E40" s="87">
        <f>ROUND(20*E33,2)</f>
        <v>240</v>
      </c>
      <c r="F40" s="87">
        <f>ROUND(20*F33,2)</f>
        <v>120</v>
      </c>
      <c r="G40" s="88">
        <f>ROUND(23*G33,2)</f>
        <v>460</v>
      </c>
      <c r="H40" s="68"/>
      <c r="I40" s="8"/>
      <c r="J40" s="283"/>
      <c r="K40" s="145"/>
      <c r="L40" s="145"/>
      <c r="M40" s="363"/>
      <c r="N40" s="366"/>
      <c r="O40" s="366"/>
      <c r="P40" s="366"/>
      <c r="Q40" s="366"/>
    </row>
    <row r="41" spans="1:23" ht="14.1" customHeight="1">
      <c r="B41" s="31"/>
      <c r="C41" s="239"/>
      <c r="D41" s="18">
        <v>337.71</v>
      </c>
      <c r="E41" s="241"/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3" ht="14.1" customHeight="1">
      <c r="B42" s="21"/>
      <c r="C42" s="795"/>
      <c r="D42" s="243">
        <v>370.5</v>
      </c>
      <c r="E42" s="240">
        <v>100</v>
      </c>
      <c r="F42" s="87"/>
      <c r="G42" s="87">
        <v>300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3" ht="14.1" customHeight="1">
      <c r="B43" s="21"/>
      <c r="C43" s="795"/>
      <c r="D43" s="243">
        <v>23</v>
      </c>
      <c r="E43" s="240"/>
      <c r="F43" s="87"/>
      <c r="G43" s="87"/>
      <c r="H43" s="72"/>
      <c r="I43" s="8"/>
      <c r="J43" s="283"/>
      <c r="K43" s="145"/>
      <c r="L43" s="366"/>
      <c r="M43" s="366"/>
      <c r="N43" s="366"/>
      <c r="O43" s="366"/>
      <c r="P43" s="366"/>
      <c r="Q43" s="366"/>
    </row>
    <row r="44" spans="1:23" ht="14.1" customHeight="1">
      <c r="B44" s="21"/>
      <c r="C44" s="245" t="s">
        <v>77</v>
      </c>
      <c r="D44" s="456">
        <f>D37+D38+D39+D40-D41+D43</f>
        <v>251.89000000000004</v>
      </c>
      <c r="E44" s="456">
        <f>E37+E38+E39+E40-E41-E42</f>
        <v>444.53</v>
      </c>
      <c r="F44" s="456">
        <f>F37+F38+F40</f>
        <v>262.53999999999996</v>
      </c>
      <c r="G44" s="456">
        <f>G37+G38+G40-G41-G42</f>
        <v>217.24</v>
      </c>
      <c r="H44" s="730"/>
      <c r="I44" s="8"/>
      <c r="J44" s="145"/>
      <c r="K44" s="145"/>
      <c r="L44" s="366"/>
      <c r="M44" s="366"/>
      <c r="N44" s="366"/>
      <c r="O44" s="366"/>
      <c r="P44" s="366"/>
      <c r="Q44" s="366"/>
    </row>
    <row r="45" spans="1:23" ht="14.1" customHeight="1">
      <c r="B45" s="21"/>
      <c r="C45" s="286" t="s">
        <v>45</v>
      </c>
      <c r="D45" s="287">
        <f>D37+D38+D39+D40+D43</f>
        <v>589.6</v>
      </c>
      <c r="E45" s="287">
        <f>E37+E38+E39+E40</f>
        <v>544.53</v>
      </c>
      <c r="F45" s="287">
        <f>F37+F38+F39+F40</f>
        <v>262.53999999999996</v>
      </c>
      <c r="G45" s="287">
        <f>G37+G38+G40</f>
        <v>774.32999999999993</v>
      </c>
      <c r="H45" s="462"/>
      <c r="I45" s="8"/>
      <c r="J45" s="462">
        <f>G45+300-G41</f>
        <v>817.24</v>
      </c>
      <c r="K45" s="366"/>
      <c r="L45" s="366"/>
      <c r="M45" s="366"/>
      <c r="N45" s="366"/>
      <c r="O45" s="366"/>
      <c r="P45" s="366"/>
      <c r="Q45" s="366"/>
      <c r="R45" s="1"/>
      <c r="S45" s="1"/>
      <c r="T45" s="1"/>
      <c r="U45" s="1"/>
      <c r="V45" s="1"/>
      <c r="W45" s="1"/>
    </row>
    <row r="46" spans="1:23" ht="12.95" customHeight="1">
      <c r="B46" s="21"/>
      <c r="C46" s="169"/>
      <c r="D46" s="364"/>
      <c r="E46" s="462"/>
      <c r="F46" s="8"/>
      <c r="G46" s="8"/>
      <c r="H46" s="8"/>
      <c r="I46" s="8"/>
      <c r="J46" s="283"/>
      <c r="K46" s="366"/>
      <c r="L46" s="366"/>
      <c r="M46" s="366"/>
      <c r="N46" s="366"/>
      <c r="O46" s="366"/>
      <c r="P46" s="366"/>
      <c r="Q46" s="366"/>
      <c r="R46" s="1"/>
      <c r="S46" s="1"/>
      <c r="T46" s="1"/>
      <c r="U46" s="1"/>
      <c r="V46" s="1"/>
      <c r="W46" s="1"/>
    </row>
    <row r="47" spans="1:23" ht="12.95" customHeight="1">
      <c r="A47" s="8"/>
      <c r="B47" s="31"/>
      <c r="C47" s="1071" t="s">
        <v>352</v>
      </c>
      <c r="D47" s="1071"/>
      <c r="E47" s="1071"/>
      <c r="F47" s="1071"/>
      <c r="G47" s="1071"/>
      <c r="H47" s="752"/>
      <c r="I47" s="8"/>
      <c r="J47" s="68"/>
      <c r="K47" s="145"/>
      <c r="L47" s="366"/>
      <c r="M47" s="366"/>
      <c r="N47" s="145"/>
      <c r="O47" s="366"/>
      <c r="P47" s="366"/>
      <c r="Q47" s="366"/>
      <c r="R47" s="1"/>
      <c r="S47" s="1"/>
      <c r="T47" s="1"/>
      <c r="U47" s="1"/>
      <c r="V47" s="1"/>
      <c r="W47" s="1"/>
    </row>
    <row r="48" spans="1:23" ht="12.95" customHeight="1">
      <c r="A48" s="8"/>
      <c r="B48" s="31"/>
      <c r="C48" s="1" t="s">
        <v>362</v>
      </c>
      <c r="D48" s="12"/>
      <c r="E48" s="12"/>
      <c r="F48" s="8"/>
      <c r="G48" s="8"/>
      <c r="H48" s="8"/>
      <c r="I48" s="8"/>
      <c r="J48" s="72"/>
      <c r="K48" s="366"/>
      <c r="L48" s="366"/>
      <c r="M48" s="366"/>
      <c r="N48" s="145"/>
      <c r="O48" s="366"/>
      <c r="P48" s="366"/>
      <c r="Q48" s="366"/>
      <c r="R48" s="1"/>
      <c r="S48" s="1"/>
      <c r="T48" s="1"/>
      <c r="U48" s="1"/>
      <c r="V48" s="1"/>
      <c r="W48" s="1"/>
    </row>
    <row r="49" spans="1:23" ht="12.95" customHeight="1">
      <c r="B49" s="32"/>
      <c r="C49" s="1"/>
      <c r="D49" s="1"/>
      <c r="E49" s="127"/>
      <c r="G49" s="8"/>
      <c r="H49" s="8"/>
      <c r="I49" s="207"/>
      <c r="J49" s="68"/>
      <c r="K49" s="366"/>
      <c r="L49" s="366"/>
      <c r="M49" s="366"/>
      <c r="N49" s="366"/>
      <c r="O49" s="366"/>
      <c r="P49" s="366"/>
      <c r="Q49" s="366"/>
      <c r="R49" s="1"/>
      <c r="S49" s="1"/>
      <c r="T49" s="1"/>
      <c r="U49" s="1"/>
      <c r="V49" s="1"/>
      <c r="W49" s="1"/>
    </row>
    <row r="50" spans="1:23" s="86" customFormat="1" ht="12.95" customHeight="1">
      <c r="B50" s="517"/>
      <c r="C50" s="518"/>
      <c r="D50" s="518"/>
      <c r="E50" s="518"/>
      <c r="F50" s="518"/>
      <c r="G50" s="518"/>
      <c r="H50" s="518"/>
      <c r="I50" s="519"/>
      <c r="J50" s="749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</row>
    <row r="51" spans="1:23" s="86" customFormat="1" ht="12.95" customHeight="1">
      <c r="C51" s="518"/>
      <c r="D51" s="518"/>
      <c r="E51" s="550"/>
      <c r="F51" s="550"/>
      <c r="G51" s="518"/>
      <c r="H51" s="518"/>
      <c r="I51" s="168"/>
      <c r="J51" s="551"/>
      <c r="K51" s="518"/>
      <c r="L51" s="518"/>
      <c r="M51" s="366"/>
      <c r="N51" s="366"/>
      <c r="O51" s="366"/>
      <c r="P51" s="366"/>
      <c r="Q51" s="366"/>
      <c r="R51" s="366"/>
      <c r="S51" s="366"/>
      <c r="T51" s="366"/>
      <c r="U51" s="366"/>
      <c r="V51" s="366"/>
      <c r="W51" s="366"/>
    </row>
    <row r="52" spans="1:23" s="86" customFormat="1" ht="12" customHeight="1">
      <c r="A52" s="366"/>
      <c r="B52" s="366"/>
      <c r="C52" s="518"/>
      <c r="D52" s="518"/>
      <c r="E52" s="550"/>
      <c r="F52" s="550"/>
      <c r="G52" s="518"/>
      <c r="H52" s="518"/>
      <c r="I52" s="519"/>
      <c r="J52" s="518"/>
      <c r="K52" s="518"/>
      <c r="L52" s="518"/>
      <c r="M52" s="366"/>
      <c r="N52" s="366"/>
      <c r="O52" s="366"/>
      <c r="P52" s="366"/>
      <c r="Q52" s="366"/>
      <c r="R52" s="366"/>
      <c r="S52" s="366"/>
      <c r="T52" s="366"/>
      <c r="U52" s="366"/>
      <c r="V52" s="366"/>
      <c r="W52" s="366"/>
    </row>
    <row r="53" spans="1:23" s="86" customFormat="1" ht="18.75">
      <c r="A53" s="366"/>
      <c r="B53" s="366"/>
      <c r="C53" s="366"/>
      <c r="D53" s="366"/>
      <c r="E53" s="144"/>
      <c r="I53" s="519"/>
      <c r="J53" s="518"/>
      <c r="K53" s="518"/>
      <c r="L53" s="518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</row>
    <row r="54" spans="1:23" s="86" customFormat="1">
      <c r="A54" s="366"/>
      <c r="B54" s="366"/>
      <c r="C54" s="366"/>
      <c r="D54" s="366"/>
      <c r="E54" s="144"/>
      <c r="J54" s="143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</row>
    <row r="55" spans="1:23" s="86" customFormat="1" ht="15" customHeight="1">
      <c r="A55" s="366"/>
      <c r="B55" s="366"/>
      <c r="C55" s="366"/>
      <c r="D55" s="366"/>
      <c r="E55" s="144"/>
      <c r="I55" s="550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</row>
    <row r="56" spans="1:23" s="86" customFormat="1" ht="15" customHeight="1">
      <c r="A56" s="366"/>
      <c r="B56" s="366"/>
      <c r="C56" s="366"/>
      <c r="D56" s="366"/>
      <c r="E56" s="144"/>
      <c r="I56" s="550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</row>
    <row r="57" spans="1:23" s="86" customFormat="1" ht="15" customHeight="1">
      <c r="A57" s="366"/>
      <c r="B57" s="366"/>
      <c r="C57" s="366"/>
      <c r="D57" s="366"/>
      <c r="E57" s="144"/>
      <c r="I57" s="550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</row>
    <row r="58" spans="1:23" s="86" customFormat="1">
      <c r="A58" s="366"/>
      <c r="B58" s="366"/>
      <c r="C58" s="366"/>
      <c r="D58" s="366"/>
      <c r="E58" s="144"/>
      <c r="I58" s="168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</row>
    <row r="59" spans="1:23" s="86" customFormat="1">
      <c r="A59" s="366"/>
      <c r="B59" s="366"/>
      <c r="C59" s="366"/>
      <c r="D59" s="366"/>
      <c r="E59" s="144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</row>
    <row r="60" spans="1:23" s="86" customFormat="1">
      <c r="A60" s="366"/>
      <c r="B60" s="366"/>
      <c r="C60" s="366"/>
      <c r="D60" s="366"/>
      <c r="E60" s="144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</row>
    <row r="61" spans="1:23" s="86" customFormat="1">
      <c r="A61" s="366"/>
      <c r="B61" s="366"/>
      <c r="C61" s="366"/>
      <c r="D61" s="366"/>
      <c r="E61" s="144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</row>
    <row r="62" spans="1:23" s="86" customFormat="1">
      <c r="A62" s="366"/>
      <c r="B62" s="366"/>
      <c r="C62" s="366"/>
      <c r="D62" s="366"/>
      <c r="E62" s="144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</row>
    <row r="63" spans="1:23">
      <c r="A63" s="1"/>
      <c r="B63" s="1"/>
      <c r="C63" s="1"/>
      <c r="D63" s="1"/>
      <c r="E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1"/>
      <c r="E66" s="1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1"/>
      <c r="D67" s="1"/>
      <c r="E67" s="11"/>
    </row>
    <row r="68" spans="1:23">
      <c r="A68" s="1"/>
      <c r="B68" s="1"/>
      <c r="C68" s="1"/>
      <c r="D68" s="1"/>
      <c r="E68" s="11"/>
    </row>
    <row r="69" spans="1:23">
      <c r="A69" s="1"/>
      <c r="B69" s="1"/>
      <c r="C69" s="1"/>
      <c r="D69" s="1"/>
      <c r="E69" s="11"/>
    </row>
    <row r="70" spans="1:23">
      <c r="A70" s="1"/>
      <c r="B70" s="1"/>
      <c r="C70" s="1"/>
      <c r="D70" s="1"/>
      <c r="E70" s="11"/>
    </row>
    <row r="71" spans="1:23">
      <c r="A71" s="1"/>
      <c r="B71" s="1"/>
      <c r="C71" s="1"/>
      <c r="D71" s="1"/>
      <c r="E71" s="11"/>
    </row>
    <row r="72" spans="1:23">
      <c r="A72" s="1"/>
      <c r="B72" s="1"/>
      <c r="C72" s="1"/>
      <c r="D72" s="1"/>
      <c r="E72" s="11"/>
    </row>
    <row r="73" spans="1:23">
      <c r="A73" s="1"/>
      <c r="B73" s="1"/>
      <c r="C73" s="1"/>
      <c r="D73" s="1"/>
      <c r="E73" s="11"/>
    </row>
    <row r="74" spans="1:23">
      <c r="A74" s="1"/>
      <c r="B74" s="1"/>
      <c r="C74" s="1"/>
      <c r="D74" s="1"/>
      <c r="E74" s="11"/>
    </row>
    <row r="75" spans="1:23">
      <c r="A75" s="1"/>
      <c r="B75" s="1"/>
      <c r="C75" s="1"/>
      <c r="D75" s="1"/>
      <c r="E75" s="11"/>
    </row>
    <row r="76" spans="1:23">
      <c r="A76" s="1"/>
      <c r="B76" s="1"/>
      <c r="C76" s="1"/>
      <c r="D76" s="1"/>
      <c r="E76" s="11"/>
    </row>
    <row r="77" spans="1:23">
      <c r="A77" s="1"/>
      <c r="B77" s="1"/>
      <c r="C77" s="1"/>
      <c r="D77" s="1"/>
      <c r="E77" s="11"/>
    </row>
    <row r="78" spans="1:23">
      <c r="A78" s="1"/>
      <c r="B78" s="1"/>
      <c r="C78" s="1"/>
      <c r="D78" s="1"/>
      <c r="E78" s="11"/>
    </row>
    <row r="79" spans="1:23">
      <c r="A79" s="1"/>
      <c r="B79" s="1"/>
      <c r="C79" s="1"/>
      <c r="D79" s="1"/>
      <c r="E79" s="11"/>
    </row>
    <row r="80" spans="1:23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">
    <mergeCell ref="C47:G47"/>
    <mergeCell ref="A23:A24"/>
  </mergeCells>
  <conditionalFormatting sqref="F32:H32 B2:H2 F4:H4 D4 D26:F26 D5:H15 D29:H29 D31:H31 G30:H30 D30:E30 D3:H3 D17:H25 F16:H16 D16 B3:C32 D28:F28 E27:F27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8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2"/>
  <sheetViews>
    <sheetView topLeftCell="A88" zoomScale="70" zoomScaleNormal="70" zoomScaleSheetLayoutView="70" zoomScalePageLayoutView="70" workbookViewId="0">
      <selection activeCell="B69" sqref="B6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082" t="s">
        <v>377</v>
      </c>
      <c r="B1" s="1082"/>
      <c r="C1" s="1082"/>
      <c r="D1" s="1082"/>
      <c r="E1" s="1082"/>
      <c r="F1" s="1082"/>
      <c r="G1" s="1082"/>
      <c r="H1" s="1082"/>
      <c r="I1" s="1082"/>
      <c r="J1" s="1082"/>
      <c r="K1" s="1082"/>
      <c r="L1" s="1082"/>
      <c r="M1" s="1082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083"/>
      <c r="B2" s="1083"/>
      <c r="C2" s="1083"/>
      <c r="D2" s="1083"/>
      <c r="E2" s="1083"/>
      <c r="F2" s="1083"/>
      <c r="G2" s="1083"/>
      <c r="H2" s="1083"/>
      <c r="I2" s="1083"/>
      <c r="J2" s="1083"/>
      <c r="K2" s="1083"/>
      <c r="L2" s="1083"/>
      <c r="M2" s="1083"/>
      <c r="N2" s="803"/>
      <c r="O2" s="804"/>
      <c r="P2" s="804"/>
      <c r="Q2" s="804"/>
      <c r="R2" s="366"/>
      <c r="S2" s="804"/>
      <c r="T2" s="804"/>
      <c r="U2" s="80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91" t="s">
        <v>346</v>
      </c>
      <c r="B3" s="1037"/>
      <c r="C3" s="1037"/>
      <c r="D3" s="1037"/>
      <c r="E3" s="1037"/>
      <c r="F3" s="1037"/>
      <c r="G3" s="1038"/>
      <c r="H3" s="1121" t="s">
        <v>345</v>
      </c>
      <c r="I3" s="1122"/>
      <c r="J3" s="1122"/>
      <c r="K3" s="1122"/>
      <c r="L3" s="1122"/>
      <c r="M3" s="1123"/>
      <c r="N3" s="803"/>
      <c r="O3" s="366"/>
      <c r="P3" s="366"/>
      <c r="Q3" s="366"/>
      <c r="R3" s="366"/>
      <c r="S3" s="366"/>
      <c r="T3" s="366"/>
      <c r="U3" s="366"/>
      <c r="V3" s="804"/>
      <c r="W3" s="804"/>
      <c r="X3" s="366"/>
      <c r="Y3" s="804"/>
      <c r="Z3" s="668"/>
      <c r="AA3" s="366"/>
      <c r="AB3" s="366"/>
      <c r="AC3" s="366"/>
      <c r="AD3" s="804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97" t="s">
        <v>34</v>
      </c>
      <c r="C4" s="36" t="s">
        <v>35</v>
      </c>
      <c r="D4" s="36" t="s">
        <v>38</v>
      </c>
      <c r="E4" s="36" t="s">
        <v>42</v>
      </c>
      <c r="F4" s="797" t="s">
        <v>36</v>
      </c>
      <c r="G4" s="100" t="s">
        <v>173</v>
      </c>
      <c r="H4" s="715" t="s">
        <v>2</v>
      </c>
      <c r="I4" s="1105" t="s">
        <v>34</v>
      </c>
      <c r="J4" s="1105"/>
      <c r="K4" s="806" t="s">
        <v>35</v>
      </c>
      <c r="L4" s="1124" t="s">
        <v>173</v>
      </c>
      <c r="M4" s="1125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44025</v>
      </c>
      <c r="B5" s="161" t="s">
        <v>363</v>
      </c>
      <c r="C5" s="275">
        <v>276.57</v>
      </c>
      <c r="D5" s="275">
        <v>276.57</v>
      </c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>оплачено</v>
      </c>
      <c r="G5" s="161"/>
      <c r="H5" s="717"/>
      <c r="I5" s="1115" t="s">
        <v>98</v>
      </c>
      <c r="J5" s="1116"/>
      <c r="K5" s="481">
        <f>183.15+216</f>
        <v>399.15</v>
      </c>
      <c r="L5" s="1117"/>
      <c r="M5" s="1118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44034</v>
      </c>
      <c r="B6" s="920" t="s">
        <v>391</v>
      </c>
      <c r="C6" s="275">
        <v>87.84</v>
      </c>
      <c r="D6" s="275">
        <v>87.84</v>
      </c>
      <c r="E6" s="576" t="str">
        <f t="shared" ref="E6:E19" si="2">IF(C6-D6=0,"",C6-D6)</f>
        <v/>
      </c>
      <c r="F6" s="162" t="str">
        <f t="shared" ref="F6:F19" si="3">IF(C6=0,"",IF(C6-D6=0,"оплачено","ОЖИДАЕТСЯ оплата"))</f>
        <v>оплачено</v>
      </c>
      <c r="G6" s="161"/>
      <c r="H6" s="717"/>
      <c r="I6" s="1115" t="s">
        <v>98</v>
      </c>
      <c r="J6" s="1116"/>
      <c r="K6" s="481">
        <v>322</v>
      </c>
      <c r="L6" s="1117"/>
      <c r="M6" s="1118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62"/>
      <c r="AG6" s="1062"/>
      <c r="AH6" s="366"/>
      <c r="AI6" s="366"/>
    </row>
    <row r="7" spans="1:35" s="86" customFormat="1">
      <c r="A7" s="325" t="s">
        <v>219</v>
      </c>
      <c r="B7" s="161" t="s">
        <v>257</v>
      </c>
      <c r="C7" s="275">
        <v>286.57</v>
      </c>
      <c r="D7" s="275">
        <v>286.57</v>
      </c>
      <c r="E7" s="576" t="str">
        <f t="shared" si="2"/>
        <v/>
      </c>
      <c r="F7" s="162" t="str">
        <f t="shared" si="3"/>
        <v>оплачено</v>
      </c>
      <c r="G7" s="161" t="s">
        <v>392</v>
      </c>
      <c r="H7" s="717"/>
      <c r="I7" s="1115" t="s">
        <v>389</v>
      </c>
      <c r="J7" s="1116"/>
      <c r="K7" s="481">
        <v>177</v>
      </c>
      <c r="L7" s="1119"/>
      <c r="M7" s="1120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62"/>
      <c r="AG7" s="1062"/>
      <c r="AH7" s="366"/>
      <c r="AI7" s="366"/>
    </row>
    <row r="8" spans="1:35" s="86" customFormat="1">
      <c r="A8" s="325" t="s">
        <v>219</v>
      </c>
      <c r="B8" s="161" t="s">
        <v>205</v>
      </c>
      <c r="C8" s="275">
        <v>19.48</v>
      </c>
      <c r="D8" s="275">
        <v>19.48</v>
      </c>
      <c r="E8" s="576" t="str">
        <f t="shared" si="2"/>
        <v/>
      </c>
      <c r="F8" s="162" t="str">
        <f t="shared" si="3"/>
        <v>оплачено</v>
      </c>
      <c r="G8" s="161" t="s">
        <v>392</v>
      </c>
      <c r="H8" s="717"/>
      <c r="I8" s="1115" t="s">
        <v>390</v>
      </c>
      <c r="J8" s="1116"/>
      <c r="K8" s="481">
        <v>132</v>
      </c>
      <c r="L8" s="1119"/>
      <c r="M8" s="1120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44029</v>
      </c>
      <c r="B9" s="161" t="s">
        <v>395</v>
      </c>
      <c r="C9" s="275">
        <v>246.75</v>
      </c>
      <c r="D9" s="275">
        <v>246.75</v>
      </c>
      <c r="E9" s="576" t="str">
        <f t="shared" si="2"/>
        <v/>
      </c>
      <c r="F9" s="162" t="str">
        <f t="shared" si="3"/>
        <v>оплачено</v>
      </c>
      <c r="G9" s="161"/>
      <c r="H9" s="717"/>
      <c r="I9" s="1115"/>
      <c r="J9" s="1116"/>
      <c r="K9" s="481"/>
      <c r="L9" s="1119"/>
      <c r="M9" s="1120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2"/>
        <v/>
      </c>
      <c r="F10" s="162" t="str">
        <f t="shared" si="3"/>
        <v/>
      </c>
      <c r="G10" s="161"/>
      <c r="H10" s="717"/>
      <c r="I10" s="1115"/>
      <c r="J10" s="1116"/>
      <c r="K10" s="481"/>
      <c r="L10" s="1119"/>
      <c r="M10" s="1120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2"/>
        <v/>
      </c>
      <c r="F11" s="162" t="str">
        <f t="shared" si="3"/>
        <v/>
      </c>
      <c r="G11" s="161"/>
      <c r="H11" s="717"/>
      <c r="I11" s="1115"/>
      <c r="J11" s="1116"/>
      <c r="K11" s="481"/>
      <c r="L11" s="1054"/>
      <c r="M11" s="1112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2"/>
        <v/>
      </c>
      <c r="F12" s="162" t="str">
        <f t="shared" si="3"/>
        <v/>
      </c>
      <c r="G12" s="161"/>
      <c r="H12" s="717"/>
      <c r="I12" s="1115"/>
      <c r="J12" s="1116"/>
      <c r="K12" s="481"/>
      <c r="L12" s="1054"/>
      <c r="M12" s="1112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2"/>
        <v/>
      </c>
      <c r="F13" s="162" t="str">
        <f t="shared" si="3"/>
        <v/>
      </c>
      <c r="G13" s="161"/>
      <c r="H13" s="717"/>
      <c r="I13" s="1115"/>
      <c r="J13" s="1116"/>
      <c r="K13" s="481"/>
      <c r="L13" s="1054"/>
      <c r="M13" s="1112"/>
      <c r="N13" s="805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2"/>
        <v/>
      </c>
      <c r="F14" s="162" t="str">
        <f t="shared" si="3"/>
        <v/>
      </c>
      <c r="G14" s="162"/>
      <c r="H14" s="717"/>
      <c r="I14" s="1115"/>
      <c r="J14" s="1116"/>
      <c r="K14" s="481"/>
      <c r="L14" s="1054"/>
      <c r="M14" s="1112"/>
      <c r="N14" s="805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2"/>
        <v/>
      </c>
      <c r="F15" s="162" t="str">
        <f t="shared" si="3"/>
        <v/>
      </c>
      <c r="G15" s="162"/>
      <c r="H15" s="717"/>
      <c r="I15" s="1115"/>
      <c r="J15" s="1116"/>
      <c r="K15" s="481"/>
      <c r="L15" s="1054"/>
      <c r="M15" s="1112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2"/>
        <v/>
      </c>
      <c r="F16" s="162" t="str">
        <f t="shared" si="3"/>
        <v/>
      </c>
      <c r="G16" s="162"/>
      <c r="H16" s="717"/>
      <c r="I16" s="1115"/>
      <c r="J16" s="1116"/>
      <c r="K16" s="481"/>
      <c r="L16" s="1054"/>
      <c r="M16" s="1112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2"/>
        <v/>
      </c>
      <c r="F17" s="162" t="str">
        <f t="shared" si="3"/>
        <v/>
      </c>
      <c r="G17" s="162"/>
      <c r="H17" s="717"/>
      <c r="I17" s="1115"/>
      <c r="J17" s="1116"/>
      <c r="K17" s="481"/>
      <c r="L17" s="1054"/>
      <c r="M17" s="1112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2"/>
        <v/>
      </c>
      <c r="F18" s="162" t="str">
        <f t="shared" si="3"/>
        <v/>
      </c>
      <c r="G18" s="162"/>
      <c r="H18" s="717"/>
      <c r="I18" s="1115"/>
      <c r="J18" s="1116"/>
      <c r="K18" s="481"/>
      <c r="L18" s="1054"/>
      <c r="M18" s="1112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2"/>
        <v/>
      </c>
      <c r="F19" s="162" t="str">
        <f t="shared" si="3"/>
        <v/>
      </c>
      <c r="G19" s="162"/>
      <c r="H19" s="717"/>
      <c r="I19" s="1115"/>
      <c r="J19" s="1116"/>
      <c r="K19" s="481"/>
      <c r="L19" s="1054"/>
      <c r="M19" s="1112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092" t="s">
        <v>259</v>
      </c>
      <c r="B20" s="1093"/>
      <c r="C20" s="358">
        <f>SUM(C5:C19)</f>
        <v>917.21</v>
      </c>
      <c r="D20" s="358"/>
      <c r="E20" s="160">
        <f>SUM(E5:E19)</f>
        <v>0</v>
      </c>
      <c r="F20" s="162"/>
      <c r="G20" s="451"/>
      <c r="H20" s="1109" t="s">
        <v>259</v>
      </c>
      <c r="I20" s="1110"/>
      <c r="J20" s="1111"/>
      <c r="K20" s="716">
        <f>SUM(K5:K19)</f>
        <v>1030.1500000000001</v>
      </c>
      <c r="L20" s="1113"/>
      <c r="M20" s="1114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39" t="s">
        <v>16</v>
      </c>
      <c r="I21" s="1041" t="s">
        <v>17</v>
      </c>
      <c r="J21" s="1041" t="s">
        <v>21</v>
      </c>
      <c r="K21" s="1041"/>
      <c r="L21" s="1043" t="s">
        <v>93</v>
      </c>
      <c r="M21" s="1045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040"/>
      <c r="I22" s="1042"/>
      <c r="J22" s="802" t="s">
        <v>21</v>
      </c>
      <c r="K22" s="802" t="s">
        <v>25</v>
      </c>
      <c r="L22" s="1044"/>
      <c r="M22" s="1046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4">M23-I24-J24-K24+L24</f>
        <v>112611.87000000001</v>
      </c>
      <c r="N24" s="1"/>
      <c r="O24" s="448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4"/>
        <v>98984.920000000013</v>
      </c>
      <c r="N25" s="1"/>
      <c r="O25" s="189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4"/>
        <v>91825.650000000009</v>
      </c>
      <c r="N26" s="1"/>
      <c r="O26" s="449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4"/>
        <v>89703.38</v>
      </c>
      <c r="N27" s="1"/>
      <c r="O27" s="449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4"/>
        <v>94325.650000000009</v>
      </c>
      <c r="N28" s="1"/>
      <c r="O28" s="127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4"/>
        <v>86003.19</v>
      </c>
      <c r="N29" s="1"/>
      <c r="O29" s="127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127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19</v>
      </c>
      <c r="I33" s="661">
        <v>30633.54</v>
      </c>
      <c r="J33" s="648">
        <f>683.5+334+464+170+683+481.8+6+10.7+13.8+41+118+117+465+44+368+1461+19</f>
        <v>5479.8</v>
      </c>
      <c r="K33" s="649">
        <f>689.7-8.2+443.53+123.5</f>
        <v>1248.53</v>
      </c>
      <c r="L33" s="649">
        <f>3415+3104+1150+110+686+349+240+4147+832+143+14+35+229.3+405+795+50+78+216+90+880+333+402+165+132+723.5+865+389+1295+4036+112+5+243+1450+2280+195+374.5+2153+1258+713+1432.5+210+160+1560+35+657+272</f>
        <v>38418.800000000003</v>
      </c>
      <c r="M33" s="104">
        <f>M32-I33-J33-K33+L33</f>
        <v>69125.030000000013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1023" t="s">
        <v>36</v>
      </c>
      <c r="I34" s="1025" t="s">
        <v>178</v>
      </c>
      <c r="J34" s="1026"/>
      <c r="K34" s="1027"/>
      <c r="L34" s="1031" t="s">
        <v>159</v>
      </c>
      <c r="M34" s="1031"/>
      <c r="N34" s="786" t="s">
        <v>370</v>
      </c>
      <c r="O34" s="127"/>
      <c r="P34" s="84"/>
      <c r="Q34" s="145"/>
      <c r="R34" s="145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1024"/>
      <c r="I35" s="1028"/>
      <c r="J35" s="1029"/>
      <c r="K35" s="1030"/>
      <c r="L35" s="1033"/>
      <c r="M35" s="1033"/>
      <c r="N35" s="787" t="s">
        <v>189</v>
      </c>
      <c r="O35" s="127"/>
      <c r="P35" s="84"/>
      <c r="Q35" s="145"/>
      <c r="R35" s="84"/>
      <c r="S35" s="86"/>
      <c r="T35" s="86"/>
      <c r="U35" s="86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1102" t="s">
        <v>47</v>
      </c>
      <c r="J36" s="1102"/>
      <c r="K36" s="917">
        <v>328.13</v>
      </c>
      <c r="L36" s="282">
        <v>44027</v>
      </c>
      <c r="M36" s="1" t="s">
        <v>41</v>
      </c>
      <c r="N36" s="788">
        <v>132</v>
      </c>
      <c r="O36" s="127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1100" t="s">
        <v>51</v>
      </c>
      <c r="J37" s="1100"/>
      <c r="K37" s="916">
        <v>71.83</v>
      </c>
      <c r="L37" s="282">
        <v>44027</v>
      </c>
      <c r="M37" s="1" t="s">
        <v>41</v>
      </c>
      <c r="N37" s="789">
        <v>40</v>
      </c>
      <c r="O37" s="127"/>
      <c r="P37" s="84"/>
      <c r="Q37" s="145"/>
      <c r="R37" s="273"/>
      <c r="S37" s="366"/>
      <c r="T37" s="86"/>
      <c r="U37" s="86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1100" t="s">
        <v>52</v>
      </c>
      <c r="J38" s="1100"/>
      <c r="K38" s="916">
        <v>5.63</v>
      </c>
      <c r="L38" s="282">
        <v>44027</v>
      </c>
      <c r="M38" s="1" t="s">
        <v>41</v>
      </c>
      <c r="N38" s="789">
        <v>3</v>
      </c>
      <c r="O38" s="127"/>
      <c r="P38" s="84"/>
      <c r="Q38" s="145"/>
      <c r="R38" s="273"/>
      <c r="S38" s="366"/>
      <c r="T38" s="294"/>
      <c r="U38" s="8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782" t="s">
        <v>364</v>
      </c>
      <c r="I39" s="1100" t="s">
        <v>49</v>
      </c>
      <c r="J39" s="1100"/>
      <c r="K39" s="916">
        <v>314</v>
      </c>
      <c r="L39" s="783" t="s">
        <v>367</v>
      </c>
      <c r="M39" s="1" t="s">
        <v>380</v>
      </c>
      <c r="N39" s="788">
        <v>200</v>
      </c>
      <c r="O39" s="127"/>
      <c r="P39" s="760"/>
      <c r="Q39" s="366"/>
      <c r="R39" s="804"/>
      <c r="S39" s="366"/>
      <c r="T39" s="294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101" t="s">
        <v>59</v>
      </c>
      <c r="J40" s="1101"/>
      <c r="K40" s="918">
        <v>189.83</v>
      </c>
      <c r="L40" s="302" t="s">
        <v>177</v>
      </c>
      <c r="M40" s="1" t="s">
        <v>41</v>
      </c>
      <c r="N40" s="790">
        <v>102.73</v>
      </c>
      <c r="O40" s="127"/>
      <c r="P40" s="685"/>
      <c r="Q40" s="366"/>
      <c r="R40" s="804"/>
      <c r="S40" s="366"/>
      <c r="T40" s="294"/>
      <c r="U40" s="86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 t="s">
        <v>250</v>
      </c>
      <c r="I41" s="1089" t="s">
        <v>68</v>
      </c>
      <c r="J41" s="1090"/>
      <c r="K41" s="916">
        <v>247.69</v>
      </c>
      <c r="L41" s="282">
        <v>44032</v>
      </c>
      <c r="M41" s="1" t="s">
        <v>41</v>
      </c>
      <c r="N41" s="790">
        <f>K41/2</f>
        <v>123.845</v>
      </c>
      <c r="O41" s="127"/>
      <c r="P41" s="682"/>
      <c r="Q41" s="804"/>
      <c r="R41" s="804"/>
      <c r="S41" s="366"/>
      <c r="T41" s="366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808" t="s">
        <v>174</v>
      </c>
      <c r="J42" s="809"/>
      <c r="K42" s="476">
        <f>337.71+180.88</f>
        <v>518.58999999999992</v>
      </c>
      <c r="L42" s="282">
        <v>44027</v>
      </c>
      <c r="M42" s="1" t="s">
        <v>41</v>
      </c>
      <c r="N42" s="791">
        <f>K42</f>
        <v>518.58999999999992</v>
      </c>
      <c r="O42" s="12"/>
      <c r="P42" s="682"/>
      <c r="Q42" s="804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726" t="s">
        <v>366</v>
      </c>
      <c r="I43" s="808" t="s">
        <v>176</v>
      </c>
      <c r="J43" s="809"/>
      <c r="K43" s="916" t="s">
        <v>385</v>
      </c>
      <c r="L43" s="282">
        <v>44032</v>
      </c>
      <c r="M43" s="1" t="s">
        <v>41</v>
      </c>
      <c r="N43" s="789" t="str">
        <f>K43</f>
        <v>НЕТ</v>
      </c>
      <c r="O43" s="127"/>
      <c r="P43" s="449"/>
      <c r="Q43" s="804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089" t="s">
        <v>81</v>
      </c>
      <c r="J44" s="1090"/>
      <c r="K44" s="916">
        <v>1451.88</v>
      </c>
      <c r="L44" s="282">
        <v>44027</v>
      </c>
      <c r="M44" s="1" t="s">
        <v>41</v>
      </c>
      <c r="N44" s="789">
        <f>K44/2</f>
        <v>725.94</v>
      </c>
      <c r="O44" s="145"/>
      <c r="P44" s="84"/>
      <c r="Q44" s="804"/>
      <c r="R44" s="804"/>
      <c r="S44" s="366"/>
      <c r="T44" s="294"/>
      <c r="U44" s="366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089" t="s">
        <v>181</v>
      </c>
      <c r="J45" s="1090"/>
      <c r="K45" s="916">
        <v>10</v>
      </c>
      <c r="L45" s="282">
        <v>44027</v>
      </c>
      <c r="M45" s="1" t="s">
        <v>41</v>
      </c>
      <c r="N45" s="791">
        <f>K45</f>
        <v>10</v>
      </c>
      <c r="O45" s="127"/>
      <c r="P45" s="145"/>
      <c r="Q45" s="804"/>
      <c r="R45" s="366"/>
      <c r="S45" s="366"/>
      <c r="T45" s="294"/>
      <c r="U45" s="294"/>
      <c r="V45" s="366"/>
      <c r="W45" s="294"/>
      <c r="X45" s="294"/>
      <c r="Y45" s="366"/>
    </row>
    <row r="46" spans="1:26">
      <c r="A46" s="340" t="s">
        <v>343</v>
      </c>
      <c r="B46" s="199"/>
      <c r="C46" s="366"/>
      <c r="D46" s="273"/>
      <c r="E46" s="232"/>
      <c r="F46" s="366"/>
      <c r="G46" s="366"/>
      <c r="H46" s="529" t="s">
        <v>250</v>
      </c>
      <c r="I46" s="1017" t="s">
        <v>61</v>
      </c>
      <c r="J46" s="1017"/>
      <c r="K46" s="93">
        <v>1275.26</v>
      </c>
      <c r="L46" s="282">
        <v>44032</v>
      </c>
      <c r="M46" s="1" t="s">
        <v>41</v>
      </c>
      <c r="N46" s="789"/>
      <c r="P46" s="449"/>
      <c r="Q46" s="365"/>
      <c r="R46" s="365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017" t="s">
        <v>298</v>
      </c>
      <c r="J47" s="1017"/>
      <c r="K47" s="93">
        <v>73</v>
      </c>
      <c r="L47" s="282">
        <v>44032</v>
      </c>
      <c r="M47" s="1" t="s">
        <v>41</v>
      </c>
      <c r="N47" s="788">
        <v>40</v>
      </c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017" t="s">
        <v>299</v>
      </c>
      <c r="J48" s="1017"/>
      <c r="K48" s="93">
        <v>50</v>
      </c>
      <c r="L48" s="282">
        <v>44027</v>
      </c>
      <c r="M48" s="1" t="s">
        <v>41</v>
      </c>
      <c r="N48" s="789">
        <v>50</v>
      </c>
      <c r="P48" s="449"/>
      <c r="Q48" s="273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017" t="s">
        <v>300</v>
      </c>
      <c r="J49" s="1017"/>
      <c r="K49" s="93">
        <v>150</v>
      </c>
      <c r="L49" s="282">
        <v>44042</v>
      </c>
      <c r="M49" s="1" t="s">
        <v>41</v>
      </c>
      <c r="N49" s="789">
        <v>150</v>
      </c>
      <c r="O49" s="12"/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017" t="s">
        <v>325</v>
      </c>
      <c r="J50" s="1017"/>
      <c r="K50" s="93">
        <v>18</v>
      </c>
      <c r="L50" s="282">
        <v>44027</v>
      </c>
      <c r="M50" s="1" t="s">
        <v>41</v>
      </c>
      <c r="N50" s="790">
        <v>9</v>
      </c>
      <c r="O50" s="150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021" t="s">
        <v>374</v>
      </c>
      <c r="J51" s="1022"/>
      <c r="K51" s="93">
        <v>1000</v>
      </c>
      <c r="L51" s="282">
        <v>44042</v>
      </c>
      <c r="M51" s="1" t="s">
        <v>104</v>
      </c>
      <c r="N51" s="810">
        <f>K51</f>
        <v>1000</v>
      </c>
      <c r="O51" s="150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28" t="s">
        <v>179</v>
      </c>
      <c r="I52" s="1108"/>
      <c r="J52" s="361">
        <f>SUM(K36:K51)</f>
        <v>5703.84</v>
      </c>
      <c r="K52" s="1018" t="s">
        <v>180</v>
      </c>
      <c r="L52" s="1018"/>
      <c r="M52" s="785">
        <v>0</v>
      </c>
      <c r="N52" s="792">
        <f>SUM(N36:N51)</f>
        <v>3105.105</v>
      </c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081"/>
      <c r="I53" s="1081"/>
      <c r="J53" s="1081"/>
      <c r="K53" s="1081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082" t="s">
        <v>378</v>
      </c>
      <c r="B54" s="1082"/>
      <c r="C54" s="1082"/>
      <c r="D54" s="1082"/>
      <c r="E54" s="1082"/>
      <c r="F54" s="1082"/>
      <c r="G54" s="1082"/>
      <c r="H54" s="1082"/>
      <c r="I54" s="1082"/>
      <c r="J54" s="1082"/>
      <c r="K54" s="1082"/>
      <c r="L54" s="1082"/>
      <c r="M54" s="1082"/>
      <c r="N54" s="1"/>
      <c r="O54" s="150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083"/>
      <c r="B55" s="1083"/>
      <c r="C55" s="1083"/>
      <c r="D55" s="1083"/>
      <c r="E55" s="1083"/>
      <c r="F55" s="1083"/>
      <c r="G55" s="1083"/>
      <c r="H55" s="1083"/>
      <c r="I55" s="1083"/>
      <c r="J55" s="1083"/>
      <c r="K55" s="1083"/>
      <c r="L55" s="1083"/>
      <c r="M55" s="1083"/>
      <c r="N55" s="1"/>
      <c r="P55" s="449"/>
      <c r="Q55" s="365"/>
      <c r="R55" s="365"/>
      <c r="S55" s="804"/>
      <c r="T55" s="366"/>
      <c r="U55" s="366"/>
      <c r="V55" s="366"/>
      <c r="W55" s="366"/>
      <c r="X55" s="366"/>
    </row>
    <row r="56" spans="1:25" ht="15.75" thickTop="1">
      <c r="A56" s="1091" t="s">
        <v>346</v>
      </c>
      <c r="B56" s="1037"/>
      <c r="C56" s="1037"/>
      <c r="D56" s="1037"/>
      <c r="E56" s="1037"/>
      <c r="F56" s="1037"/>
      <c r="G56" s="1038"/>
      <c r="H56" s="1121" t="s">
        <v>345</v>
      </c>
      <c r="I56" s="1122"/>
      <c r="J56" s="1122"/>
      <c r="K56" s="1122"/>
      <c r="L56" s="1122"/>
      <c r="M56" s="1123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797" t="s">
        <v>34</v>
      </c>
      <c r="C57" s="36" t="s">
        <v>35</v>
      </c>
      <c r="D57" s="36" t="s">
        <v>38</v>
      </c>
      <c r="E57" s="36" t="s">
        <v>42</v>
      </c>
      <c r="F57" s="797" t="s">
        <v>36</v>
      </c>
      <c r="G57" s="100" t="s">
        <v>173</v>
      </c>
      <c r="H57" s="715" t="s">
        <v>2</v>
      </c>
      <c r="I57" s="1105" t="s">
        <v>34</v>
      </c>
      <c r="J57" s="1105"/>
      <c r="K57" s="806" t="s">
        <v>35</v>
      </c>
      <c r="L57" s="1124" t="s">
        <v>173</v>
      </c>
      <c r="M57" s="1125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44013</v>
      </c>
      <c r="B58" s="161" t="s">
        <v>382</v>
      </c>
      <c r="C58" s="275">
        <v>123.85</v>
      </c>
      <c r="D58" s="275">
        <v>123.85</v>
      </c>
      <c r="E58" s="576" t="str">
        <f t="shared" ref="E58:E73" si="5">IF(C58-D58=0,"",C58-D58)</f>
        <v/>
      </c>
      <c r="F58" s="162" t="str">
        <f t="shared" ref="F58:F73" si="6">IF(C58=0,"",IF(C58-D58=0,"оплачено","ОЖИДАЕТСЯ оплата"))</f>
        <v>оплачено</v>
      </c>
      <c r="G58" s="162"/>
      <c r="H58" s="325">
        <v>44013</v>
      </c>
      <c r="I58" s="1115" t="s">
        <v>98</v>
      </c>
      <c r="J58" s="1116"/>
      <c r="K58" s="481">
        <v>327.64999999999998</v>
      </c>
      <c r="L58" s="1117"/>
      <c r="M58" s="1118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44013</v>
      </c>
      <c r="B59" s="161" t="s">
        <v>212</v>
      </c>
      <c r="C59" s="275">
        <v>537.36</v>
      </c>
      <c r="D59" s="275">
        <v>537.36</v>
      </c>
      <c r="E59" s="576" t="str">
        <f t="shared" si="5"/>
        <v/>
      </c>
      <c r="F59" s="162" t="str">
        <f t="shared" si="6"/>
        <v>оплачено</v>
      </c>
      <c r="G59" s="162"/>
      <c r="H59" s="717" t="str">
        <f t="shared" ref="H59:I73" si="7">IF(S5="","",S5)</f>
        <v/>
      </c>
      <c r="I59" s="1115" t="s">
        <v>383</v>
      </c>
      <c r="J59" s="1116"/>
      <c r="K59" s="481">
        <f>513.5/2</f>
        <v>256.75</v>
      </c>
      <c r="L59" s="1117"/>
      <c r="M59" s="1118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44026</v>
      </c>
      <c r="B60" s="161" t="s">
        <v>257</v>
      </c>
      <c r="C60" s="275">
        <v>86.4</v>
      </c>
      <c r="D60" s="275">
        <v>86.4</v>
      </c>
      <c r="E60" s="576" t="str">
        <f t="shared" si="5"/>
        <v/>
      </c>
      <c r="F60" s="162" t="str">
        <f t="shared" si="6"/>
        <v>оплачено</v>
      </c>
      <c r="G60" s="162"/>
      <c r="H60" s="717" t="str">
        <f t="shared" si="7"/>
        <v/>
      </c>
      <c r="I60" s="1115" t="s">
        <v>349</v>
      </c>
      <c r="J60" s="1116"/>
      <c r="K60" s="481">
        <f>683.5/2</f>
        <v>341.75</v>
      </c>
      <c r="L60" s="1119"/>
      <c r="M60" s="1120"/>
      <c r="N60" s="1"/>
      <c r="P60" s="449"/>
      <c r="T60" s="366"/>
      <c r="U60" s="366"/>
    </row>
    <row r="61" spans="1:25">
      <c r="A61" s="325">
        <v>44026</v>
      </c>
      <c r="B61" s="161" t="s">
        <v>205</v>
      </c>
      <c r="C61" s="275">
        <v>14.4</v>
      </c>
      <c r="D61" s="275">
        <v>14.4</v>
      </c>
      <c r="E61" s="576" t="str">
        <f t="shared" si="5"/>
        <v/>
      </c>
      <c r="F61" s="162" t="str">
        <f t="shared" si="6"/>
        <v>оплачено</v>
      </c>
      <c r="G61" s="162"/>
      <c r="H61" s="717" t="str">
        <f t="shared" si="7"/>
        <v/>
      </c>
      <c r="I61" s="1115" t="s">
        <v>27</v>
      </c>
      <c r="J61" s="1116"/>
      <c r="K61" s="481">
        <f>535/2</f>
        <v>267.5</v>
      </c>
      <c r="L61" s="1119"/>
      <c r="M61" s="1120"/>
      <c r="N61" s="1"/>
      <c r="P61" s="449"/>
      <c r="U61" s="366"/>
    </row>
    <row r="62" spans="1:25">
      <c r="A62" s="325">
        <v>44026</v>
      </c>
      <c r="B62" s="161" t="s">
        <v>330</v>
      </c>
      <c r="C62" s="921">
        <v>235.36</v>
      </c>
      <c r="D62" s="921">
        <v>235.36</v>
      </c>
      <c r="E62" s="576" t="str">
        <f t="shared" si="5"/>
        <v/>
      </c>
      <c r="F62" s="162" t="str">
        <f t="shared" si="6"/>
        <v>оплачено</v>
      </c>
      <c r="G62" s="162"/>
      <c r="H62" s="717" t="str">
        <f t="shared" si="7"/>
        <v/>
      </c>
      <c r="I62" s="1115" t="s">
        <v>384</v>
      </c>
      <c r="J62" s="1116"/>
      <c r="K62" s="481">
        <f>2085/2</f>
        <v>1042.5</v>
      </c>
      <c r="L62" s="1119"/>
      <c r="M62" s="1120"/>
      <c r="N62" s="1"/>
      <c r="P62" s="571"/>
      <c r="U62" s="366"/>
    </row>
    <row r="63" spans="1:25">
      <c r="A63" s="325">
        <v>44034</v>
      </c>
      <c r="B63" s="943" t="s">
        <v>391</v>
      </c>
      <c r="C63" s="275">
        <v>87.84</v>
      </c>
      <c r="D63" s="275">
        <v>87.84</v>
      </c>
      <c r="E63" s="576" t="str">
        <f t="shared" si="5"/>
        <v/>
      </c>
      <c r="F63" s="162" t="str">
        <f t="shared" si="6"/>
        <v>оплачено</v>
      </c>
      <c r="G63" s="162"/>
      <c r="H63" s="717" t="str">
        <f t="shared" si="7"/>
        <v/>
      </c>
      <c r="I63" s="1115" t="s">
        <v>286</v>
      </c>
      <c r="J63" s="1116"/>
      <c r="K63" s="481">
        <f>208/2</f>
        <v>104</v>
      </c>
      <c r="L63" s="1119"/>
      <c r="M63" s="1120"/>
      <c r="N63" s="1"/>
      <c r="P63" s="86"/>
      <c r="U63" s="366"/>
    </row>
    <row r="64" spans="1:25" ht="14.45" customHeight="1">
      <c r="A64" s="325">
        <v>44033</v>
      </c>
      <c r="B64" s="161" t="s">
        <v>336</v>
      </c>
      <c r="C64" s="731">
        <v>183.75</v>
      </c>
      <c r="D64" s="731">
        <v>183.75</v>
      </c>
      <c r="E64" s="576" t="str">
        <f t="shared" si="5"/>
        <v/>
      </c>
      <c r="F64" s="162" t="str">
        <f t="shared" si="6"/>
        <v>оплачено</v>
      </c>
      <c r="G64" s="162"/>
      <c r="H64" s="717" t="str">
        <f t="shared" si="7"/>
        <v/>
      </c>
      <c r="I64" s="1115" t="s">
        <v>98</v>
      </c>
      <c r="J64" s="1116"/>
      <c r="K64" s="481">
        <f>281.71+216</f>
        <v>497.71</v>
      </c>
      <c r="L64" s="1054"/>
      <c r="M64" s="1112"/>
      <c r="N64" s="1"/>
      <c r="P64" s="86"/>
    </row>
    <row r="65" spans="1:21" ht="14.45" customHeight="1">
      <c r="A65" s="325">
        <v>44034</v>
      </c>
      <c r="B65" s="161" t="s">
        <v>330</v>
      </c>
      <c r="C65" s="275">
        <v>509.18</v>
      </c>
      <c r="D65" s="275">
        <v>509.18</v>
      </c>
      <c r="E65" s="576" t="str">
        <f t="shared" si="5"/>
        <v/>
      </c>
      <c r="F65" s="162" t="str">
        <f t="shared" si="6"/>
        <v>оплачено</v>
      </c>
      <c r="G65" s="162"/>
      <c r="H65" s="717" t="str">
        <f t="shared" si="7"/>
        <v/>
      </c>
      <c r="I65" s="1115"/>
      <c r="J65" s="1116"/>
      <c r="K65" s="481"/>
      <c r="L65" s="1054"/>
      <c r="M65" s="1112"/>
      <c r="N65" s="1"/>
    </row>
    <row r="66" spans="1:21" ht="14.45" customHeight="1">
      <c r="A66" s="325">
        <v>44034</v>
      </c>
      <c r="B66" s="944" t="s">
        <v>205</v>
      </c>
      <c r="C66" s="275">
        <v>48.15</v>
      </c>
      <c r="D66" s="275">
        <v>48.15</v>
      </c>
      <c r="E66" s="576" t="str">
        <f t="shared" si="5"/>
        <v/>
      </c>
      <c r="F66" s="162" t="str">
        <f t="shared" si="6"/>
        <v>оплачено</v>
      </c>
      <c r="G66" s="162"/>
      <c r="H66" s="717" t="str">
        <f t="shared" si="7"/>
        <v/>
      </c>
      <c r="I66" s="1115" t="str">
        <f t="shared" si="7"/>
        <v/>
      </c>
      <c r="J66" s="1116"/>
      <c r="K66" s="481" t="str">
        <f t="shared" ref="K66:K73" si="8">IF(U12="","",U12)</f>
        <v/>
      </c>
      <c r="L66" s="1054"/>
      <c r="M66" s="1112"/>
      <c r="N66" s="1"/>
      <c r="O66" s="366"/>
    </row>
    <row r="67" spans="1:21">
      <c r="A67" s="325">
        <v>44034</v>
      </c>
      <c r="B67" s="161" t="s">
        <v>257</v>
      </c>
      <c r="C67" s="275">
        <v>381.52</v>
      </c>
      <c r="D67" s="275">
        <v>381.52</v>
      </c>
      <c r="E67" s="576" t="str">
        <f t="shared" si="5"/>
        <v/>
      </c>
      <c r="F67" s="162" t="str">
        <f t="shared" si="6"/>
        <v>оплачено</v>
      </c>
      <c r="G67" s="162"/>
      <c r="H67" s="717" t="str">
        <f t="shared" si="7"/>
        <v/>
      </c>
      <c r="I67" s="1115" t="str">
        <f t="shared" si="7"/>
        <v/>
      </c>
      <c r="J67" s="1116"/>
      <c r="K67" s="481" t="str">
        <f t="shared" si="8"/>
        <v/>
      </c>
      <c r="L67" s="1054"/>
      <c r="M67" s="1112"/>
      <c r="N67" s="1"/>
      <c r="O67" s="366"/>
    </row>
    <row r="68" spans="1:21" s="86" customFormat="1">
      <c r="A68" s="325">
        <v>44039</v>
      </c>
      <c r="B68" s="161" t="s">
        <v>336</v>
      </c>
      <c r="C68" s="275">
        <v>566.25</v>
      </c>
      <c r="D68" s="275">
        <v>566.25</v>
      </c>
      <c r="E68" s="576" t="str">
        <f t="shared" si="5"/>
        <v/>
      </c>
      <c r="F68" s="162" t="str">
        <f t="shared" si="6"/>
        <v>оплачено</v>
      </c>
      <c r="G68" s="162"/>
      <c r="H68" s="717" t="str">
        <f t="shared" si="7"/>
        <v/>
      </c>
      <c r="I68" s="1115" t="str">
        <f t="shared" si="7"/>
        <v/>
      </c>
      <c r="J68" s="1116"/>
      <c r="K68" s="481" t="str">
        <f t="shared" si="8"/>
        <v/>
      </c>
      <c r="L68" s="1119"/>
      <c r="M68" s="1120"/>
      <c r="N68" s="366"/>
      <c r="O68" s="84"/>
      <c r="P68" s="1"/>
      <c r="Q68" s="35"/>
      <c r="T68" s="35"/>
      <c r="U68" s="35"/>
    </row>
    <row r="69" spans="1:21">
      <c r="A69" s="325">
        <v>44041</v>
      </c>
      <c r="B69" s="161" t="s">
        <v>212</v>
      </c>
      <c r="C69" s="275">
        <v>361.74</v>
      </c>
      <c r="D69" s="275">
        <v>361.74</v>
      </c>
      <c r="E69" s="576" t="str">
        <f t="shared" si="5"/>
        <v/>
      </c>
      <c r="F69" s="162" t="str">
        <f t="shared" si="6"/>
        <v>оплачено</v>
      </c>
      <c r="G69" s="162"/>
      <c r="H69" s="717" t="str">
        <f t="shared" si="7"/>
        <v/>
      </c>
      <c r="I69" s="1115" t="str">
        <f t="shared" si="7"/>
        <v/>
      </c>
      <c r="J69" s="1116"/>
      <c r="K69" s="481" t="str">
        <f t="shared" si="8"/>
        <v/>
      </c>
      <c r="L69" s="1054"/>
      <c r="M69" s="1112"/>
      <c r="N69" s="1">
        <f>C60+C67</f>
        <v>467.91999999999996</v>
      </c>
      <c r="O69" s="366"/>
      <c r="P69" s="1"/>
      <c r="T69" s="86"/>
    </row>
    <row r="70" spans="1:21">
      <c r="A70" s="325">
        <v>44033</v>
      </c>
      <c r="B70" s="161" t="s">
        <v>382</v>
      </c>
      <c r="C70" s="275">
        <v>118.44</v>
      </c>
      <c r="D70" s="275">
        <v>118.44</v>
      </c>
      <c r="E70" s="576" t="str">
        <f t="shared" si="5"/>
        <v/>
      </c>
      <c r="F70" s="162" t="str">
        <f t="shared" si="6"/>
        <v>оплачено</v>
      </c>
      <c r="G70" s="162"/>
      <c r="H70" s="717" t="str">
        <f t="shared" si="7"/>
        <v/>
      </c>
      <c r="I70" s="1115" t="str">
        <f t="shared" si="7"/>
        <v/>
      </c>
      <c r="J70" s="1116"/>
      <c r="K70" s="481" t="str">
        <f t="shared" si="8"/>
        <v/>
      </c>
      <c r="L70" s="1054"/>
      <c r="M70" s="1112"/>
      <c r="N70" s="1"/>
      <c r="O70" s="84"/>
      <c r="P70" s="366"/>
    </row>
    <row r="71" spans="1:21">
      <c r="A71" s="325">
        <v>44040</v>
      </c>
      <c r="B71" s="161" t="s">
        <v>330</v>
      </c>
      <c r="C71" s="275">
        <v>234.21</v>
      </c>
      <c r="D71" s="275">
        <v>234.21</v>
      </c>
      <c r="E71" s="576" t="str">
        <f t="shared" si="5"/>
        <v/>
      </c>
      <c r="F71" s="162" t="str">
        <f t="shared" si="6"/>
        <v>оплачено</v>
      </c>
      <c r="G71" s="162"/>
      <c r="H71" s="717" t="str">
        <f t="shared" si="7"/>
        <v/>
      </c>
      <c r="I71" s="1115" t="str">
        <f t="shared" si="7"/>
        <v/>
      </c>
      <c r="J71" s="1116"/>
      <c r="K71" s="481" t="str">
        <f t="shared" si="8"/>
        <v/>
      </c>
      <c r="L71" s="1054"/>
      <c r="M71" s="1112"/>
      <c r="N71" s="1"/>
      <c r="O71" s="84"/>
      <c r="P71" s="150"/>
    </row>
    <row r="72" spans="1:21">
      <c r="A72" s="325"/>
      <c r="B72" s="161"/>
      <c r="C72" s="275"/>
      <c r="D72" s="275"/>
      <c r="E72" s="576" t="str">
        <f t="shared" si="5"/>
        <v/>
      </c>
      <c r="F72" s="162" t="str">
        <f t="shared" si="6"/>
        <v/>
      </c>
      <c r="G72" s="162"/>
      <c r="H72" s="717" t="str">
        <f t="shared" si="7"/>
        <v/>
      </c>
      <c r="I72" s="1115" t="str">
        <f t="shared" si="7"/>
        <v/>
      </c>
      <c r="J72" s="1116"/>
      <c r="K72" s="481" t="str">
        <f t="shared" si="8"/>
        <v/>
      </c>
      <c r="L72" s="1054"/>
      <c r="M72" s="1112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5"/>
        <v/>
      </c>
      <c r="F73" s="162" t="str">
        <f t="shared" si="6"/>
        <v/>
      </c>
      <c r="G73" s="162"/>
      <c r="H73" s="717" t="str">
        <f t="shared" si="7"/>
        <v/>
      </c>
      <c r="I73" s="1115" t="str">
        <f t="shared" si="7"/>
        <v/>
      </c>
      <c r="J73" s="1116"/>
      <c r="K73" s="481" t="str">
        <f t="shared" si="8"/>
        <v/>
      </c>
      <c r="L73" s="1054"/>
      <c r="M73" s="1112"/>
      <c r="N73" s="1"/>
      <c r="O73" s="84"/>
      <c r="P73"/>
    </row>
    <row r="74" spans="1:21" ht="15.75" thickBot="1">
      <c r="A74" s="1092" t="s">
        <v>259</v>
      </c>
      <c r="B74" s="1093"/>
      <c r="C74" s="358">
        <f>SUM(C58:C73)</f>
        <v>3488.4500000000003</v>
      </c>
      <c r="D74" s="358"/>
      <c r="E74" s="576">
        <f>SUM(E58:E73)</f>
        <v>0</v>
      </c>
      <c r="F74" s="162"/>
      <c r="G74" s="451"/>
      <c r="H74" s="1109" t="s">
        <v>259</v>
      </c>
      <c r="I74" s="1110"/>
      <c r="J74" s="1111"/>
      <c r="K74" s="716">
        <f>SUM(K58:K73)</f>
        <v>2837.86</v>
      </c>
      <c r="L74" s="1113"/>
      <c r="M74" s="1114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039" t="s">
        <v>16</v>
      </c>
      <c r="I75" s="1041" t="s">
        <v>17</v>
      </c>
      <c r="J75" s="1041" t="s">
        <v>21</v>
      </c>
      <c r="K75" s="1041"/>
      <c r="L75" s="1043" t="s">
        <v>93</v>
      </c>
      <c r="M75" s="1045" t="s">
        <v>95</v>
      </c>
      <c r="N75" s="1"/>
      <c r="O75" s="84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040"/>
      <c r="I76" s="1042"/>
      <c r="J76" s="802" t="s">
        <v>21</v>
      </c>
      <c r="K76" s="802" t="s">
        <v>25</v>
      </c>
      <c r="L76" s="1044"/>
      <c r="M76" s="1046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803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>
      <c r="A83" s="339"/>
      <c r="B83" s="199"/>
      <c r="C83" s="1"/>
      <c r="D83" s="273"/>
      <c r="E83" s="366"/>
      <c r="F83" s="366"/>
      <c r="G83" s="366"/>
      <c r="H83" s="347" t="s">
        <v>9</v>
      </c>
      <c r="I83" s="728">
        <v>13612.520000000002</v>
      </c>
      <c r="J83" s="438">
        <f>19+42+25.5+33+4+25+7.5+18+170+1+9+37.5+2+1.4</f>
        <v>394.9</v>
      </c>
      <c r="K83" s="733">
        <f>112.8+296.38+33.5</f>
        <v>442.68</v>
      </c>
      <c r="L83" s="645">
        <f>14352+1353+311+316+73+278</f>
        <v>16683</v>
      </c>
      <c r="M83" s="777">
        <v>37929.35</v>
      </c>
      <c r="N83" s="761" t="s">
        <v>355</v>
      </c>
      <c r="O83" s="762"/>
      <c r="P83" s="437"/>
      <c r="Q83" s="742"/>
      <c r="R83" s="86"/>
      <c r="V83" s="1"/>
    </row>
    <row r="84" spans="1:26">
      <c r="A84" s="339"/>
      <c r="B84" s="199"/>
      <c r="C84" s="1"/>
      <c r="D84" s="273"/>
      <c r="E84" s="366"/>
      <c r="F84" s="366"/>
      <c r="G84" s="366"/>
      <c r="H84" s="347" t="s">
        <v>18</v>
      </c>
      <c r="I84" s="728">
        <v>14474.099999999999</v>
      </c>
      <c r="J84" s="438">
        <v>947.5</v>
      </c>
      <c r="K84" s="733">
        <v>526.15</v>
      </c>
      <c r="L84" s="645">
        <v>19238.8</v>
      </c>
      <c r="M84" s="104">
        <f>M83-I84-J84-K84+L84</f>
        <v>41220.399999999994</v>
      </c>
      <c r="N84" s="84"/>
      <c r="O84" s="366"/>
      <c r="P84" s="437"/>
      <c r="Q84" s="742"/>
      <c r="R84" s="86"/>
      <c r="V84" s="1"/>
    </row>
    <row r="85" spans="1:26" ht="15.75" thickBot="1">
      <c r="A85" s="339"/>
      <c r="B85" s="199"/>
      <c r="C85" s="1"/>
      <c r="D85" s="273"/>
      <c r="E85" s="366"/>
      <c r="F85" s="366"/>
      <c r="G85" s="366"/>
      <c r="H85" s="646" t="s">
        <v>19</v>
      </c>
      <c r="I85" s="661">
        <v>17170.439999999999</v>
      </c>
      <c r="J85" s="648"/>
      <c r="K85" s="734">
        <f>21.5+122.1+41.6+353.89+95.92+8.2</f>
        <v>643.20999999999992</v>
      </c>
      <c r="L85" s="661">
        <f>660+513.5+514+683.5+535+212+2085+763+334+208+378+75+60+44+972+347+1461+81+303+363+12+44+73+133+667+281+234+225+789+767+1661+682+2828+477.5+365+873.5+390+553</f>
        <v>21647</v>
      </c>
      <c r="M85" s="104">
        <f>M84-I85-J85-K85+L85</f>
        <v>45053.75</v>
      </c>
      <c r="N85" s="84"/>
      <c r="O85" s="366"/>
      <c r="P85" s="437"/>
      <c r="Q85" s="742"/>
      <c r="R85" s="86"/>
      <c r="V85" s="1"/>
    </row>
    <row r="86" spans="1:26" ht="14.25" customHeight="1" thickTop="1">
      <c r="A86" s="339"/>
      <c r="B86" s="199"/>
      <c r="C86" s="1"/>
      <c r="D86" s="273"/>
      <c r="E86" s="84"/>
      <c r="F86" s="366"/>
      <c r="G86" s="366"/>
      <c r="H86" s="1023" t="s">
        <v>36</v>
      </c>
      <c r="I86" s="1025" t="s">
        <v>178</v>
      </c>
      <c r="J86" s="1026"/>
      <c r="K86" s="1027"/>
      <c r="L86" s="1031" t="s">
        <v>159</v>
      </c>
      <c r="M86" s="1032"/>
      <c r="N86" s="1"/>
      <c r="O86" s="366"/>
      <c r="P86" s="437"/>
      <c r="Q86" s="86"/>
      <c r="R86" s="86"/>
      <c r="V86" s="1"/>
    </row>
    <row r="87" spans="1:26">
      <c r="A87" s="339"/>
      <c r="B87" s="199"/>
      <c r="C87" s="284"/>
      <c r="D87" s="273"/>
      <c r="E87" s="284"/>
      <c r="F87" s="366"/>
      <c r="G87" s="378"/>
      <c r="H87" s="1024"/>
      <c r="I87" s="1028"/>
      <c r="J87" s="1029"/>
      <c r="K87" s="1030"/>
      <c r="L87" s="1033"/>
      <c r="M87" s="1034"/>
      <c r="N87" s="1"/>
      <c r="O87" s="84"/>
      <c r="P87" s="685"/>
      <c r="Q87" s="86"/>
      <c r="R87" s="366"/>
      <c r="S87" s="1"/>
      <c r="V87" s="1"/>
      <c r="W87" s="1"/>
      <c r="X87" s="1"/>
      <c r="Y87" s="1"/>
    </row>
    <row r="88" spans="1:26">
      <c r="A88" s="339"/>
      <c r="B88" s="199"/>
      <c r="C88" s="199"/>
      <c r="D88" s="273"/>
      <c r="E88" s="199"/>
      <c r="F88" s="366"/>
      <c r="G88" s="378"/>
      <c r="H88" s="529" t="s">
        <v>250</v>
      </c>
      <c r="I88" s="1035" t="s">
        <v>47</v>
      </c>
      <c r="J88" s="1035"/>
      <c r="K88" s="806">
        <v>131.25</v>
      </c>
      <c r="L88" s="282">
        <v>44027</v>
      </c>
      <c r="M88" s="44" t="s">
        <v>41</v>
      </c>
      <c r="O88" s="366"/>
      <c r="P88" s="685"/>
      <c r="Q88" s="86"/>
      <c r="R88" s="366"/>
      <c r="S88" s="1"/>
      <c r="T88" s="1"/>
      <c r="V88" s="282"/>
      <c r="W88" s="1"/>
      <c r="X88" s="1"/>
      <c r="Y88" s="1"/>
    </row>
    <row r="89" spans="1:26">
      <c r="A89" s="339"/>
      <c r="B89" s="366"/>
      <c r="C89" s="274"/>
      <c r="D89" s="273"/>
      <c r="E89" s="274"/>
      <c r="F89" s="366"/>
      <c r="G89" s="366"/>
      <c r="H89" s="529" t="s">
        <v>250</v>
      </c>
      <c r="I89" s="1020" t="s">
        <v>51</v>
      </c>
      <c r="J89" s="1020"/>
      <c r="K89" s="807">
        <v>21.35</v>
      </c>
      <c r="L89" s="282">
        <v>44027</v>
      </c>
      <c r="M89" s="44" t="s">
        <v>41</v>
      </c>
      <c r="O89" s="366"/>
      <c r="P89" s="685"/>
      <c r="Q89" s="571"/>
      <c r="R89" s="86"/>
      <c r="S89" s="1"/>
      <c r="T89" s="1"/>
      <c r="V89" s="282"/>
      <c r="W89" s="1"/>
      <c r="X89" s="1"/>
      <c r="Y89" s="1"/>
    </row>
    <row r="90" spans="1:26">
      <c r="A90" s="340"/>
      <c r="B90" s="366"/>
      <c r="C90" s="366"/>
      <c r="D90" s="273"/>
      <c r="E90" s="199"/>
      <c r="F90" s="366"/>
      <c r="G90" s="366"/>
      <c r="H90" s="529" t="s">
        <v>250</v>
      </c>
      <c r="I90" s="1020" t="s">
        <v>52</v>
      </c>
      <c r="J90" s="1020"/>
      <c r="K90" s="807">
        <v>2.25</v>
      </c>
      <c r="L90" s="282">
        <v>44027</v>
      </c>
      <c r="M90" s="44" t="s">
        <v>41</v>
      </c>
      <c r="O90" s="366"/>
      <c r="P90" s="685"/>
      <c r="Q90" s="86"/>
      <c r="R90" s="804"/>
      <c r="S90" s="1"/>
      <c r="T90" s="1"/>
      <c r="V90" s="282"/>
      <c r="W90" s="282"/>
      <c r="X90" s="282"/>
      <c r="Y90" s="1"/>
      <c r="Z90" s="1"/>
    </row>
    <row r="91" spans="1:26">
      <c r="A91" s="340"/>
      <c r="B91" s="366"/>
      <c r="C91" s="366"/>
      <c r="D91" s="273"/>
      <c r="E91" s="366"/>
      <c r="F91" s="366"/>
      <c r="G91" s="366"/>
      <c r="H91" s="782" t="s">
        <v>364</v>
      </c>
      <c r="I91" s="1020" t="s">
        <v>49</v>
      </c>
      <c r="J91" s="1020"/>
      <c r="K91" s="807">
        <v>44.5</v>
      </c>
      <c r="L91" s="783" t="s">
        <v>367</v>
      </c>
      <c r="M91" s="44" t="s">
        <v>380</v>
      </c>
      <c r="N91" s="35" t="s">
        <v>387</v>
      </c>
      <c r="O91" s="84"/>
      <c r="P91" s="685"/>
      <c r="Q91" s="366"/>
      <c r="R91" s="86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529" t="s">
        <v>250</v>
      </c>
      <c r="I92" s="1088" t="s">
        <v>59</v>
      </c>
      <c r="J92" s="1088"/>
      <c r="K92" s="918">
        <v>509.58</v>
      </c>
      <c r="L92" s="302" t="s">
        <v>177</v>
      </c>
      <c r="M92" s="44" t="s">
        <v>41</v>
      </c>
      <c r="N92" s="506"/>
      <c r="O92" s="84" t="s">
        <v>388</v>
      </c>
      <c r="P92" s="685"/>
      <c r="Q92" s="480"/>
      <c r="R92" s="804"/>
      <c r="S92" s="1"/>
      <c r="T92" s="282"/>
      <c r="U92" s="1"/>
      <c r="V92" s="1"/>
      <c r="W92" s="282"/>
      <c r="X92" s="282"/>
      <c r="Y92" s="1"/>
      <c r="Z92" s="1"/>
    </row>
    <row r="93" spans="1:26">
      <c r="A93" s="340"/>
      <c r="B93" s="199"/>
      <c r="C93" s="199"/>
      <c r="D93" s="273"/>
      <c r="E93" s="199"/>
      <c r="F93" s="366"/>
      <c r="G93" s="366"/>
      <c r="H93" s="529" t="s">
        <v>250</v>
      </c>
      <c r="I93" s="1089" t="s">
        <v>68</v>
      </c>
      <c r="J93" s="1090"/>
      <c r="K93" s="807">
        <v>52.62</v>
      </c>
      <c r="L93" s="282">
        <v>44032</v>
      </c>
      <c r="M93" s="44" t="s">
        <v>41</v>
      </c>
      <c r="O93" s="366"/>
      <c r="P93" s="437"/>
      <c r="Q93" s="366"/>
      <c r="R93" s="804"/>
      <c r="S93" s="1"/>
      <c r="T93" s="282"/>
      <c r="U93" s="1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199"/>
      <c r="F94" s="366"/>
      <c r="G94" s="366"/>
      <c r="H94" s="529" t="s">
        <v>250</v>
      </c>
      <c r="I94" s="1089" t="s">
        <v>174</v>
      </c>
      <c r="J94" s="1090"/>
      <c r="K94" s="919">
        <v>257.08999999999997</v>
      </c>
      <c r="L94" s="282">
        <v>44027</v>
      </c>
      <c r="M94" s="44" t="s">
        <v>41</v>
      </c>
      <c r="O94" s="84"/>
      <c r="P94" s="86"/>
      <c r="Q94" s="366"/>
      <c r="R94" s="804"/>
      <c r="S94" s="1"/>
      <c r="T94" s="282"/>
      <c r="U94" s="282"/>
      <c r="V94" s="282"/>
      <c r="W94" s="1"/>
      <c r="X94" s="1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726" t="s">
        <v>366</v>
      </c>
      <c r="I95" s="799" t="s">
        <v>176</v>
      </c>
      <c r="J95" s="800"/>
      <c r="K95" s="807" t="s">
        <v>258</v>
      </c>
      <c r="L95" s="282">
        <v>44032</v>
      </c>
      <c r="M95" s="44" t="s">
        <v>41</v>
      </c>
      <c r="O95" s="84"/>
      <c r="P95" s="86"/>
      <c r="Q95" s="366"/>
      <c r="R95" s="485"/>
      <c r="S95" s="1"/>
      <c r="T95" s="1"/>
      <c r="U95" s="282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1089" t="s">
        <v>81</v>
      </c>
      <c r="J96" s="1090"/>
      <c r="K96" s="807">
        <v>743.49</v>
      </c>
      <c r="L96" s="282">
        <v>44022</v>
      </c>
      <c r="M96" s="44" t="s">
        <v>41</v>
      </c>
      <c r="O96" s="84"/>
      <c r="P96" s="86"/>
      <c r="Q96" s="485"/>
      <c r="R96" s="365"/>
      <c r="S96" s="1"/>
      <c r="T96" s="282"/>
      <c r="U96" s="282"/>
      <c r="V96" s="282"/>
      <c r="W96" s="282"/>
      <c r="X96" s="282"/>
      <c r="Y96" s="366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089" t="s">
        <v>53</v>
      </c>
      <c r="J97" s="1090"/>
      <c r="K97" s="455">
        <v>10</v>
      </c>
      <c r="L97" s="282">
        <v>44027</v>
      </c>
      <c r="M97" s="44" t="s">
        <v>41</v>
      </c>
      <c r="N97" s="506"/>
      <c r="O97" s="84"/>
      <c r="P97" s="86"/>
      <c r="Q97" s="804"/>
      <c r="R97" s="86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101" t="s">
        <v>300</v>
      </c>
      <c r="J98" s="1101"/>
      <c r="K98" s="676">
        <v>100</v>
      </c>
      <c r="L98" s="282">
        <v>44042</v>
      </c>
      <c r="M98" s="44" t="s">
        <v>41</v>
      </c>
      <c r="O98" s="84"/>
      <c r="P98" s="86"/>
      <c r="Q98" s="804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1101" t="s">
        <v>325</v>
      </c>
      <c r="J99" s="1101"/>
      <c r="K99" s="676">
        <v>9</v>
      </c>
      <c r="L99" s="282">
        <v>44027</v>
      </c>
      <c r="M99" s="44" t="s">
        <v>41</v>
      </c>
      <c r="O99" s="84"/>
      <c r="P99" s="86"/>
      <c r="Q99" s="804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1021" t="s">
        <v>374</v>
      </c>
      <c r="J100" s="1022"/>
      <c r="K100" s="676">
        <v>999.81000000000006</v>
      </c>
      <c r="L100" s="282">
        <v>44042</v>
      </c>
      <c r="M100" s="44" t="s">
        <v>41</v>
      </c>
      <c r="O100" s="84"/>
      <c r="P100" s="86"/>
      <c r="Q100" s="804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 ht="15.75" thickBot="1">
      <c r="A101" s="341"/>
      <c r="B101" s="330"/>
      <c r="C101" s="331"/>
      <c r="D101" s="342"/>
      <c r="E101" s="330"/>
      <c r="F101" s="331"/>
      <c r="G101" s="331"/>
      <c r="H101" s="1107" t="s">
        <v>179</v>
      </c>
      <c r="I101" s="1108"/>
      <c r="J101" s="361">
        <f>SUM(K88:K100)</f>
        <v>2880.94</v>
      </c>
      <c r="K101" s="1018" t="s">
        <v>180</v>
      </c>
      <c r="L101" s="1018"/>
      <c r="M101" s="535">
        <v>0</v>
      </c>
      <c r="O101" s="84"/>
      <c r="P101" s="86"/>
      <c r="Q101" s="804"/>
      <c r="R101" s="365"/>
      <c r="S101" s="366"/>
      <c r="T101" s="282"/>
      <c r="U101" s="282"/>
      <c r="V101" s="1"/>
      <c r="W101" s="282"/>
      <c r="X101" s="282"/>
      <c r="Y101" s="1"/>
      <c r="Z101" s="1"/>
    </row>
    <row r="102" spans="1:26" ht="15.75" thickTop="1">
      <c r="C102" s="507"/>
      <c r="D102" s="507"/>
      <c r="O102" s="84"/>
      <c r="P102" s="86"/>
      <c r="Q102" s="804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" customHeight="1">
      <c r="A103" s="1082" t="s">
        <v>379</v>
      </c>
      <c r="B103" s="1082"/>
      <c r="C103" s="1082"/>
      <c r="D103" s="1082"/>
      <c r="E103" s="1082"/>
      <c r="F103" s="1082"/>
      <c r="G103" s="1082"/>
      <c r="H103" s="1082"/>
      <c r="I103" s="1082"/>
      <c r="J103" s="1082"/>
      <c r="K103" s="1082"/>
      <c r="L103" s="1082"/>
      <c r="M103" s="1082"/>
      <c r="O103" s="84"/>
      <c r="P103" s="86"/>
      <c r="Q103" s="804"/>
      <c r="R103" s="366"/>
      <c r="S103" s="1"/>
      <c r="T103" s="282"/>
      <c r="U103" s="282"/>
      <c r="V103" s="1"/>
      <c r="W103" s="1"/>
      <c r="X103" s="1"/>
      <c r="Y103" s="1"/>
      <c r="Z103" s="1"/>
    </row>
    <row r="104" spans="1:26" ht="15.75" customHeight="1" thickBot="1">
      <c r="A104" s="1083"/>
      <c r="B104" s="1083"/>
      <c r="C104" s="1083"/>
      <c r="D104" s="1083"/>
      <c r="E104" s="1083"/>
      <c r="F104" s="1083"/>
      <c r="G104" s="1083"/>
      <c r="H104" s="1083"/>
      <c r="I104" s="1083"/>
      <c r="J104" s="1083"/>
      <c r="K104" s="1083"/>
      <c r="L104" s="1083"/>
      <c r="M104" s="1083"/>
      <c r="O104" s="84"/>
      <c r="P104" s="86"/>
      <c r="Q104" s="804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 ht="15.75" thickTop="1">
      <c r="A105" s="1126" t="s">
        <v>43</v>
      </c>
      <c r="B105" s="1098"/>
      <c r="C105" s="1098"/>
      <c r="D105" s="1098"/>
      <c r="E105" s="1098"/>
      <c r="F105" s="1127"/>
      <c r="G105" s="323"/>
      <c r="O105" s="84"/>
      <c r="P105" s="86"/>
      <c r="Q105" s="686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>
      <c r="A106" s="1015" t="s">
        <v>371</v>
      </c>
      <c r="B106" s="1016"/>
      <c r="C106" s="798" t="s">
        <v>35</v>
      </c>
      <c r="D106" s="798" t="s">
        <v>38</v>
      </c>
      <c r="E106" s="798" t="s">
        <v>42</v>
      </c>
      <c r="F106" s="798" t="s">
        <v>44</v>
      </c>
      <c r="G106" s="1"/>
      <c r="O106" s="84"/>
      <c r="P106" s="86"/>
      <c r="Q106" s="804"/>
      <c r="R106" s="366"/>
      <c r="S106" s="1"/>
      <c r="T106" s="1"/>
      <c r="U106" s="1"/>
      <c r="W106" s="1"/>
      <c r="X106" s="1"/>
      <c r="Y106" s="1"/>
      <c r="Z106" s="1"/>
    </row>
    <row r="107" spans="1:26">
      <c r="A107" s="1119" t="s">
        <v>40</v>
      </c>
      <c r="B107" s="1095"/>
      <c r="C107" s="482">
        <v>1275.26</v>
      </c>
      <c r="D107" s="482">
        <f>800+475.26</f>
        <v>1275.26</v>
      </c>
      <c r="E107" s="481">
        <f>C107-D107</f>
        <v>0</v>
      </c>
      <c r="F107" s="3"/>
      <c r="G107" s="1"/>
      <c r="O107" s="84"/>
      <c r="P107" s="86"/>
      <c r="Q107" s="804"/>
      <c r="R107" s="366"/>
      <c r="S107" s="1"/>
      <c r="T107" s="1"/>
      <c r="U107" s="1"/>
      <c r="W107" s="1"/>
      <c r="X107" s="1"/>
      <c r="Y107" s="1"/>
      <c r="Z107" s="1"/>
    </row>
    <row r="108" spans="1:26">
      <c r="A108" s="340"/>
      <c r="B108" s="366"/>
      <c r="C108" s="514">
        <f>SUM(C107:C107)</f>
        <v>1275.26</v>
      </c>
      <c r="D108" s="366"/>
      <c r="E108" s="84"/>
      <c r="F108" s="366"/>
      <c r="G108" s="1"/>
      <c r="K108" s="506"/>
      <c r="O108" s="84"/>
      <c r="P108" s="86"/>
      <c r="Q108" s="804"/>
      <c r="R108" s="86"/>
      <c r="T108" s="1"/>
      <c r="U108" s="1"/>
      <c r="Z108" s="1"/>
    </row>
    <row r="109" spans="1:26">
      <c r="A109" s="340"/>
      <c r="B109" s="366"/>
      <c r="C109" s="366"/>
      <c r="D109" s="366"/>
      <c r="E109" s="366"/>
      <c r="F109" s="366"/>
      <c r="G109" s="1"/>
      <c r="O109" s="84"/>
      <c r="P109" s="86"/>
      <c r="Q109" s="804"/>
      <c r="R109" s="86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M110" s="506"/>
      <c r="O110" s="84"/>
      <c r="P110" s="86"/>
      <c r="Q110" s="804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O111" s="84"/>
      <c r="P111" s="86"/>
      <c r="Q111" s="804"/>
      <c r="R111" s="86"/>
      <c r="U111" s="1"/>
    </row>
    <row r="112" spans="1:26">
      <c r="A112" s="43"/>
      <c r="B112" s="1"/>
      <c r="C112" s="366"/>
      <c r="D112" s="1"/>
      <c r="E112" s="1"/>
      <c r="F112" s="1"/>
      <c r="G112" s="1"/>
      <c r="M112" s="1"/>
      <c r="O112" s="84"/>
      <c r="P112" s="86"/>
      <c r="Q112" s="804"/>
      <c r="R112" s="86"/>
    </row>
    <row r="113" spans="1:26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804"/>
      <c r="R113" s="86"/>
    </row>
    <row r="114" spans="1:26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804"/>
      <c r="R114" s="86"/>
    </row>
    <row r="115" spans="1:26">
      <c r="A115" s="43"/>
      <c r="B115" s="1"/>
      <c r="C115" s="366"/>
      <c r="D115" s="1"/>
      <c r="E115" s="1"/>
      <c r="F115" s="1"/>
      <c r="G115" s="1"/>
      <c r="M115" s="366"/>
      <c r="O115" s="84"/>
      <c r="P115" s="86"/>
      <c r="Q115" s="804"/>
      <c r="R115" s="86"/>
    </row>
    <row r="116" spans="1:26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804"/>
      <c r="R116" s="86"/>
    </row>
    <row r="117" spans="1:26">
      <c r="A117" s="43"/>
      <c r="B117" s="1"/>
      <c r="C117" s="366"/>
      <c r="D117" s="1"/>
      <c r="E117" s="1"/>
      <c r="F117" s="1"/>
      <c r="G117" s="1"/>
      <c r="M117" s="1"/>
      <c r="O117" s="84"/>
      <c r="P117" s="86"/>
      <c r="Q117" s="804"/>
      <c r="R117" s="86"/>
    </row>
    <row r="118" spans="1:26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804"/>
      <c r="R118" s="86"/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86"/>
      <c r="R119" s="86"/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26">
      <c r="A121" s="43"/>
      <c r="B121" s="1"/>
      <c r="C121" s="366"/>
      <c r="D121" s="1"/>
      <c r="E121" s="1"/>
      <c r="F121" s="1"/>
      <c r="G121" s="1"/>
      <c r="O121" s="84"/>
      <c r="P121" s="86"/>
      <c r="Q121" s="86"/>
      <c r="R121" s="86"/>
    </row>
    <row r="122" spans="1:26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26" ht="15.75" thickBot="1">
      <c r="C123" s="447"/>
      <c r="O123" s="84"/>
      <c r="P123" s="86"/>
      <c r="Q123" s="86"/>
      <c r="R123" s="86"/>
    </row>
    <row r="124" spans="1:26" ht="15.75" thickBot="1">
      <c r="A124" s="292"/>
      <c r="C124" s="447"/>
      <c r="O124" s="84"/>
      <c r="P124" s="86"/>
      <c r="Q124" s="86"/>
      <c r="R124" s="86"/>
    </row>
    <row r="125" spans="1:26">
      <c r="C125" s="447"/>
    </row>
    <row r="126" spans="1:26" s="1" customFormat="1" ht="12.75" customHeight="1">
      <c r="A126" s="449"/>
      <c r="B126" s="199"/>
      <c r="D126" s="273"/>
      <c r="E126" s="366"/>
      <c r="F126" s="366"/>
      <c r="G126" s="366"/>
      <c r="H126" s="565"/>
      <c r="I126" s="942"/>
      <c r="J126" s="437"/>
      <c r="K126" s="643"/>
      <c r="L126" s="643"/>
      <c r="M126" s="436"/>
      <c r="O126" s="127"/>
      <c r="P126" s="84"/>
      <c r="Q126" s="145"/>
      <c r="R126" s="84"/>
      <c r="S126" s="84"/>
      <c r="T126" s="366"/>
      <c r="U126" s="366"/>
      <c r="V126" s="366"/>
      <c r="W126" s="366"/>
      <c r="X126" s="366"/>
      <c r="Y126" s="366"/>
      <c r="Z126" s="366"/>
    </row>
    <row r="127" spans="1:26">
      <c r="C127" s="447"/>
    </row>
    <row r="128" spans="1:26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</sheetData>
  <mergeCells count="131"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H34:H35"/>
    <mergeCell ref="I34:K35"/>
    <mergeCell ref="L34:M35"/>
    <mergeCell ref="I36:J36"/>
    <mergeCell ref="I37:J37"/>
    <mergeCell ref="I38:J38"/>
    <mergeCell ref="A20:B20"/>
    <mergeCell ref="H20:J20"/>
    <mergeCell ref="L20:M20"/>
    <mergeCell ref="H21:H22"/>
    <mergeCell ref="I21:I22"/>
    <mergeCell ref="J21:K21"/>
    <mergeCell ref="L21:L22"/>
    <mergeCell ref="M21:M22"/>
    <mergeCell ref="I47:J47"/>
    <mergeCell ref="I48:J48"/>
    <mergeCell ref="I49:J49"/>
    <mergeCell ref="I50:J50"/>
    <mergeCell ref="I51:J51"/>
    <mergeCell ref="H52:I52"/>
    <mergeCell ref="I39:J39"/>
    <mergeCell ref="I40:J40"/>
    <mergeCell ref="I41:J41"/>
    <mergeCell ref="I44:J44"/>
    <mergeCell ref="I45:J45"/>
    <mergeCell ref="I46:J46"/>
    <mergeCell ref="I58:J58"/>
    <mergeCell ref="L58:M58"/>
    <mergeCell ref="I59:J59"/>
    <mergeCell ref="L59:M59"/>
    <mergeCell ref="I60:J60"/>
    <mergeCell ref="L60:M60"/>
    <mergeCell ref="K52:L52"/>
    <mergeCell ref="H53:K53"/>
    <mergeCell ref="A54:M55"/>
    <mergeCell ref="A56:G56"/>
    <mergeCell ref="H56:M56"/>
    <mergeCell ref="I57:J57"/>
    <mergeCell ref="L57:M57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73:J73"/>
    <mergeCell ref="L73:M73"/>
    <mergeCell ref="A74:B74"/>
    <mergeCell ref="H74:J74"/>
    <mergeCell ref="L74:M74"/>
    <mergeCell ref="H75:H76"/>
    <mergeCell ref="I75:I76"/>
    <mergeCell ref="J75:K75"/>
    <mergeCell ref="L75:L76"/>
    <mergeCell ref="M75:M76"/>
    <mergeCell ref="I91:J91"/>
    <mergeCell ref="I92:J92"/>
    <mergeCell ref="I93:J93"/>
    <mergeCell ref="I94:J94"/>
    <mergeCell ref="I96:J96"/>
    <mergeCell ref="I97:J97"/>
    <mergeCell ref="H86:H87"/>
    <mergeCell ref="I86:K87"/>
    <mergeCell ref="L86:M87"/>
    <mergeCell ref="I88:J88"/>
    <mergeCell ref="I89:J89"/>
    <mergeCell ref="I90:J90"/>
    <mergeCell ref="A105:F105"/>
    <mergeCell ref="A106:B106"/>
    <mergeCell ref="A107:B107"/>
    <mergeCell ref="I98:J98"/>
    <mergeCell ref="I99:J99"/>
    <mergeCell ref="I100:J100"/>
    <mergeCell ref="H101:I101"/>
    <mergeCell ref="K101:L101"/>
    <mergeCell ref="A103:M104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7"/>
  <sheetViews>
    <sheetView zoomScaleNormal="100" zoomScaleSheetLayoutView="115" zoomScalePageLayoutView="70" workbookViewId="0">
      <pane xSplit="1" ySplit="1" topLeftCell="B26" activePane="bottomRight" state="frozen"/>
      <selection pane="topRight" activeCell="B1" sqref="B1"/>
      <selection pane="bottomLeft" activeCell="A4" sqref="A4"/>
      <selection pane="bottomRight" activeCell="C47" sqref="C47:H47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5.140625" style="35" customWidth="1"/>
    <col min="5" max="5" width="11.42578125" style="35" customWidth="1"/>
    <col min="6" max="7" width="13.7109375" style="35" customWidth="1"/>
    <col min="8" max="8" width="14.5703125" style="35" customWidth="1"/>
    <col min="9" max="9" width="13.7109375" style="35" customWidth="1"/>
    <col min="10" max="10" width="10.42578125" style="35" customWidth="1"/>
    <col min="11" max="11" width="9.140625" style="35" customWidth="1"/>
    <col min="12" max="13" width="9.140625" style="35"/>
    <col min="14" max="14" width="10" style="35" customWidth="1"/>
    <col min="15" max="16384" width="9.140625" style="35"/>
  </cols>
  <sheetData>
    <row r="1" spans="1:18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393</v>
      </c>
      <c r="H1" s="14" t="s">
        <v>184</v>
      </c>
      <c r="I1" s="116" t="s">
        <v>394</v>
      </c>
      <c r="J1" s="15" t="s">
        <v>191</v>
      </c>
      <c r="K1" s="464" t="s">
        <v>240</v>
      </c>
      <c r="L1" s="464"/>
      <c r="M1" s="464"/>
      <c r="N1" s="464"/>
    </row>
    <row r="2" spans="1:18" ht="11.1" customHeight="1">
      <c r="B2" s="16">
        <f>IF(C2="","",WEEKDAY(C2,2))</f>
        <v>3</v>
      </c>
      <c r="C2" s="17">
        <v>44013</v>
      </c>
      <c r="D2" s="796">
        <v>495.6</v>
      </c>
      <c r="E2" s="778"/>
      <c r="F2" s="741">
        <v>425.2</v>
      </c>
      <c r="G2" s="913"/>
      <c r="H2" s="913"/>
      <c r="I2" s="227"/>
      <c r="J2" s="798"/>
      <c r="K2" s="708">
        <v>67.8</v>
      </c>
      <c r="L2" s="464"/>
      <c r="M2" s="464"/>
      <c r="N2" s="464"/>
    </row>
    <row r="3" spans="1:18" ht="11.1" customHeight="1">
      <c r="B3" s="16">
        <f t="shared" ref="B3:B32" si="0">IF(C3="","",WEEKDAY(C3,2))</f>
        <v>4</v>
      </c>
      <c r="C3" s="17">
        <v>44014</v>
      </c>
      <c r="D3" s="796"/>
      <c r="E3" s="778"/>
      <c r="F3" s="912">
        <v>897</v>
      </c>
      <c r="G3" s="924"/>
      <c r="H3" s="914">
        <v>594.29999999999995</v>
      </c>
      <c r="I3" s="707"/>
      <c r="J3" s="798"/>
      <c r="K3" s="709">
        <v>149</v>
      </c>
      <c r="L3" s="464"/>
      <c r="M3" s="464"/>
      <c r="N3" s="464"/>
    </row>
    <row r="4" spans="1:18" ht="11.1" customHeight="1">
      <c r="B4" s="16">
        <f t="shared" si="0"/>
        <v>5</v>
      </c>
      <c r="C4" s="17">
        <v>44015</v>
      </c>
      <c r="D4" s="796"/>
      <c r="E4" s="21"/>
      <c r="F4" s="912"/>
      <c r="G4" s="924"/>
      <c r="H4" s="913">
        <v>1062.9000000000001</v>
      </c>
      <c r="I4" s="227"/>
      <c r="J4" s="798"/>
      <c r="K4" s="709">
        <v>66.099999999999994</v>
      </c>
      <c r="L4" s="464"/>
      <c r="M4" s="464"/>
      <c r="N4" s="464"/>
    </row>
    <row r="5" spans="1:18" ht="11.1" customHeight="1">
      <c r="B5" s="16">
        <f t="shared" si="0"/>
        <v>6</v>
      </c>
      <c r="C5" s="17">
        <v>44016</v>
      </c>
      <c r="D5" s="796">
        <v>828.5</v>
      </c>
      <c r="E5" s="22"/>
      <c r="F5" s="741"/>
      <c r="G5" s="913"/>
      <c r="H5" s="913">
        <v>219.6</v>
      </c>
      <c r="I5" s="227"/>
      <c r="J5" s="798"/>
      <c r="K5" s="708">
        <v>104.5</v>
      </c>
      <c r="L5" s="464"/>
      <c r="M5" s="464"/>
      <c r="N5" s="464"/>
    </row>
    <row r="6" spans="1:18" ht="11.1" customHeight="1">
      <c r="B6" s="16">
        <f t="shared" si="0"/>
        <v>7</v>
      </c>
      <c r="C6" s="17">
        <v>44017</v>
      </c>
      <c r="D6" s="796">
        <v>1180.0999999999999</v>
      </c>
      <c r="E6" s="22"/>
      <c r="F6" s="741"/>
      <c r="G6" s="913"/>
      <c r="H6" s="913">
        <v>244.2</v>
      </c>
      <c r="I6" s="227"/>
      <c r="J6" s="798"/>
      <c r="K6" s="85">
        <v>15</v>
      </c>
      <c r="L6" s="464"/>
      <c r="M6" s="464"/>
      <c r="N6" s="464"/>
    </row>
    <row r="7" spans="1:18" ht="11.1" customHeight="1">
      <c r="B7" s="16">
        <f t="shared" si="0"/>
        <v>1</v>
      </c>
      <c r="C7" s="17">
        <v>44018</v>
      </c>
      <c r="D7" s="796"/>
      <c r="E7" s="22"/>
      <c r="F7" s="226">
        <v>758</v>
      </c>
      <c r="G7" s="227"/>
      <c r="H7" s="227"/>
      <c r="I7" s="227"/>
      <c r="J7" s="915">
        <v>301</v>
      </c>
      <c r="K7" s="85"/>
      <c r="L7" s="464"/>
      <c r="M7" s="464"/>
      <c r="N7" s="464"/>
    </row>
    <row r="8" spans="1:18" ht="11.1" customHeight="1">
      <c r="B8" s="16">
        <f t="shared" si="0"/>
        <v>2</v>
      </c>
      <c r="C8" s="17">
        <v>44019</v>
      </c>
      <c r="D8" s="796"/>
      <c r="E8" s="22"/>
      <c r="F8" s="226">
        <v>672.5</v>
      </c>
      <c r="G8" s="227"/>
      <c r="H8" s="227"/>
      <c r="I8" s="227"/>
      <c r="J8" s="925">
        <v>364.01</v>
      </c>
      <c r="K8" s="765">
        <v>90.5</v>
      </c>
      <c r="L8" s="464"/>
      <c r="M8" s="464"/>
      <c r="N8" s="464"/>
    </row>
    <row r="9" spans="1:18" ht="11.1" customHeight="1">
      <c r="B9" s="16">
        <f>IF(C9="","",WEEKDAY(C9,2))</f>
        <v>3</v>
      </c>
      <c r="C9" s="17">
        <v>44020</v>
      </c>
      <c r="D9" s="796">
        <v>1036.0999999999999</v>
      </c>
      <c r="E9" s="22"/>
      <c r="F9" s="226"/>
      <c r="G9" s="227"/>
      <c r="H9" s="913">
        <v>728.7</v>
      </c>
      <c r="I9" s="227"/>
      <c r="J9" s="18"/>
      <c r="K9" s="765">
        <v>183.5</v>
      </c>
      <c r="L9" s="464"/>
      <c r="M9" s="464"/>
      <c r="N9" s="464"/>
    </row>
    <row r="10" spans="1:18" ht="11.1" customHeight="1">
      <c r="B10" s="16">
        <f t="shared" si="0"/>
        <v>4</v>
      </c>
      <c r="C10" s="17">
        <v>44021</v>
      </c>
      <c r="D10" s="796">
        <v>891.1</v>
      </c>
      <c r="E10" s="22"/>
      <c r="F10" s="226"/>
      <c r="G10" s="227"/>
      <c r="H10" s="913">
        <v>503.9</v>
      </c>
      <c r="I10" s="227"/>
      <c r="J10" s="431"/>
      <c r="K10" s="765">
        <v>66</v>
      </c>
      <c r="L10" s="464"/>
      <c r="M10" s="464"/>
      <c r="N10" s="464"/>
    </row>
    <row r="11" spans="1:18" ht="11.1" customHeight="1">
      <c r="B11" s="16">
        <f t="shared" si="0"/>
        <v>5</v>
      </c>
      <c r="C11" s="17">
        <v>44022</v>
      </c>
      <c r="D11" s="796"/>
      <c r="E11" s="22">
        <v>812.07</v>
      </c>
      <c r="F11" s="226"/>
      <c r="G11" s="226"/>
      <c r="H11" s="741">
        <v>474.4</v>
      </c>
      <c r="I11" s="710"/>
      <c r="J11" s="710"/>
      <c r="K11" s="765">
        <v>49.866</v>
      </c>
      <c r="L11" s="464"/>
      <c r="M11" s="466"/>
      <c r="N11" s="464"/>
      <c r="P11" s="86"/>
      <c r="Q11" s="86"/>
      <c r="R11" s="86"/>
    </row>
    <row r="12" spans="1:18" ht="11.1" customHeight="1">
      <c r="B12" s="16">
        <f t="shared" si="0"/>
        <v>6</v>
      </c>
      <c r="C12" s="17">
        <v>44023</v>
      </c>
      <c r="D12" s="796"/>
      <c r="E12" s="22">
        <v>678.4</v>
      </c>
      <c r="F12" s="226"/>
      <c r="G12" s="226"/>
      <c r="H12" s="741">
        <v>304.7</v>
      </c>
      <c r="I12" s="226"/>
      <c r="J12" s="226"/>
      <c r="K12" s="765">
        <v>69.7</v>
      </c>
      <c r="L12" s="464"/>
      <c r="M12" s="466"/>
      <c r="N12" s="464"/>
      <c r="P12" s="86"/>
      <c r="Q12" s="86"/>
      <c r="R12" s="86"/>
    </row>
    <row r="13" spans="1:18" ht="11.1" customHeight="1">
      <c r="B13" s="16">
        <f t="shared" si="0"/>
        <v>7</v>
      </c>
      <c r="C13" s="17">
        <v>44024</v>
      </c>
      <c r="D13" s="796">
        <v>878.8</v>
      </c>
      <c r="E13" s="22"/>
      <c r="F13" s="226"/>
      <c r="G13" s="226"/>
      <c r="H13" s="226"/>
      <c r="I13" s="741">
        <v>651.1</v>
      </c>
      <c r="J13" s="226"/>
      <c r="K13" s="765"/>
      <c r="L13" s="464"/>
      <c r="M13" s="466"/>
      <c r="N13" s="464"/>
      <c r="P13" s="86"/>
      <c r="Q13" s="86"/>
      <c r="R13" s="86"/>
    </row>
    <row r="14" spans="1:18" ht="11.1" customHeight="1">
      <c r="B14" s="16">
        <f t="shared" si="0"/>
        <v>1</v>
      </c>
      <c r="C14" s="17">
        <v>44025</v>
      </c>
      <c r="D14" s="796">
        <v>640.25</v>
      </c>
      <c r="E14" s="22"/>
      <c r="F14" s="226"/>
      <c r="G14" s="226"/>
      <c r="H14" s="226"/>
      <c r="I14" s="741">
        <v>404.5</v>
      </c>
      <c r="J14" s="226"/>
      <c r="K14" s="765"/>
      <c r="L14" s="464"/>
      <c r="M14" s="466"/>
      <c r="N14" s="464"/>
      <c r="P14" s="86"/>
      <c r="Q14" s="86"/>
      <c r="R14" s="86"/>
    </row>
    <row r="15" spans="1:18" ht="11.25" customHeight="1">
      <c r="A15" s="86"/>
      <c r="B15" s="16">
        <f t="shared" si="0"/>
        <v>2</v>
      </c>
      <c r="C15" s="17">
        <v>44026</v>
      </c>
      <c r="D15" s="796"/>
      <c r="E15" s="22">
        <v>845.87</v>
      </c>
      <c r="F15" s="226"/>
      <c r="G15" s="226"/>
      <c r="H15" s="226"/>
      <c r="I15" s="741">
        <v>609.47</v>
      </c>
      <c r="J15" s="798"/>
      <c r="K15" s="14"/>
      <c r="L15" s="464"/>
      <c r="M15" s="466"/>
      <c r="N15" s="464"/>
      <c r="P15" s="86"/>
      <c r="Q15" s="86"/>
      <c r="R15" s="86"/>
    </row>
    <row r="16" spans="1:18" ht="12.75" customHeight="1">
      <c r="A16" s="86"/>
      <c r="B16" s="16">
        <f t="shared" si="0"/>
        <v>3</v>
      </c>
      <c r="C16" s="17">
        <v>44027</v>
      </c>
      <c r="D16" s="778">
        <v>598.5</v>
      </c>
      <c r="E16" s="21">
        <v>1376.05</v>
      </c>
      <c r="F16" s="741"/>
      <c r="G16" s="741"/>
      <c r="H16" s="226"/>
      <c r="I16" s="226"/>
      <c r="J16" s="925">
        <v>255</v>
      </c>
      <c r="K16" s="765">
        <v>75.55</v>
      </c>
      <c r="L16" s="464"/>
      <c r="M16" s="466"/>
      <c r="N16" s="466"/>
      <c r="O16" s="86"/>
      <c r="P16" s="86"/>
      <c r="Q16" s="86"/>
      <c r="R16" s="86"/>
    </row>
    <row r="17" spans="1:18" ht="11.1" customHeight="1">
      <c r="A17" s="86"/>
      <c r="B17" s="16">
        <f t="shared" si="0"/>
        <v>4</v>
      </c>
      <c r="C17" s="17">
        <v>44028</v>
      </c>
      <c r="D17" s="796"/>
      <c r="E17" s="22">
        <f>644.1+3+294.4+69.5</f>
        <v>1011</v>
      </c>
      <c r="F17" s="741">
        <v>561.29999999999995</v>
      </c>
      <c r="G17" s="226"/>
      <c r="H17" s="226"/>
      <c r="I17" s="226"/>
      <c r="J17" s="14"/>
      <c r="K17" s="765"/>
      <c r="L17" s="464"/>
      <c r="M17" s="466"/>
      <c r="N17" s="468"/>
      <c r="O17" s="86"/>
      <c r="P17" s="86"/>
      <c r="Q17" s="86"/>
      <c r="R17" s="86"/>
    </row>
    <row r="18" spans="1:18" ht="11.1" customHeight="1">
      <c r="A18" s="86"/>
      <c r="B18" s="16">
        <f t="shared" si="0"/>
        <v>5</v>
      </c>
      <c r="C18" s="17">
        <v>44029</v>
      </c>
      <c r="D18" s="22">
        <v>737.4</v>
      </c>
      <c r="E18" s="22"/>
      <c r="F18" s="741">
        <v>503.7</v>
      </c>
      <c r="G18" s="741"/>
      <c r="H18" s="226"/>
      <c r="I18" s="226"/>
      <c r="J18" s="226"/>
      <c r="K18" s="765">
        <v>93.2</v>
      </c>
      <c r="L18" s="464"/>
      <c r="M18" s="466"/>
      <c r="N18" s="466"/>
      <c r="O18" s="86"/>
      <c r="P18" s="86"/>
      <c r="Q18" s="86"/>
      <c r="R18" s="86"/>
    </row>
    <row r="19" spans="1:18" ht="11.1" customHeight="1">
      <c r="A19" s="86"/>
      <c r="B19" s="16">
        <f t="shared" si="0"/>
        <v>6</v>
      </c>
      <c r="C19" s="17">
        <v>44030</v>
      </c>
      <c r="D19" s="22"/>
      <c r="E19" s="796">
        <v>1085.5999999999999</v>
      </c>
      <c r="F19" s="741"/>
      <c r="G19" s="741"/>
      <c r="H19" s="226"/>
      <c r="I19" s="741">
        <v>505</v>
      </c>
      <c r="J19" s="14"/>
      <c r="K19" s="765">
        <v>15</v>
      </c>
      <c r="L19" s="464"/>
      <c r="M19" s="466"/>
      <c r="N19" s="466"/>
      <c r="O19" s="86"/>
      <c r="P19" s="86"/>
      <c r="Q19" s="86"/>
      <c r="R19" s="86"/>
    </row>
    <row r="20" spans="1:18" s="86" customFormat="1" ht="11.1" customHeight="1">
      <c r="A20" s="475"/>
      <c r="B20" s="460">
        <f t="shared" si="0"/>
        <v>7</v>
      </c>
      <c r="C20" s="17">
        <v>44031</v>
      </c>
      <c r="D20" s="22"/>
      <c r="E20" s="22">
        <v>931.95</v>
      </c>
      <c r="F20" s="741"/>
      <c r="G20" s="741"/>
      <c r="H20" s="226"/>
      <c r="I20" s="741">
        <v>615.16</v>
      </c>
      <c r="J20" s="22"/>
      <c r="K20" s="766">
        <v>207.7</v>
      </c>
      <c r="L20" s="466"/>
      <c r="M20" s="466"/>
      <c r="N20" s="466"/>
    </row>
    <row r="21" spans="1:18" s="86" customFormat="1" ht="11.1" customHeight="1">
      <c r="B21" s="460">
        <f t="shared" si="0"/>
        <v>1</v>
      </c>
      <c r="C21" s="17">
        <v>44032</v>
      </c>
      <c r="D21" s="22">
        <v>1703</v>
      </c>
      <c r="E21" s="22"/>
      <c r="F21" s="226"/>
      <c r="G21" s="741">
        <v>658.1</v>
      </c>
      <c r="H21" s="226"/>
      <c r="I21" s="226"/>
      <c r="J21" s="226"/>
      <c r="K21" s="766"/>
      <c r="L21" s="466"/>
      <c r="M21" s="466"/>
      <c r="N21" s="466"/>
    </row>
    <row r="22" spans="1:18" s="86" customFormat="1" ht="11.1" customHeight="1">
      <c r="B22" s="460">
        <f>IF(C22="","",WEEKDAY(C22,2))</f>
        <v>2</v>
      </c>
      <c r="C22" s="17">
        <v>44033</v>
      </c>
      <c r="D22" s="22">
        <v>1523.9</v>
      </c>
      <c r="E22" s="22"/>
      <c r="F22" s="226"/>
      <c r="G22" s="741">
        <v>596</v>
      </c>
      <c r="H22" s="226"/>
      <c r="I22" s="226"/>
      <c r="J22" s="226"/>
      <c r="K22" s="766">
        <v>83.5</v>
      </c>
      <c r="L22" s="466"/>
      <c r="M22" s="466"/>
      <c r="N22" s="466"/>
    </row>
    <row r="23" spans="1:18" s="86" customFormat="1" ht="11.1" customHeight="1">
      <c r="A23" s="928"/>
      <c r="B23" s="460">
        <f t="shared" si="0"/>
        <v>3</v>
      </c>
      <c r="C23" s="17">
        <v>44034</v>
      </c>
      <c r="D23" s="22"/>
      <c r="E23" s="22">
        <v>1341.7</v>
      </c>
      <c r="F23" s="226"/>
      <c r="G23" s="741">
        <v>545.70000000000005</v>
      </c>
      <c r="H23" s="226"/>
      <c r="I23" s="226"/>
      <c r="J23" s="476"/>
      <c r="K23" s="766">
        <v>134.9</v>
      </c>
      <c r="L23" s="466"/>
      <c r="M23" s="466"/>
      <c r="N23" s="466"/>
    </row>
    <row r="24" spans="1:18" s="86" customFormat="1" ht="10.5" customHeight="1">
      <c r="A24" s="928"/>
      <c r="B24" s="460">
        <f t="shared" si="0"/>
        <v>4</v>
      </c>
      <c r="C24" s="17">
        <v>44035</v>
      </c>
      <c r="D24" s="22">
        <v>574.79999999999995</v>
      </c>
      <c r="E24" s="22">
        <v>502</v>
      </c>
      <c r="F24" s="741">
        <v>398.9</v>
      </c>
      <c r="G24" s="741"/>
      <c r="H24" s="741"/>
      <c r="I24" s="226"/>
      <c r="J24" s="226"/>
      <c r="K24" s="766">
        <v>94.7</v>
      </c>
      <c r="L24" s="466"/>
      <c r="M24" s="743"/>
      <c r="N24" s="466"/>
    </row>
    <row r="25" spans="1:18" s="86" customFormat="1" ht="11.1" customHeight="1">
      <c r="B25" s="460">
        <f t="shared" si="0"/>
        <v>5</v>
      </c>
      <c r="C25" s="17">
        <v>44036</v>
      </c>
      <c r="D25" s="22">
        <v>828.7</v>
      </c>
      <c r="E25" s="22"/>
      <c r="F25" s="226"/>
      <c r="G25" s="226"/>
      <c r="H25" s="741">
        <v>513.70000000000005</v>
      </c>
      <c r="I25" s="226"/>
      <c r="J25" s="226"/>
      <c r="K25" s="766">
        <v>170</v>
      </c>
      <c r="L25" s="466"/>
      <c r="M25" s="466"/>
      <c r="N25" s="477"/>
    </row>
    <row r="26" spans="1:18" s="86" customFormat="1" ht="11.1" customHeight="1">
      <c r="B26" s="460">
        <f t="shared" si="0"/>
        <v>6</v>
      </c>
      <c r="C26" s="17">
        <v>44037</v>
      </c>
      <c r="D26" s="22">
        <v>1105.45</v>
      </c>
      <c r="E26" s="22"/>
      <c r="F26" s="22"/>
      <c r="G26" s="22"/>
      <c r="H26" s="923">
        <v>563.5</v>
      </c>
      <c r="I26" s="478"/>
      <c r="J26" s="226"/>
      <c r="K26" s="766"/>
      <c r="L26" s="466"/>
      <c r="M26" s="466"/>
      <c r="N26" s="477"/>
    </row>
    <row r="27" spans="1:18" s="86" customFormat="1" ht="11.1" customHeight="1">
      <c r="B27" s="460">
        <f t="shared" si="0"/>
        <v>7</v>
      </c>
      <c r="C27" s="17">
        <v>44038</v>
      </c>
      <c r="D27" s="611"/>
      <c r="E27" s="22">
        <v>1099.8</v>
      </c>
      <c r="F27" s="226"/>
      <c r="G27" s="226"/>
      <c r="H27" s="926">
        <v>958</v>
      </c>
      <c r="I27" s="611"/>
      <c r="J27" s="226"/>
      <c r="K27" s="766"/>
      <c r="L27" s="469"/>
      <c r="M27" s="469"/>
      <c r="N27" s="469"/>
      <c r="O27" s="366"/>
      <c r="P27" s="366"/>
      <c r="Q27" s="366"/>
      <c r="R27" s="366"/>
    </row>
    <row r="28" spans="1:18" s="86" customFormat="1" ht="10.5" customHeight="1">
      <c r="A28" s="475"/>
      <c r="B28" s="460">
        <f t="shared" si="0"/>
        <v>1</v>
      </c>
      <c r="C28" s="17">
        <v>44039</v>
      </c>
      <c r="D28" s="22"/>
      <c r="E28" s="22">
        <v>1210.4000000000001</v>
      </c>
      <c r="F28" s="741">
        <v>697</v>
      </c>
      <c r="G28" s="741"/>
      <c r="H28" s="226"/>
      <c r="I28" s="226"/>
      <c r="J28" s="226"/>
      <c r="K28" s="766"/>
      <c r="L28" s="469"/>
      <c r="M28" s="469"/>
      <c r="N28" s="469"/>
      <c r="O28" s="366"/>
      <c r="P28" s="366"/>
      <c r="Q28" s="366"/>
      <c r="R28" s="366"/>
    </row>
    <row r="29" spans="1:18" s="86" customFormat="1" ht="10.5" customHeight="1">
      <c r="B29" s="460">
        <f t="shared" si="0"/>
        <v>2</v>
      </c>
      <c r="C29" s="17">
        <v>44040</v>
      </c>
      <c r="D29" s="22">
        <v>1085.7</v>
      </c>
      <c r="E29" s="22"/>
      <c r="F29" s="741">
        <v>513.4</v>
      </c>
      <c r="G29" s="741"/>
      <c r="H29" s="226"/>
      <c r="I29" s="226"/>
      <c r="J29" s="226"/>
      <c r="K29" s="766"/>
      <c r="L29" s="469"/>
      <c r="M29" s="467"/>
      <c r="N29" s="467"/>
      <c r="O29" s="366"/>
      <c r="P29" s="366"/>
      <c r="Q29" s="366"/>
      <c r="R29" s="366"/>
    </row>
    <row r="30" spans="1:18" s="86" customFormat="1" ht="11.1" customHeight="1">
      <c r="B30" s="460">
        <f t="shared" si="0"/>
        <v>3</v>
      </c>
      <c r="C30" s="17">
        <v>44041</v>
      </c>
      <c r="D30" s="22">
        <v>1124.7</v>
      </c>
      <c r="E30" s="226"/>
      <c r="F30" s="807"/>
      <c r="G30" s="922"/>
      <c r="H30" s="741">
        <v>769.8</v>
      </c>
      <c r="I30" s="226"/>
      <c r="J30" s="709"/>
      <c r="K30" s="766"/>
      <c r="L30" s="467"/>
      <c r="M30" s="469"/>
      <c r="N30" s="467"/>
      <c r="O30" s="366"/>
      <c r="P30" s="366"/>
      <c r="Q30" s="366"/>
      <c r="R30" s="366"/>
    </row>
    <row r="31" spans="1:18" s="86" customFormat="1" ht="11.1" customHeight="1">
      <c r="A31" s="475"/>
      <c r="B31" s="460">
        <f t="shared" si="0"/>
        <v>4</v>
      </c>
      <c r="C31" s="17">
        <v>44042</v>
      </c>
      <c r="D31" s="22"/>
      <c r="E31" s="22">
        <f>986.5+35</f>
        <v>1021.5</v>
      </c>
      <c r="F31" s="226"/>
      <c r="G31" s="226"/>
      <c r="H31" s="741">
        <v>581.1</v>
      </c>
      <c r="I31" s="226"/>
      <c r="J31" s="910"/>
      <c r="K31" s="767"/>
      <c r="L31" s="470"/>
      <c r="M31" s="470"/>
      <c r="N31" s="470"/>
      <c r="O31" s="366"/>
      <c r="P31" s="366"/>
      <c r="Q31" s="366"/>
      <c r="R31" s="366"/>
    </row>
    <row r="32" spans="1:18" s="86" customFormat="1" ht="11.25" customHeight="1">
      <c r="A32" s="475"/>
      <c r="B32" s="460">
        <f t="shared" si="0"/>
        <v>5</v>
      </c>
      <c r="C32" s="17">
        <v>44043</v>
      </c>
      <c r="D32" s="237">
        <v>1755.6</v>
      </c>
      <c r="E32" s="237"/>
      <c r="F32" s="741"/>
      <c r="G32" s="741"/>
      <c r="H32" s="741">
        <v>448.6</v>
      </c>
      <c r="I32" s="226"/>
      <c r="J32" s="366"/>
      <c r="K32" s="470"/>
      <c r="L32" s="470"/>
      <c r="M32" s="470"/>
      <c r="N32" s="470"/>
      <c r="O32" s="145"/>
      <c r="P32" s="366"/>
      <c r="Q32" s="366"/>
      <c r="R32" s="366"/>
    </row>
    <row r="33" spans="1:24" ht="14.1" customHeight="1" thickBot="1">
      <c r="B33" s="21"/>
      <c r="C33" s="582" t="s">
        <v>225</v>
      </c>
      <c r="D33" s="248">
        <f>COUNT(D2:D32)</f>
        <v>17</v>
      </c>
      <c r="E33" s="248">
        <f>COUNT(E2:E32)</f>
        <v>12</v>
      </c>
      <c r="F33" s="248">
        <f t="shared" ref="F33:G33" si="1">COUNT(F2:F32)</f>
        <v>9</v>
      </c>
      <c r="G33" s="248">
        <f t="shared" si="1"/>
        <v>3</v>
      </c>
      <c r="H33" s="248">
        <f>COUNT(H2:H32)</f>
        <v>14</v>
      </c>
      <c r="I33" s="248">
        <f>COUNT(I2:I32)</f>
        <v>5</v>
      </c>
      <c r="K33" s="470"/>
      <c r="L33" s="470"/>
      <c r="M33" s="470"/>
      <c r="N33" s="470"/>
      <c r="O33" s="366"/>
      <c r="P33" s="366"/>
      <c r="Q33" s="366"/>
      <c r="R33" s="366"/>
    </row>
    <row r="34" spans="1:24" ht="14.1" customHeight="1" thickBot="1">
      <c r="B34" s="21"/>
      <c r="C34" s="85" t="s">
        <v>73</v>
      </c>
      <c r="D34" s="238">
        <f t="shared" ref="D34:I34" si="2">SUM(D2:D32)</f>
        <v>16988.2</v>
      </c>
      <c r="E34" s="238">
        <f t="shared" si="2"/>
        <v>11916.339999999998</v>
      </c>
      <c r="F34" s="238">
        <f t="shared" si="2"/>
        <v>5426.9999999999991</v>
      </c>
      <c r="G34" s="238">
        <f t="shared" si="2"/>
        <v>1799.8</v>
      </c>
      <c r="H34" s="238">
        <f t="shared" si="2"/>
        <v>7967.4000000000005</v>
      </c>
      <c r="I34" s="238">
        <f t="shared" si="2"/>
        <v>2785.2299999999996</v>
      </c>
      <c r="J34" s="1"/>
      <c r="K34" s="253" t="s">
        <v>189</v>
      </c>
      <c r="L34" s="292" t="s">
        <v>190</v>
      </c>
      <c r="M34" s="453" t="s">
        <v>219</v>
      </c>
      <c r="N34" s="363"/>
      <c r="O34" s="366"/>
      <c r="P34" s="366"/>
      <c r="Q34" s="366"/>
      <c r="R34" s="366"/>
    </row>
    <row r="35" spans="1:24" ht="14.1" customHeight="1" thickBot="1">
      <c r="B35" s="21"/>
      <c r="C35" s="85" t="s">
        <v>22</v>
      </c>
      <c r="D35" s="238">
        <v>14953.35</v>
      </c>
      <c r="E35" s="238">
        <v>11620.52</v>
      </c>
      <c r="F35" s="238">
        <v>5197.3</v>
      </c>
      <c r="G35" s="238">
        <v>1466</v>
      </c>
      <c r="H35" s="238">
        <v>7364.41</v>
      </c>
      <c r="I35" s="238">
        <f>1942.28-115</f>
        <v>1827.28</v>
      </c>
      <c r="J35" s="12"/>
      <c r="K35" s="292">
        <f>SUM(D17:E26)+SUM(D2:E15)+F3+F7+F8+E16+E27+D29+E28+D30+D32+E31</f>
        <v>30633.54</v>
      </c>
      <c r="L35" s="292">
        <f>SUM(G2:J26)+F2+D16+F17+F18+F24+H27+F28+F29+H30+H31+H32</f>
        <v>17170.439999999999</v>
      </c>
      <c r="M35" s="454">
        <f>SUM(K2:K32)</f>
        <v>1736.5160000000001</v>
      </c>
      <c r="N35" s="363"/>
      <c r="O35" s="366"/>
      <c r="P35" s="366"/>
      <c r="Q35" s="366"/>
      <c r="R35" s="366"/>
    </row>
    <row r="36" spans="1:24" ht="14.1" customHeight="1">
      <c r="B36" s="21"/>
      <c r="C36" s="85" t="s">
        <v>5</v>
      </c>
      <c r="D36" s="88">
        <f t="shared" ref="D36:I36" si="3">ABS(D34-D35)</f>
        <v>2034.8500000000004</v>
      </c>
      <c r="E36" s="88">
        <f t="shared" si="3"/>
        <v>295.81999999999789</v>
      </c>
      <c r="F36" s="88">
        <f t="shared" si="3"/>
        <v>229.69999999999891</v>
      </c>
      <c r="G36" s="88">
        <f t="shared" si="3"/>
        <v>333.79999999999995</v>
      </c>
      <c r="H36" s="88">
        <f t="shared" si="3"/>
        <v>602.99000000000069</v>
      </c>
      <c r="I36" s="88">
        <f t="shared" si="3"/>
        <v>957.94999999999959</v>
      </c>
      <c r="J36" s="1"/>
      <c r="K36" s="363"/>
      <c r="L36" s="363"/>
      <c r="M36" s="363"/>
      <c r="N36" s="363"/>
      <c r="O36" s="366"/>
      <c r="P36" s="366"/>
      <c r="Q36" s="366"/>
      <c r="R36" s="366"/>
    </row>
    <row r="37" spans="1:24" ht="14.1" customHeight="1">
      <c r="B37" s="21"/>
      <c r="C37" s="739" t="s">
        <v>233</v>
      </c>
      <c r="D37" s="89">
        <f t="shared" ref="D37:I37" si="4">ROUND(D36*1%,2)</f>
        <v>20.350000000000001</v>
      </c>
      <c r="E37" s="89">
        <f t="shared" si="4"/>
        <v>2.96</v>
      </c>
      <c r="F37" s="89">
        <f t="shared" si="4"/>
        <v>2.2999999999999998</v>
      </c>
      <c r="G37" s="89">
        <f t="shared" si="4"/>
        <v>3.34</v>
      </c>
      <c r="H37" s="89">
        <f t="shared" si="4"/>
        <v>6.03</v>
      </c>
      <c r="I37" s="89">
        <f t="shared" si="4"/>
        <v>9.58</v>
      </c>
      <c r="J37" s="1"/>
      <c r="K37" s="363"/>
      <c r="L37" s="363"/>
      <c r="M37" s="363"/>
      <c r="N37" s="363"/>
      <c r="O37" s="366"/>
      <c r="P37" s="366"/>
      <c r="Q37" s="366"/>
      <c r="R37" s="366"/>
    </row>
    <row r="38" spans="1:24" ht="14.1" customHeight="1">
      <c r="B38" s="21"/>
      <c r="C38" s="738" t="s">
        <v>234</v>
      </c>
      <c r="D38" s="89">
        <f t="shared" ref="D38:I38" si="5">ROUND(3%*D35,2)</f>
        <v>448.6</v>
      </c>
      <c r="E38" s="89">
        <f t="shared" si="5"/>
        <v>348.62</v>
      </c>
      <c r="F38" s="89">
        <f t="shared" si="5"/>
        <v>155.91999999999999</v>
      </c>
      <c r="G38" s="89">
        <f t="shared" si="5"/>
        <v>43.98</v>
      </c>
      <c r="H38" s="89">
        <f t="shared" si="5"/>
        <v>220.93</v>
      </c>
      <c r="I38" s="89">
        <f t="shared" si="5"/>
        <v>54.82</v>
      </c>
      <c r="J38" s="1"/>
      <c r="K38" s="145"/>
      <c r="L38" s="145"/>
      <c r="M38" s="366"/>
      <c r="N38" s="363"/>
      <c r="O38" s="366"/>
      <c r="P38" s="366"/>
      <c r="Q38" s="366"/>
      <c r="R38" s="366"/>
    </row>
    <row r="39" spans="1:24" ht="14.1" customHeight="1">
      <c r="B39" s="21"/>
      <c r="C39" s="85" t="s">
        <v>7</v>
      </c>
      <c r="D39" s="87">
        <v>50</v>
      </c>
      <c r="E39" s="87">
        <v>50</v>
      </c>
      <c r="F39" s="87"/>
      <c r="G39" s="87"/>
      <c r="H39" s="473"/>
      <c r="I39" s="473"/>
      <c r="J39" s="12"/>
      <c r="K39" s="145"/>
      <c r="L39" s="366"/>
      <c r="M39" s="366"/>
      <c r="N39" s="363"/>
      <c r="O39" s="366"/>
      <c r="P39" s="366"/>
      <c r="Q39" s="366"/>
      <c r="R39" s="366"/>
    </row>
    <row r="40" spans="1:24" ht="14.1" customHeight="1">
      <c r="B40" s="21"/>
      <c r="C40" s="85" t="s">
        <v>14</v>
      </c>
      <c r="D40" s="87">
        <f>ROUND(20*D33,2)</f>
        <v>340</v>
      </c>
      <c r="E40" s="87">
        <f>ROUND(20*E33,2)</f>
        <v>240</v>
      </c>
      <c r="F40" s="87">
        <f>(6*25)+(3*20)</f>
        <v>210</v>
      </c>
      <c r="G40" s="87">
        <f>ROUND(25*G33,2)</f>
        <v>75</v>
      </c>
      <c r="H40" s="88">
        <f>ROUND(25*H33,2)</f>
        <v>350</v>
      </c>
      <c r="I40" s="88">
        <f>ROUND(25*I33,2)</f>
        <v>125</v>
      </c>
      <c r="J40" s="8"/>
      <c r="K40" s="283"/>
      <c r="L40" s="145"/>
      <c r="M40" s="145"/>
      <c r="N40" s="363"/>
      <c r="O40" s="366"/>
      <c r="P40" s="366"/>
      <c r="Q40" s="366"/>
      <c r="R40" s="366"/>
    </row>
    <row r="41" spans="1:24" ht="14.1" customHeight="1">
      <c r="B41" s="31"/>
      <c r="C41" s="239" t="s">
        <v>94</v>
      </c>
      <c r="D41" s="18">
        <v>337.71</v>
      </c>
      <c r="E41" s="241">
        <v>180.88</v>
      </c>
      <c r="F41" s="87"/>
      <c r="G41" s="87"/>
      <c r="H41" s="87">
        <v>257.08999999999997</v>
      </c>
      <c r="I41" s="87"/>
      <c r="K41" s="145"/>
      <c r="L41" s="366"/>
      <c r="M41" s="366"/>
      <c r="N41" s="363"/>
      <c r="O41" s="366"/>
      <c r="P41" s="366"/>
      <c r="Q41" s="366"/>
      <c r="R41" s="366"/>
    </row>
    <row r="42" spans="1:24" ht="14.1" hidden="1" customHeight="1">
      <c r="B42" s="21"/>
      <c r="C42" s="242" t="s">
        <v>48</v>
      </c>
      <c r="D42" s="243"/>
      <c r="E42" s="240"/>
      <c r="F42" s="87"/>
      <c r="G42" s="87"/>
      <c r="H42" s="87"/>
      <c r="I42" s="87"/>
      <c r="J42" s="8"/>
      <c r="K42" s="283"/>
      <c r="L42" s="145"/>
      <c r="M42" s="366"/>
      <c r="N42" s="366"/>
      <c r="O42" s="366"/>
      <c r="P42" s="366"/>
      <c r="Q42" s="366"/>
      <c r="R42" s="366"/>
    </row>
    <row r="43" spans="1:24" ht="14.1" hidden="1" customHeight="1">
      <c r="B43" s="21"/>
      <c r="C43" s="795"/>
      <c r="D43" s="243"/>
      <c r="E43" s="240"/>
      <c r="F43" s="87"/>
      <c r="G43" s="87"/>
      <c r="H43" s="87"/>
      <c r="I43" s="87"/>
      <c r="J43" s="8"/>
      <c r="K43" s="283"/>
      <c r="L43" s="145"/>
      <c r="M43" s="366"/>
      <c r="N43" s="366"/>
      <c r="O43" s="366"/>
      <c r="P43" s="366"/>
      <c r="Q43" s="366"/>
      <c r="R43" s="366"/>
    </row>
    <row r="44" spans="1:24" ht="14.1" customHeight="1">
      <c r="B44" s="21"/>
      <c r="C44" s="245" t="s">
        <v>77</v>
      </c>
      <c r="D44" s="456">
        <f>D37+D38+D39+D40-D41</f>
        <v>521.24</v>
      </c>
      <c r="E44" s="456">
        <f>E37+E38+E39+E40-E41-E42</f>
        <v>460.69999999999993</v>
      </c>
      <c r="F44" s="456">
        <f>F37+F38+F40</f>
        <v>368.22</v>
      </c>
      <c r="G44" s="456">
        <f>G37+G38+G40</f>
        <v>122.32</v>
      </c>
      <c r="H44" s="456">
        <f>H37+H38+H40-H41</f>
        <v>319.87000000000006</v>
      </c>
      <c r="I44" s="456">
        <f>I37+I38+I40</f>
        <v>189.4</v>
      </c>
      <c r="J44" s="8"/>
      <c r="K44" s="145"/>
      <c r="L44" s="145"/>
      <c r="M44" s="366"/>
      <c r="N44" s="366"/>
      <c r="O44" s="366"/>
      <c r="P44" s="366"/>
      <c r="Q44" s="366"/>
      <c r="R44" s="366"/>
    </row>
    <row r="45" spans="1:24" ht="14.1" customHeight="1">
      <c r="B45" s="21"/>
      <c r="C45" s="286" t="s">
        <v>45</v>
      </c>
      <c r="D45" s="287">
        <f>D37+D38+D39+D40</f>
        <v>858.95</v>
      </c>
      <c r="E45" s="287">
        <f>E37+E38+E39+E40</f>
        <v>641.57999999999993</v>
      </c>
      <c r="F45" s="287">
        <f>F37+F38+F39+F40</f>
        <v>368.22</v>
      </c>
      <c r="G45" s="287">
        <f>G37+G38+G40</f>
        <v>122.32</v>
      </c>
      <c r="H45" s="287">
        <f>H37+H38+H40</f>
        <v>576.96</v>
      </c>
      <c r="I45" s="287">
        <f>I37+I38+I40</f>
        <v>189.4</v>
      </c>
      <c r="J45" s="8"/>
      <c r="K45" s="462"/>
      <c r="L45" s="366"/>
      <c r="M45" s="366"/>
      <c r="N45" s="366"/>
      <c r="O45" s="366"/>
      <c r="P45" s="366"/>
      <c r="Q45" s="366"/>
      <c r="R45" s="366"/>
      <c r="S45" s="1"/>
      <c r="T45" s="1"/>
      <c r="U45" s="1"/>
      <c r="V45" s="1"/>
      <c r="W45" s="1"/>
      <c r="X45" s="1"/>
    </row>
    <row r="46" spans="1:24" ht="12.95" customHeight="1">
      <c r="B46" s="21"/>
      <c r="C46" s="169"/>
      <c r="D46" s="364">
        <f>D44+E44</f>
        <v>981.93999999999994</v>
      </c>
      <c r="E46" s="462"/>
      <c r="F46" s="8"/>
      <c r="G46" s="8">
        <f>F44+G44+H44+I44</f>
        <v>999.81000000000006</v>
      </c>
      <c r="H46" s="8"/>
      <c r="I46" s="8"/>
      <c r="J46" s="8"/>
      <c r="K46" s="283"/>
      <c r="L46" s="366"/>
      <c r="M46" s="366"/>
      <c r="N46" s="366"/>
      <c r="O46" s="366"/>
      <c r="P46" s="366"/>
      <c r="Q46" s="366"/>
      <c r="R46" s="366"/>
      <c r="S46" s="1"/>
      <c r="T46" s="1"/>
      <c r="U46" s="1"/>
      <c r="V46" s="1"/>
      <c r="W46" s="1"/>
      <c r="X46" s="1"/>
    </row>
    <row r="47" spans="1:24" s="86" customFormat="1" ht="12.95" customHeight="1">
      <c r="A47" s="168"/>
      <c r="B47" s="475"/>
      <c r="C47" s="1062"/>
      <c r="D47" s="1062"/>
      <c r="E47" s="1062"/>
      <c r="F47" s="1062"/>
      <c r="G47" s="1062"/>
      <c r="H47" s="1062"/>
      <c r="I47" s="927"/>
      <c r="J47" s="168"/>
      <c r="K47" s="68"/>
      <c r="L47" s="145"/>
      <c r="M47" s="366"/>
      <c r="N47" s="366"/>
      <c r="O47" s="145"/>
      <c r="P47" s="366"/>
      <c r="Q47" s="366"/>
      <c r="R47" s="366"/>
      <c r="S47" s="366"/>
      <c r="T47" s="366"/>
      <c r="U47" s="366"/>
      <c r="V47" s="366"/>
      <c r="W47" s="366"/>
      <c r="X47" s="366"/>
    </row>
    <row r="48" spans="1:24" s="86" customFormat="1" ht="12.95" customHeight="1">
      <c r="A48" s="168"/>
      <c r="B48" s="475"/>
      <c r="C48" s="366"/>
      <c r="D48" s="145"/>
      <c r="E48" s="145" t="s">
        <v>381</v>
      </c>
      <c r="F48" s="168"/>
      <c r="G48" s="168"/>
      <c r="H48" s="168"/>
      <c r="I48" s="168"/>
      <c r="J48" s="168"/>
      <c r="K48" s="72"/>
      <c r="L48" s="366"/>
      <c r="M48" s="366"/>
      <c r="N48" s="366"/>
      <c r="O48" s="145"/>
      <c r="P48" s="366"/>
      <c r="Q48" s="366"/>
      <c r="R48" s="366"/>
      <c r="S48" s="366"/>
      <c r="T48" s="366"/>
      <c r="U48" s="366"/>
      <c r="V48" s="366"/>
      <c r="W48" s="366"/>
      <c r="X48" s="366"/>
    </row>
    <row r="49" spans="1:24" ht="12.95" customHeight="1">
      <c r="B49" s="32"/>
      <c r="C49" s="1"/>
      <c r="D49" s="1"/>
      <c r="E49" s="127"/>
      <c r="H49" s="8"/>
      <c r="I49" s="8"/>
      <c r="J49" s="207"/>
      <c r="K49" s="68"/>
      <c r="L49" s="366"/>
      <c r="M49" s="366"/>
      <c r="N49" s="366"/>
      <c r="O49" s="366"/>
      <c r="P49" s="366"/>
      <c r="Q49" s="366"/>
      <c r="R49" s="366"/>
      <c r="S49" s="1"/>
      <c r="T49" s="1"/>
      <c r="U49" s="1"/>
      <c r="V49" s="1"/>
      <c r="W49" s="1"/>
      <c r="X49" s="1"/>
    </row>
    <row r="50" spans="1:24" s="86" customFormat="1" ht="12.95" customHeight="1">
      <c r="B50" s="517"/>
      <c r="C50" s="518"/>
      <c r="D50" s="518"/>
      <c r="E50" s="518"/>
      <c r="F50" s="518"/>
      <c r="G50" s="518"/>
      <c r="H50" s="518"/>
      <c r="I50" s="518"/>
      <c r="J50" s="519"/>
      <c r="K50" s="801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X50" s="366"/>
    </row>
    <row r="51" spans="1:24" s="86" customFormat="1" ht="12.95" customHeight="1">
      <c r="C51" s="518"/>
      <c r="D51" s="518"/>
      <c r="E51" s="550"/>
      <c r="F51" s="550"/>
      <c r="G51" s="550"/>
      <c r="H51" s="518"/>
      <c r="I51" s="518"/>
      <c r="J51" s="168"/>
      <c r="K51" s="551"/>
      <c r="L51" s="518"/>
      <c r="M51" s="518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</row>
    <row r="52" spans="1:24" s="86" customFormat="1" ht="12" customHeight="1">
      <c r="A52" s="366"/>
      <c r="B52" s="366"/>
      <c r="C52" s="518"/>
      <c r="D52" s="518"/>
      <c r="E52" s="550"/>
      <c r="F52" s="550"/>
      <c r="G52" s="550"/>
      <c r="H52" s="518"/>
      <c r="I52" s="518"/>
      <c r="J52" s="519"/>
      <c r="K52" s="518"/>
      <c r="L52" s="518"/>
      <c r="M52" s="518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4" s="86" customFormat="1" ht="18.75">
      <c r="A53" s="366"/>
      <c r="B53" s="366"/>
      <c r="C53" s="366"/>
      <c r="D53" s="366"/>
      <c r="E53" s="144"/>
      <c r="J53" s="519"/>
      <c r="K53" s="518"/>
      <c r="L53" s="518"/>
      <c r="M53" s="518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</row>
    <row r="54" spans="1:24" s="86" customFormat="1">
      <c r="A54" s="366"/>
      <c r="B54" s="366"/>
      <c r="C54" s="366"/>
      <c r="D54" s="366"/>
      <c r="E54" s="144"/>
      <c r="K54" s="143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</row>
    <row r="55" spans="1:24" s="86" customFormat="1" ht="15" customHeight="1">
      <c r="A55" s="366"/>
      <c r="B55" s="366"/>
      <c r="C55" s="366"/>
      <c r="D55" s="366"/>
      <c r="E55" s="144"/>
      <c r="J55" s="550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</row>
    <row r="56" spans="1:24" s="86" customFormat="1" ht="15" customHeight="1">
      <c r="A56" s="366"/>
      <c r="B56" s="366"/>
      <c r="C56" s="366"/>
      <c r="D56" s="366"/>
      <c r="E56" s="144"/>
      <c r="J56" s="550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</row>
    <row r="57" spans="1:24" s="86" customFormat="1" ht="15" customHeight="1">
      <c r="A57" s="366"/>
      <c r="B57" s="366"/>
      <c r="C57" s="366"/>
      <c r="D57" s="366"/>
      <c r="E57" s="144"/>
      <c r="J57" s="550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</row>
    <row r="58" spans="1:24" s="86" customFormat="1">
      <c r="A58" s="366"/>
      <c r="B58" s="366"/>
      <c r="C58" s="366"/>
      <c r="D58" s="366"/>
      <c r="E58" s="144"/>
      <c r="J58" s="168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</row>
    <row r="59" spans="1:24" s="86" customFormat="1">
      <c r="A59" s="366"/>
      <c r="B59" s="366"/>
      <c r="C59" s="366"/>
      <c r="D59" s="366"/>
      <c r="E59" s="144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</row>
    <row r="60" spans="1:24" s="86" customFormat="1">
      <c r="A60" s="366"/>
      <c r="B60" s="366"/>
      <c r="C60" s="366"/>
      <c r="D60" s="366"/>
      <c r="E60" s="144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</row>
    <row r="61" spans="1:24" s="86" customFormat="1">
      <c r="A61" s="366"/>
      <c r="B61" s="366"/>
      <c r="C61" s="366"/>
      <c r="D61" s="366"/>
      <c r="E61" s="144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</row>
    <row r="62" spans="1:24" s="86" customFormat="1">
      <c r="A62" s="366"/>
      <c r="B62" s="366"/>
      <c r="C62" s="366"/>
      <c r="D62" s="366"/>
      <c r="E62" s="144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</row>
    <row r="63" spans="1:24">
      <c r="A63" s="1"/>
      <c r="B63" s="1"/>
      <c r="C63" s="1"/>
      <c r="D63" s="1"/>
      <c r="E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1"/>
      <c r="D67" s="1"/>
      <c r="E67" s="11"/>
    </row>
    <row r="68" spans="1:24">
      <c r="A68" s="1"/>
      <c r="B68" s="1"/>
      <c r="C68" s="1"/>
      <c r="D68" s="1"/>
      <c r="E68" s="11"/>
    </row>
    <row r="69" spans="1:24">
      <c r="A69" s="1"/>
      <c r="B69" s="1"/>
      <c r="C69" s="1"/>
      <c r="D69" s="1"/>
      <c r="E69" s="11"/>
    </row>
    <row r="70" spans="1:24">
      <c r="A70" s="1"/>
      <c r="B70" s="1"/>
      <c r="C70" s="1"/>
      <c r="D70" s="1"/>
      <c r="E70" s="11"/>
    </row>
    <row r="71" spans="1:24">
      <c r="A71" s="1"/>
      <c r="B71" s="1"/>
      <c r="C71" s="1"/>
      <c r="D71" s="1"/>
      <c r="E71" s="11"/>
    </row>
    <row r="72" spans="1:24">
      <c r="A72" s="1"/>
      <c r="B72" s="1"/>
      <c r="C72" s="1"/>
      <c r="D72" s="1"/>
      <c r="E72" s="11"/>
    </row>
    <row r="73" spans="1:24">
      <c r="A73" s="1"/>
      <c r="B73" s="1"/>
      <c r="C73" s="1"/>
      <c r="D73" s="1"/>
      <c r="E73" s="11"/>
    </row>
    <row r="74" spans="1:24">
      <c r="A74" s="1"/>
      <c r="B74" s="1"/>
      <c r="C74" s="1"/>
      <c r="D74" s="1"/>
      <c r="E74" s="11"/>
    </row>
    <row r="75" spans="1:24">
      <c r="A75" s="1"/>
      <c r="B75" s="1"/>
      <c r="C75" s="1"/>
      <c r="D75" s="1"/>
      <c r="E75" s="11"/>
    </row>
    <row r="76" spans="1:24">
      <c r="A76" s="1"/>
      <c r="B76" s="1"/>
      <c r="C76" s="1"/>
      <c r="D76" s="1"/>
      <c r="E76" s="11"/>
    </row>
    <row r="77" spans="1:24">
      <c r="A77" s="1"/>
      <c r="B77" s="1"/>
      <c r="C77" s="1"/>
      <c r="D77" s="1"/>
      <c r="E77" s="11"/>
    </row>
    <row r="78" spans="1:24">
      <c r="A78" s="1"/>
      <c r="B78" s="1"/>
      <c r="C78" s="1"/>
      <c r="D78" s="1"/>
      <c r="E78" s="11"/>
    </row>
    <row r="79" spans="1:24">
      <c r="A79" s="1"/>
      <c r="B79" s="1"/>
      <c r="C79" s="1"/>
      <c r="D79" s="1"/>
      <c r="E79" s="11"/>
    </row>
    <row r="80" spans="1:24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">
    <mergeCell ref="C47:H47"/>
  </mergeCells>
  <conditionalFormatting sqref="F32:I32 B2:I2 F4:I4 D26:G26 D5:I15 D29:I29 D31:I31 H30:I30 D30:E30 F16:I16 D16 D28:G28 E27:G27 B3:C32 D3:I3 D4 D17:I25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2"/>
  <sheetViews>
    <sheetView tabSelected="1" topLeftCell="A28" zoomScale="70" zoomScaleNormal="70" zoomScaleSheetLayoutView="70" zoomScalePageLayoutView="70" workbookViewId="0">
      <selection activeCell="R37" sqref="R37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082" t="s">
        <v>377</v>
      </c>
      <c r="B1" s="1082"/>
      <c r="C1" s="1082"/>
      <c r="D1" s="1082"/>
      <c r="E1" s="1082"/>
      <c r="F1" s="1082"/>
      <c r="G1" s="1082"/>
      <c r="H1" s="1082"/>
      <c r="I1" s="1082"/>
      <c r="J1" s="1082"/>
      <c r="K1" s="1082"/>
      <c r="L1" s="1082"/>
      <c r="M1" s="1082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083"/>
      <c r="B2" s="1083"/>
      <c r="C2" s="1083"/>
      <c r="D2" s="1083"/>
      <c r="E2" s="1083"/>
      <c r="F2" s="1083"/>
      <c r="G2" s="1083"/>
      <c r="H2" s="1083"/>
      <c r="I2" s="1083"/>
      <c r="J2" s="1083"/>
      <c r="K2" s="1083"/>
      <c r="L2" s="1083"/>
      <c r="M2" s="1083"/>
      <c r="N2" s="935"/>
      <c r="O2" s="936"/>
      <c r="P2" s="936"/>
      <c r="Q2" s="936"/>
      <c r="R2" s="366"/>
      <c r="S2" s="936"/>
      <c r="T2" s="936"/>
      <c r="U2" s="93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91" t="s">
        <v>346</v>
      </c>
      <c r="B3" s="1037"/>
      <c r="C3" s="1037"/>
      <c r="D3" s="1037"/>
      <c r="E3" s="1037"/>
      <c r="F3" s="1037"/>
      <c r="G3" s="1038"/>
      <c r="H3" s="1121" t="s">
        <v>345</v>
      </c>
      <c r="I3" s="1122"/>
      <c r="J3" s="1122"/>
      <c r="K3" s="1122"/>
      <c r="L3" s="1122"/>
      <c r="M3" s="1123"/>
      <c r="N3" s="935"/>
      <c r="O3" s="366"/>
      <c r="P3" s="366"/>
      <c r="Q3" s="366"/>
      <c r="R3" s="366"/>
      <c r="S3" s="366"/>
      <c r="T3" s="366"/>
      <c r="U3" s="366"/>
      <c r="V3" s="936"/>
      <c r="W3" s="936"/>
      <c r="X3" s="366"/>
      <c r="Y3" s="936"/>
      <c r="Z3" s="668"/>
      <c r="AA3" s="366"/>
      <c r="AB3" s="366"/>
      <c r="AC3" s="366"/>
      <c r="AD3" s="936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929" t="s">
        <v>34</v>
      </c>
      <c r="C4" s="36" t="s">
        <v>35</v>
      </c>
      <c r="D4" s="36" t="s">
        <v>38</v>
      </c>
      <c r="E4" s="36" t="s">
        <v>42</v>
      </c>
      <c r="F4" s="929" t="s">
        <v>36</v>
      </c>
      <c r="G4" s="100" t="s">
        <v>173</v>
      </c>
      <c r="H4" s="715" t="s">
        <v>2</v>
      </c>
      <c r="I4" s="1105" t="s">
        <v>34</v>
      </c>
      <c r="J4" s="1105"/>
      <c r="K4" s="940" t="s">
        <v>35</v>
      </c>
      <c r="L4" s="1124" t="s">
        <v>173</v>
      </c>
      <c r="M4" s="1125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44046</v>
      </c>
      <c r="B5" s="464" t="s">
        <v>397</v>
      </c>
      <c r="C5" s="275">
        <v>193.8</v>
      </c>
      <c r="D5" s="275">
        <v>193.8</v>
      </c>
      <c r="E5" s="576" t="str">
        <f t="shared" ref="E5:E19" si="0">IF(C5-D5=0,"",C5-D5)</f>
        <v/>
      </c>
      <c r="F5" s="162" t="str">
        <f t="shared" ref="F5:F19" si="1">IF(C5=0,"",IF(C5-D5=0,"оплачено","ОЖИДАЕТСЯ оплата"))</f>
        <v>оплачено</v>
      </c>
      <c r="G5" s="162" t="s">
        <v>398</v>
      </c>
      <c r="H5" s="717"/>
      <c r="I5" s="1115"/>
      <c r="J5" s="1116"/>
      <c r="K5" s="481"/>
      <c r="L5" s="1117"/>
      <c r="M5" s="1118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44046</v>
      </c>
      <c r="B6" s="920" t="s">
        <v>256</v>
      </c>
      <c r="C6" s="275">
        <v>280.32</v>
      </c>
      <c r="D6" s="275">
        <v>280.32</v>
      </c>
      <c r="E6" s="576" t="str">
        <f t="shared" si="0"/>
        <v/>
      </c>
      <c r="F6" s="162" t="str">
        <f t="shared" si="1"/>
        <v>оплачено</v>
      </c>
      <c r="G6" s="162" t="s">
        <v>398</v>
      </c>
      <c r="H6" s="717"/>
      <c r="I6" s="1115"/>
      <c r="J6" s="1116"/>
      <c r="K6" s="481"/>
      <c r="L6" s="1117"/>
      <c r="M6" s="1118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62"/>
      <c r="AG6" s="1062"/>
      <c r="AH6" s="366"/>
      <c r="AI6" s="366"/>
    </row>
    <row r="7" spans="1:35" s="86" customFormat="1">
      <c r="A7" s="325"/>
      <c r="B7" s="161"/>
      <c r="C7" s="275"/>
      <c r="D7" s="275"/>
      <c r="E7" s="576" t="str">
        <f t="shared" si="0"/>
        <v/>
      </c>
      <c r="F7" s="162" t="str">
        <f t="shared" si="1"/>
        <v/>
      </c>
      <c r="G7" s="161"/>
      <c r="H7" s="717"/>
      <c r="I7" s="1115"/>
      <c r="J7" s="1116"/>
      <c r="K7" s="481"/>
      <c r="L7" s="1119"/>
      <c r="M7" s="1120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62"/>
      <c r="AG7" s="1062"/>
      <c r="AH7" s="366"/>
      <c r="AI7" s="366"/>
    </row>
    <row r="8" spans="1:35" s="86" customFormat="1">
      <c r="A8" s="325"/>
      <c r="B8" s="161"/>
      <c r="C8" s="275"/>
      <c r="D8" s="275"/>
      <c r="E8" s="576" t="str">
        <f t="shared" si="0"/>
        <v/>
      </c>
      <c r="F8" s="162" t="str">
        <f t="shared" si="1"/>
        <v/>
      </c>
      <c r="G8" s="161"/>
      <c r="H8" s="717"/>
      <c r="I8" s="1115"/>
      <c r="J8" s="1116"/>
      <c r="K8" s="481"/>
      <c r="L8" s="1119"/>
      <c r="M8" s="1120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/>
      <c r="B9" s="161"/>
      <c r="C9" s="275"/>
      <c r="D9" s="275"/>
      <c r="E9" s="576" t="str">
        <f t="shared" si="0"/>
        <v/>
      </c>
      <c r="F9" s="162" t="str">
        <f t="shared" si="1"/>
        <v/>
      </c>
      <c r="G9" s="161"/>
      <c r="H9" s="717"/>
      <c r="I9" s="1115"/>
      <c r="J9" s="1116"/>
      <c r="K9" s="481"/>
      <c r="L9" s="1119"/>
      <c r="M9" s="1120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1"/>
      <c r="H10" s="717"/>
      <c r="I10" s="1115"/>
      <c r="J10" s="1116"/>
      <c r="K10" s="481"/>
      <c r="L10" s="1119"/>
      <c r="M10" s="1120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1"/>
      <c r="H11" s="717"/>
      <c r="I11" s="1115"/>
      <c r="J11" s="1116"/>
      <c r="K11" s="481"/>
      <c r="L11" s="1054"/>
      <c r="M11" s="1112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1"/>
      <c r="H12" s="717"/>
      <c r="I12" s="1115"/>
      <c r="J12" s="1116"/>
      <c r="K12" s="481"/>
      <c r="L12" s="1054"/>
      <c r="M12" s="1112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115"/>
      <c r="J13" s="1116"/>
      <c r="K13" s="481"/>
      <c r="L13" s="1054"/>
      <c r="M13" s="1112"/>
      <c r="N13" s="805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115"/>
      <c r="J14" s="1116"/>
      <c r="K14" s="481"/>
      <c r="L14" s="1054"/>
      <c r="M14" s="1112"/>
      <c r="N14" s="805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115"/>
      <c r="J15" s="1116"/>
      <c r="K15" s="481"/>
      <c r="L15" s="1054"/>
      <c r="M15" s="1112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115"/>
      <c r="J16" s="1116"/>
      <c r="K16" s="481"/>
      <c r="L16" s="1054"/>
      <c r="M16" s="1112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115"/>
      <c r="J17" s="1116"/>
      <c r="K17" s="481"/>
      <c r="L17" s="1054"/>
      <c r="M17" s="1112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115"/>
      <c r="J18" s="1116"/>
      <c r="K18" s="481"/>
      <c r="L18" s="1054"/>
      <c r="M18" s="1112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115"/>
      <c r="J19" s="1116"/>
      <c r="K19" s="481"/>
      <c r="L19" s="1054"/>
      <c r="M19" s="1112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092" t="s">
        <v>259</v>
      </c>
      <c r="B20" s="1093"/>
      <c r="C20" s="358">
        <f>SUM(C5:C19)</f>
        <v>474.12</v>
      </c>
      <c r="D20" s="358"/>
      <c r="E20" s="160">
        <f>SUM(E5:E19)</f>
        <v>0</v>
      </c>
      <c r="F20" s="162"/>
      <c r="G20" s="451"/>
      <c r="H20" s="1109" t="s">
        <v>259</v>
      </c>
      <c r="I20" s="1110"/>
      <c r="J20" s="1111"/>
      <c r="K20" s="716">
        <f>SUM(K5:K19)</f>
        <v>0</v>
      </c>
      <c r="L20" s="1113"/>
      <c r="M20" s="1114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39" t="s">
        <v>16</v>
      </c>
      <c r="I21" s="1041" t="s">
        <v>17</v>
      </c>
      <c r="J21" s="1041" t="s">
        <v>21</v>
      </c>
      <c r="K21" s="1041"/>
      <c r="L21" s="1043" t="s">
        <v>93</v>
      </c>
      <c r="M21" s="1045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040"/>
      <c r="I22" s="1042"/>
      <c r="J22" s="934" t="s">
        <v>21</v>
      </c>
      <c r="K22" s="934" t="s">
        <v>25</v>
      </c>
      <c r="L22" s="1044"/>
      <c r="M22" s="1046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189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9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9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127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127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127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19</v>
      </c>
      <c r="I33" s="661">
        <v>30633.54</v>
      </c>
      <c r="J33" s="648">
        <f>683.5+334+464+170+683+481.8+6+10.7+13.8+41+118+117+465+44+368+1461+19</f>
        <v>5479.8</v>
      </c>
      <c r="K33" s="649">
        <f>689.7-8.2+443.53+123.5</f>
        <v>1248.53</v>
      </c>
      <c r="L33" s="649">
        <f>3415+3104+1150+110+686+349+240+4147+832+143+14+35+229.3+405+795+50+78+216+90+880+333+402+165+132+723.5+865+389+1295+4036+112+5+243+1450+2280+195+374.5+2153+1258+713+1432.5+210+160+1560+35+657+272</f>
        <v>38418.800000000003</v>
      </c>
      <c r="M33" s="104">
        <f>M32-I33-J33-K33+L33</f>
        <v>69125.030000000013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1023" t="s">
        <v>36</v>
      </c>
      <c r="I34" s="1025" t="s">
        <v>178</v>
      </c>
      <c r="J34" s="1026"/>
      <c r="K34" s="1027"/>
      <c r="L34" s="1031" t="s">
        <v>159</v>
      </c>
      <c r="M34" s="1031"/>
      <c r="N34" s="786" t="s">
        <v>370</v>
      </c>
      <c r="O34" s="127"/>
      <c r="P34" s="84"/>
      <c r="Q34" s="145"/>
      <c r="R34" s="145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1024"/>
      <c r="I35" s="1028"/>
      <c r="J35" s="1029"/>
      <c r="K35" s="1030"/>
      <c r="L35" s="1033"/>
      <c r="M35" s="1033"/>
      <c r="N35" s="787" t="s">
        <v>189</v>
      </c>
      <c r="O35" s="127"/>
      <c r="P35" s="84"/>
      <c r="Q35" s="145"/>
      <c r="R35" s="84"/>
      <c r="S35" s="86"/>
      <c r="T35" s="86"/>
      <c r="U35" s="86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1102" t="s">
        <v>47</v>
      </c>
      <c r="J36" s="1102"/>
      <c r="K36" s="940">
        <v>328.13</v>
      </c>
      <c r="L36" s="282">
        <v>44027</v>
      </c>
      <c r="M36" s="1" t="s">
        <v>41</v>
      </c>
      <c r="N36" s="788">
        <v>132</v>
      </c>
      <c r="O36" s="127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1100" t="s">
        <v>51</v>
      </c>
      <c r="J37" s="1100"/>
      <c r="K37" s="939">
        <v>71.83</v>
      </c>
      <c r="L37" s="282">
        <v>44027</v>
      </c>
      <c r="M37" s="1" t="s">
        <v>41</v>
      </c>
      <c r="N37" s="789">
        <v>40</v>
      </c>
      <c r="O37" s="127"/>
      <c r="P37" s="84"/>
      <c r="Q37" s="145"/>
      <c r="R37" s="273"/>
      <c r="S37" s="366"/>
      <c r="T37" s="86"/>
      <c r="U37" s="86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1100" t="s">
        <v>52</v>
      </c>
      <c r="J38" s="1100"/>
      <c r="K38" s="939">
        <v>5.63</v>
      </c>
      <c r="L38" s="282">
        <v>44027</v>
      </c>
      <c r="M38" s="1" t="s">
        <v>41</v>
      </c>
      <c r="N38" s="789">
        <v>3</v>
      </c>
      <c r="O38" s="127"/>
      <c r="P38" s="84"/>
      <c r="Q38" s="145"/>
      <c r="R38" s="273"/>
      <c r="S38" s="366"/>
      <c r="T38" s="294"/>
      <c r="U38" s="8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782"/>
      <c r="I39" s="1100" t="s">
        <v>49</v>
      </c>
      <c r="J39" s="1100"/>
      <c r="K39" s="939">
        <v>314</v>
      </c>
      <c r="L39" s="783" t="s">
        <v>367</v>
      </c>
      <c r="M39" s="1" t="s">
        <v>380</v>
      </c>
      <c r="N39" s="788">
        <v>200</v>
      </c>
      <c r="O39" s="127"/>
      <c r="P39" s="1130"/>
      <c r="Q39" s="366"/>
      <c r="R39" s="936"/>
      <c r="S39" s="366"/>
      <c r="T39" s="294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/>
      <c r="I40" s="1101" t="s">
        <v>59</v>
      </c>
      <c r="J40" s="1101"/>
      <c r="K40" s="941">
        <v>616.54</v>
      </c>
      <c r="L40" s="302" t="s">
        <v>177</v>
      </c>
      <c r="M40" s="1" t="s">
        <v>41</v>
      </c>
      <c r="N40" s="790">
        <v>102.73</v>
      </c>
      <c r="O40" s="127"/>
      <c r="P40" s="685"/>
      <c r="Q40" s="449"/>
      <c r="R40" s="567"/>
      <c r="S40" s="366"/>
      <c r="T40" s="294"/>
      <c r="U40" s="86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/>
      <c r="I41" s="1089" t="s">
        <v>68</v>
      </c>
      <c r="J41" s="1090"/>
      <c r="K41" s="939">
        <v>247.69</v>
      </c>
      <c r="L41" s="282">
        <v>44032</v>
      </c>
      <c r="M41" s="1" t="s">
        <v>41</v>
      </c>
      <c r="N41" s="790">
        <f>K41/2</f>
        <v>123.845</v>
      </c>
      <c r="O41" s="127"/>
      <c r="P41" s="682"/>
      <c r="Q41" s="936"/>
      <c r="R41" s="936"/>
      <c r="S41" s="366"/>
      <c r="T41" s="366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937" t="s">
        <v>174</v>
      </c>
      <c r="J42" s="938"/>
      <c r="K42" s="476">
        <f>337.71+180.88</f>
        <v>518.58999999999992</v>
      </c>
      <c r="L42" s="282">
        <v>44027</v>
      </c>
      <c r="M42" s="1" t="s">
        <v>41</v>
      </c>
      <c r="N42" s="791">
        <f>K42</f>
        <v>518.58999999999992</v>
      </c>
      <c r="O42" s="12"/>
      <c r="P42" s="682"/>
      <c r="Q42" s="936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937" t="s">
        <v>176</v>
      </c>
      <c r="J43" s="938"/>
      <c r="K43" s="939">
        <v>434.07</v>
      </c>
      <c r="L43" s="282">
        <v>44032</v>
      </c>
      <c r="M43" s="1" t="s">
        <v>41</v>
      </c>
      <c r="N43" s="789">
        <f>K43</f>
        <v>434.07</v>
      </c>
      <c r="O43" s="127"/>
      <c r="P43" s="449"/>
      <c r="Q43" s="936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089" t="s">
        <v>81</v>
      </c>
      <c r="J44" s="1090"/>
      <c r="K44" s="939">
        <f>737.52*2</f>
        <v>1475.04</v>
      </c>
      <c r="L44" s="282">
        <v>44027</v>
      </c>
      <c r="M44" s="1" t="s">
        <v>41</v>
      </c>
      <c r="N44" s="789">
        <f>K44/2</f>
        <v>737.52</v>
      </c>
      <c r="O44" s="145"/>
      <c r="P44" s="84"/>
      <c r="Q44" s="84"/>
      <c r="R44" s="84"/>
      <c r="S44" s="84"/>
      <c r="T44" s="294"/>
      <c r="U44" s="366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367</v>
      </c>
      <c r="I45" s="1089" t="s">
        <v>181</v>
      </c>
      <c r="J45" s="1090"/>
      <c r="K45" s="939">
        <v>10</v>
      </c>
      <c r="L45" s="282">
        <v>44027</v>
      </c>
      <c r="M45" s="1" t="s">
        <v>41</v>
      </c>
      <c r="N45" s="791">
        <f>K45</f>
        <v>10</v>
      </c>
      <c r="O45" s="127"/>
      <c r="P45" s="145"/>
      <c r="Q45" s="936"/>
      <c r="R45" s="366"/>
      <c r="S45" s="366"/>
      <c r="T45" s="294"/>
      <c r="U45" s="294"/>
      <c r="V45" s="366"/>
      <c r="W45" s="294"/>
      <c r="X45" s="294"/>
      <c r="Y45" s="366"/>
    </row>
    <row r="46" spans="1:26">
      <c r="A46" s="340" t="s">
        <v>343</v>
      </c>
      <c r="B46" s="199"/>
      <c r="C46" s="366"/>
      <c r="D46" s="273"/>
      <c r="E46" s="232"/>
      <c r="F46" s="366"/>
      <c r="G46" s="366"/>
      <c r="H46" s="529"/>
      <c r="I46" s="1017" t="s">
        <v>61</v>
      </c>
      <c r="J46" s="1017"/>
      <c r="K46" s="93">
        <v>1275.26</v>
      </c>
      <c r="L46" s="282">
        <v>44032</v>
      </c>
      <c r="M46" s="1" t="s">
        <v>41</v>
      </c>
      <c r="N46" s="789"/>
      <c r="P46" s="449"/>
      <c r="Q46" s="365"/>
      <c r="R46" s="365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/>
      <c r="I47" s="1017" t="s">
        <v>298</v>
      </c>
      <c r="J47" s="1017"/>
      <c r="K47" s="93">
        <v>73</v>
      </c>
      <c r="L47" s="282">
        <v>44032</v>
      </c>
      <c r="M47" s="1" t="s">
        <v>41</v>
      </c>
      <c r="N47" s="788">
        <v>40</v>
      </c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017" t="s">
        <v>299</v>
      </c>
      <c r="J48" s="1017"/>
      <c r="K48" s="93">
        <v>50</v>
      </c>
      <c r="L48" s="282">
        <v>44027</v>
      </c>
      <c r="M48" s="1" t="s">
        <v>41</v>
      </c>
      <c r="N48" s="789">
        <v>50</v>
      </c>
      <c r="P48" s="145"/>
      <c r="Q48" s="273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/>
      <c r="I49" s="1017" t="s">
        <v>300</v>
      </c>
      <c r="J49" s="1017"/>
      <c r="K49" s="93">
        <v>150</v>
      </c>
      <c r="L49" s="282">
        <v>44042</v>
      </c>
      <c r="M49" s="1" t="s">
        <v>41</v>
      </c>
      <c r="N49" s="789">
        <v>150</v>
      </c>
      <c r="O49" s="12"/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017" t="s">
        <v>325</v>
      </c>
      <c r="J50" s="1017"/>
      <c r="K50" s="93">
        <v>18</v>
      </c>
      <c r="L50" s="282">
        <v>44027</v>
      </c>
      <c r="M50" s="1" t="s">
        <v>41</v>
      </c>
      <c r="N50" s="790">
        <v>9</v>
      </c>
      <c r="O50" s="150"/>
      <c r="P50" s="145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/>
      <c r="I51" s="1021" t="s">
        <v>374</v>
      </c>
      <c r="J51" s="1022"/>
      <c r="K51" s="93">
        <v>1000</v>
      </c>
      <c r="L51" s="282">
        <v>44042</v>
      </c>
      <c r="M51" s="1" t="s">
        <v>104</v>
      </c>
      <c r="N51" s="810">
        <f>K51</f>
        <v>1000</v>
      </c>
      <c r="O51" s="150"/>
      <c r="P51" s="145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28" t="s">
        <v>179</v>
      </c>
      <c r="I52" s="1108"/>
      <c r="J52" s="361">
        <f>SUM(K36:K51)</f>
        <v>6587.78</v>
      </c>
      <c r="K52" s="1018" t="s">
        <v>180</v>
      </c>
      <c r="L52" s="1018"/>
      <c r="M52" s="785">
        <v>0</v>
      </c>
      <c r="N52" s="792">
        <f>SUM(N36:N51)</f>
        <v>3550.7550000000001</v>
      </c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081"/>
      <c r="I53" s="1081"/>
      <c r="J53" s="1081"/>
      <c r="K53" s="1081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082" t="s">
        <v>378</v>
      </c>
      <c r="B54" s="1082"/>
      <c r="C54" s="1082"/>
      <c r="D54" s="1082"/>
      <c r="E54" s="1082"/>
      <c r="F54" s="1082"/>
      <c r="G54" s="1082"/>
      <c r="H54" s="1082"/>
      <c r="I54" s="1082"/>
      <c r="J54" s="1082"/>
      <c r="K54" s="1082"/>
      <c r="L54" s="1082"/>
      <c r="M54" s="1082"/>
      <c r="N54" s="1"/>
      <c r="O54" s="150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083"/>
      <c r="B55" s="1083"/>
      <c r="C55" s="1083"/>
      <c r="D55" s="1083"/>
      <c r="E55" s="1083"/>
      <c r="F55" s="1083"/>
      <c r="G55" s="1083"/>
      <c r="H55" s="1083"/>
      <c r="I55" s="1083"/>
      <c r="J55" s="1083"/>
      <c r="K55" s="1083"/>
      <c r="L55" s="1083"/>
      <c r="M55" s="1083"/>
      <c r="N55" s="1"/>
      <c r="P55" s="449"/>
      <c r="Q55" s="365"/>
      <c r="R55" s="365"/>
      <c r="S55" s="936"/>
      <c r="T55" s="366"/>
      <c r="U55" s="366"/>
      <c r="V55" s="366"/>
      <c r="W55" s="366"/>
      <c r="X55" s="366"/>
    </row>
    <row r="56" spans="1:25" ht="15.75" thickTop="1">
      <c r="A56" s="1091" t="s">
        <v>346</v>
      </c>
      <c r="B56" s="1037"/>
      <c r="C56" s="1037"/>
      <c r="D56" s="1037"/>
      <c r="E56" s="1037"/>
      <c r="F56" s="1037"/>
      <c r="G56" s="1038"/>
      <c r="H56" s="1121" t="s">
        <v>345</v>
      </c>
      <c r="I56" s="1122"/>
      <c r="J56" s="1122"/>
      <c r="K56" s="1122"/>
      <c r="L56" s="1122"/>
      <c r="M56" s="1123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929" t="s">
        <v>34</v>
      </c>
      <c r="C57" s="36" t="s">
        <v>35</v>
      </c>
      <c r="D57" s="36" t="s">
        <v>38</v>
      </c>
      <c r="E57" s="36" t="s">
        <v>42</v>
      </c>
      <c r="F57" s="929" t="s">
        <v>36</v>
      </c>
      <c r="G57" s="100" t="s">
        <v>173</v>
      </c>
      <c r="H57" s="715" t="s">
        <v>2</v>
      </c>
      <c r="I57" s="1105" t="s">
        <v>34</v>
      </c>
      <c r="J57" s="1105"/>
      <c r="K57" s="940" t="s">
        <v>35</v>
      </c>
      <c r="L57" s="1124" t="s">
        <v>173</v>
      </c>
      <c r="M57" s="1125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44047</v>
      </c>
      <c r="B58" s="161" t="s">
        <v>396</v>
      </c>
      <c r="C58" s="275">
        <v>524.33000000000004</v>
      </c>
      <c r="D58" s="275"/>
      <c r="E58" s="576">
        <f>IF(C58-D58=0,"",C58-D58)</f>
        <v>524.33000000000004</v>
      </c>
      <c r="F58" s="162" t="str">
        <f t="shared" ref="F58:F73" si="3">IF(C58=0,"",IF(C58-D58=0,"оплачено","ОЖИДАЕТСЯ оплата"))</f>
        <v>ОЖИДАЕТСЯ оплата</v>
      </c>
      <c r="G58" s="162" t="s">
        <v>398</v>
      </c>
      <c r="H58" s="325"/>
      <c r="I58" s="1115"/>
      <c r="J58" s="1116"/>
      <c r="K58" s="481"/>
      <c r="L58" s="1117"/>
      <c r="M58" s="1118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44046</v>
      </c>
      <c r="B59" s="464" t="s">
        <v>397</v>
      </c>
      <c r="C59" s="275">
        <v>206.29</v>
      </c>
      <c r="D59" s="275">
        <v>206.29</v>
      </c>
      <c r="E59" s="576" t="str">
        <f t="shared" ref="E59:E73" si="4">IF(C59-D59=0,"",C59-D59)</f>
        <v/>
      </c>
      <c r="F59" s="162" t="str">
        <f t="shared" si="3"/>
        <v>оплачено</v>
      </c>
      <c r="G59" s="162" t="s">
        <v>398</v>
      </c>
      <c r="H59" s="717"/>
      <c r="I59" s="1115"/>
      <c r="J59" s="1116"/>
      <c r="K59" s="481"/>
      <c r="L59" s="1117"/>
      <c r="M59" s="1118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44046</v>
      </c>
      <c r="B60" s="920" t="s">
        <v>256</v>
      </c>
      <c r="C60" s="275">
        <v>179.7</v>
      </c>
      <c r="D60" s="275">
        <v>179.7</v>
      </c>
      <c r="E60" s="576" t="str">
        <f t="shared" si="4"/>
        <v/>
      </c>
      <c r="F60" s="162" t="str">
        <f t="shared" si="3"/>
        <v>оплачено</v>
      </c>
      <c r="G60" s="162" t="s">
        <v>398</v>
      </c>
      <c r="H60" s="717"/>
      <c r="I60" s="1115"/>
      <c r="J60" s="1116"/>
      <c r="K60" s="481"/>
      <c r="L60" s="1119"/>
      <c r="M60" s="1120"/>
      <c r="N60" s="1"/>
      <c r="P60" s="449"/>
      <c r="T60" s="366"/>
      <c r="U60" s="366"/>
    </row>
    <row r="61" spans="1:25">
      <c r="A61" s="325"/>
      <c r="B61" s="161"/>
      <c r="C61" s="275"/>
      <c r="D61" s="275"/>
      <c r="E61" s="576" t="str">
        <f t="shared" si="4"/>
        <v/>
      </c>
      <c r="F61" s="162" t="str">
        <f t="shared" si="3"/>
        <v/>
      </c>
      <c r="G61" s="162"/>
      <c r="H61" s="717"/>
      <c r="I61" s="1115"/>
      <c r="J61" s="1116"/>
      <c r="K61" s="481"/>
      <c r="L61" s="1119"/>
      <c r="M61" s="1120"/>
      <c r="N61" s="1"/>
      <c r="P61" s="449"/>
      <c r="U61" s="366"/>
    </row>
    <row r="62" spans="1:25">
      <c r="A62" s="325"/>
      <c r="B62" s="161"/>
      <c r="C62" s="930"/>
      <c r="D62" s="930"/>
      <c r="E62" s="576" t="str">
        <f t="shared" si="4"/>
        <v/>
      </c>
      <c r="F62" s="162" t="str">
        <f t="shared" si="3"/>
        <v/>
      </c>
      <c r="G62" s="162"/>
      <c r="H62" s="717"/>
      <c r="I62" s="1115"/>
      <c r="J62" s="1116"/>
      <c r="K62" s="481"/>
      <c r="L62" s="1119"/>
      <c r="M62" s="1120"/>
      <c r="N62" s="1"/>
      <c r="P62" s="571"/>
      <c r="U62" s="366"/>
    </row>
    <row r="63" spans="1:25">
      <c r="A63" s="325"/>
      <c r="B63" s="943"/>
      <c r="C63" s="275"/>
      <c r="D63" s="275"/>
      <c r="E63" s="576" t="str">
        <f t="shared" si="4"/>
        <v/>
      </c>
      <c r="F63" s="162" t="str">
        <f t="shared" si="3"/>
        <v/>
      </c>
      <c r="G63" s="162"/>
      <c r="H63" s="717"/>
      <c r="I63" s="1115"/>
      <c r="J63" s="1116"/>
      <c r="K63" s="481"/>
      <c r="L63" s="1119"/>
      <c r="M63" s="1120"/>
      <c r="N63" s="1"/>
      <c r="P63" s="86"/>
      <c r="U63" s="366"/>
    </row>
    <row r="64" spans="1:25" ht="14.45" customHeight="1">
      <c r="A64" s="325"/>
      <c r="B64" s="161"/>
      <c r="C64" s="731"/>
      <c r="D64" s="731"/>
      <c r="E64" s="576" t="str">
        <f t="shared" si="4"/>
        <v/>
      </c>
      <c r="F64" s="162" t="str">
        <f t="shared" si="3"/>
        <v/>
      </c>
      <c r="G64" s="162"/>
      <c r="H64" s="717"/>
      <c r="I64" s="1115"/>
      <c r="J64" s="1116"/>
      <c r="K64" s="481"/>
      <c r="L64" s="1054"/>
      <c r="M64" s="1112"/>
      <c r="N64" s="1"/>
      <c r="P64" s="86"/>
    </row>
    <row r="65" spans="1:21" ht="14.45" customHeight="1">
      <c r="A65" s="325"/>
      <c r="B65" s="161"/>
      <c r="C65" s="275"/>
      <c r="D65" s="275"/>
      <c r="E65" s="576" t="str">
        <f t="shared" si="4"/>
        <v/>
      </c>
      <c r="F65" s="162" t="str">
        <f t="shared" si="3"/>
        <v/>
      </c>
      <c r="G65" s="162"/>
      <c r="H65" s="717" t="str">
        <f t="shared" ref="H65:I73" si="5">IF(S11="","",S11)</f>
        <v/>
      </c>
      <c r="I65" s="1115"/>
      <c r="J65" s="1116"/>
      <c r="K65" s="481"/>
      <c r="L65" s="1054"/>
      <c r="M65" s="1112"/>
      <c r="N65" s="1"/>
    </row>
    <row r="66" spans="1:21" ht="14.45" customHeight="1">
      <c r="A66" s="325"/>
      <c r="B66" s="944"/>
      <c r="C66" s="275"/>
      <c r="D66" s="275"/>
      <c r="E66" s="576" t="str">
        <f t="shared" si="4"/>
        <v/>
      </c>
      <c r="F66" s="162" t="str">
        <f t="shared" si="3"/>
        <v/>
      </c>
      <c r="G66" s="162"/>
      <c r="H66" s="717" t="str">
        <f t="shared" si="5"/>
        <v/>
      </c>
      <c r="I66" s="1115" t="str">
        <f t="shared" si="5"/>
        <v/>
      </c>
      <c r="J66" s="1116"/>
      <c r="K66" s="481" t="str">
        <f t="shared" ref="K66:K73" si="6">IF(U12="","",U12)</f>
        <v/>
      </c>
      <c r="L66" s="1054"/>
      <c r="M66" s="1112"/>
      <c r="N66" s="1"/>
      <c r="O66" s="366"/>
    </row>
    <row r="67" spans="1:21">
      <c r="A67" s="325"/>
      <c r="B67" s="161"/>
      <c r="C67" s="275"/>
      <c r="D67" s="275"/>
      <c r="E67" s="576" t="str">
        <f t="shared" si="4"/>
        <v/>
      </c>
      <c r="F67" s="162" t="str">
        <f t="shared" si="3"/>
        <v/>
      </c>
      <c r="G67" s="162"/>
      <c r="H67" s="717" t="str">
        <f t="shared" si="5"/>
        <v/>
      </c>
      <c r="I67" s="1115" t="str">
        <f t="shared" si="5"/>
        <v/>
      </c>
      <c r="J67" s="1116"/>
      <c r="K67" s="481" t="str">
        <f t="shared" si="6"/>
        <v/>
      </c>
      <c r="L67" s="1054"/>
      <c r="M67" s="1112"/>
      <c r="N67" s="1"/>
      <c r="O67" s="366"/>
    </row>
    <row r="68" spans="1:21" s="86" customFormat="1">
      <c r="A68" s="325"/>
      <c r="B68" s="161"/>
      <c r="C68" s="275"/>
      <c r="D68" s="275"/>
      <c r="E68" s="576" t="str">
        <f t="shared" si="4"/>
        <v/>
      </c>
      <c r="F68" s="162" t="str">
        <f t="shared" si="3"/>
        <v/>
      </c>
      <c r="G68" s="162"/>
      <c r="H68" s="717" t="str">
        <f t="shared" si="5"/>
        <v/>
      </c>
      <c r="I68" s="1115" t="str">
        <f t="shared" si="5"/>
        <v/>
      </c>
      <c r="J68" s="1116"/>
      <c r="K68" s="481" t="str">
        <f t="shared" si="6"/>
        <v/>
      </c>
      <c r="L68" s="1119"/>
      <c r="M68" s="1120"/>
      <c r="N68" s="366"/>
      <c r="O68" s="84"/>
      <c r="P68" s="1"/>
      <c r="Q68" s="35"/>
      <c r="T68" s="35"/>
      <c r="U68" s="35"/>
    </row>
    <row r="69" spans="1:21">
      <c r="A69" s="325"/>
      <c r="B69" s="161"/>
      <c r="C69" s="275"/>
      <c r="D69" s="275"/>
      <c r="E69" s="576" t="str">
        <f t="shared" si="4"/>
        <v/>
      </c>
      <c r="F69" s="162" t="str">
        <f t="shared" si="3"/>
        <v/>
      </c>
      <c r="G69" s="162"/>
      <c r="H69" s="717" t="str">
        <f t="shared" si="5"/>
        <v/>
      </c>
      <c r="I69" s="1115" t="str">
        <f t="shared" si="5"/>
        <v/>
      </c>
      <c r="J69" s="1116"/>
      <c r="K69" s="481" t="str">
        <f t="shared" si="6"/>
        <v/>
      </c>
      <c r="L69" s="1054"/>
      <c r="M69" s="1112"/>
      <c r="N69" s="1"/>
      <c r="O69" s="366"/>
      <c r="P69" s="1"/>
      <c r="T69" s="86"/>
    </row>
    <row r="70" spans="1:21">
      <c r="A70" s="325"/>
      <c r="B70" s="161"/>
      <c r="C70" s="275"/>
      <c r="D70" s="275"/>
      <c r="E70" s="576" t="str">
        <f t="shared" si="4"/>
        <v/>
      </c>
      <c r="F70" s="162" t="str">
        <f t="shared" si="3"/>
        <v/>
      </c>
      <c r="G70" s="162"/>
      <c r="H70" s="717" t="str">
        <f t="shared" si="5"/>
        <v/>
      </c>
      <c r="I70" s="1115" t="str">
        <f t="shared" si="5"/>
        <v/>
      </c>
      <c r="J70" s="1116"/>
      <c r="K70" s="481" t="str">
        <f t="shared" si="6"/>
        <v/>
      </c>
      <c r="L70" s="1054"/>
      <c r="M70" s="1112"/>
      <c r="N70" s="1"/>
      <c r="O70" s="84"/>
      <c r="P70" s="366"/>
    </row>
    <row r="71" spans="1:21">
      <c r="A71" s="325"/>
      <c r="B71" s="161"/>
      <c r="C71" s="275"/>
      <c r="D71" s="275"/>
      <c r="E71" s="576" t="str">
        <f t="shared" si="4"/>
        <v/>
      </c>
      <c r="F71" s="162" t="str">
        <f t="shared" si="3"/>
        <v/>
      </c>
      <c r="G71" s="162"/>
      <c r="H71" s="717" t="str">
        <f t="shared" si="5"/>
        <v/>
      </c>
      <c r="I71" s="1115" t="str">
        <f t="shared" si="5"/>
        <v/>
      </c>
      <c r="J71" s="1116"/>
      <c r="K71" s="481" t="str">
        <f t="shared" si="6"/>
        <v/>
      </c>
      <c r="L71" s="1054"/>
      <c r="M71" s="1112"/>
      <c r="N71" s="1"/>
      <c r="O71" s="84"/>
      <c r="P71" s="150"/>
    </row>
    <row r="72" spans="1:21">
      <c r="A72" s="325"/>
      <c r="B72" s="161"/>
      <c r="C72" s="275"/>
      <c r="D72" s="275"/>
      <c r="E72" s="576" t="str">
        <f t="shared" si="4"/>
        <v/>
      </c>
      <c r="F72" s="162" t="str">
        <f t="shared" si="3"/>
        <v/>
      </c>
      <c r="G72" s="162"/>
      <c r="H72" s="717" t="str">
        <f t="shared" si="5"/>
        <v/>
      </c>
      <c r="I72" s="1115" t="str">
        <f t="shared" si="5"/>
        <v/>
      </c>
      <c r="J72" s="1116"/>
      <c r="K72" s="481" t="str">
        <f t="shared" si="6"/>
        <v/>
      </c>
      <c r="L72" s="1054"/>
      <c r="M72" s="1112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4"/>
        <v/>
      </c>
      <c r="F73" s="162" t="str">
        <f t="shared" si="3"/>
        <v/>
      </c>
      <c r="G73" s="162"/>
      <c r="H73" s="717" t="str">
        <f t="shared" si="5"/>
        <v/>
      </c>
      <c r="I73" s="1115" t="str">
        <f t="shared" si="5"/>
        <v/>
      </c>
      <c r="J73" s="1116"/>
      <c r="K73" s="481" t="str">
        <f t="shared" si="6"/>
        <v/>
      </c>
      <c r="L73" s="1054"/>
      <c r="M73" s="1112"/>
      <c r="N73" s="1"/>
      <c r="O73" s="84"/>
    </row>
    <row r="74" spans="1:21" ht="15.75" thickBot="1">
      <c r="A74" s="1092" t="s">
        <v>259</v>
      </c>
      <c r="B74" s="1093"/>
      <c r="C74" s="358">
        <f>SUM(C58:C73)</f>
        <v>910.31999999999994</v>
      </c>
      <c r="D74" s="358"/>
      <c r="E74" s="576">
        <f>SUM(E58:E73)</f>
        <v>524.33000000000004</v>
      </c>
      <c r="F74" s="162"/>
      <c r="G74" s="451"/>
      <c r="H74" s="1109" t="s">
        <v>259</v>
      </c>
      <c r="I74" s="1110"/>
      <c r="J74" s="1111"/>
      <c r="K74" s="716">
        <f>SUM(K58:K73)</f>
        <v>0</v>
      </c>
      <c r="L74" s="1113"/>
      <c r="M74" s="1114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039" t="s">
        <v>16</v>
      </c>
      <c r="I75" s="1041" t="s">
        <v>17</v>
      </c>
      <c r="J75" s="1041" t="s">
        <v>21</v>
      </c>
      <c r="K75" s="1041"/>
      <c r="L75" s="1043" t="s">
        <v>93</v>
      </c>
      <c r="M75" s="1045" t="s">
        <v>95</v>
      </c>
      <c r="N75" s="1"/>
      <c r="O75" s="84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040"/>
      <c r="I76" s="1042"/>
      <c r="J76" s="934" t="s">
        <v>21</v>
      </c>
      <c r="K76" s="934" t="s">
        <v>25</v>
      </c>
      <c r="L76" s="1044"/>
      <c r="M76" s="1046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935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>
      <c r="A83" s="339"/>
      <c r="B83" s="199"/>
      <c r="C83" s="1"/>
      <c r="D83" s="273"/>
      <c r="E83" s="366"/>
      <c r="F83" s="366"/>
      <c r="G83" s="366"/>
      <c r="H83" s="347" t="s">
        <v>9</v>
      </c>
      <c r="I83" s="728">
        <v>13612.520000000002</v>
      </c>
      <c r="J83" s="438">
        <f>19+42+25.5+33+4+25+7.5+18+170+1+9+37.5+2+1.4</f>
        <v>394.9</v>
      </c>
      <c r="K83" s="733">
        <f>112.8+296.38+33.5</f>
        <v>442.68</v>
      </c>
      <c r="L83" s="645">
        <f>14352+1353+311+316+73+278</f>
        <v>16683</v>
      </c>
      <c r="M83" s="777">
        <v>37929.35</v>
      </c>
      <c r="N83" s="761" t="s">
        <v>355</v>
      </c>
      <c r="O83" s="762"/>
      <c r="P83" s="437"/>
      <c r="Q83" s="742"/>
      <c r="R83" s="86"/>
      <c r="V83" s="1"/>
    </row>
    <row r="84" spans="1:26">
      <c r="A84" s="339"/>
      <c r="B84" s="199"/>
      <c r="C84" s="1"/>
      <c r="D84" s="273"/>
      <c r="E84" s="366"/>
      <c r="F84" s="366"/>
      <c r="G84" s="366"/>
      <c r="H84" s="347" t="s">
        <v>18</v>
      </c>
      <c r="I84" s="728">
        <v>14474.099999999999</v>
      </c>
      <c r="J84" s="438">
        <v>947.5</v>
      </c>
      <c r="K84" s="733">
        <v>526.15</v>
      </c>
      <c r="L84" s="645">
        <v>19238.8</v>
      </c>
      <c r="M84" s="104">
        <f>M83-I84-J84-K84+L84</f>
        <v>41220.399999999994</v>
      </c>
      <c r="N84" s="84"/>
      <c r="O84" s="366"/>
      <c r="P84" s="437"/>
      <c r="Q84" s="742"/>
      <c r="R84" s="86"/>
      <c r="V84" s="1"/>
    </row>
    <row r="85" spans="1:26" ht="15.75" thickBot="1">
      <c r="A85" s="339"/>
      <c r="B85" s="199"/>
      <c r="C85" s="1"/>
      <c r="D85" s="273"/>
      <c r="E85" s="366"/>
      <c r="F85" s="366"/>
      <c r="G85" s="366"/>
      <c r="H85" s="646" t="s">
        <v>19</v>
      </c>
      <c r="I85" s="661">
        <v>17170.439999999999</v>
      </c>
      <c r="J85" s="648"/>
      <c r="K85" s="734">
        <f>21.5+122.1+41.6+353.89+95.92+8.2</f>
        <v>643.20999999999992</v>
      </c>
      <c r="L85" s="661">
        <f>660+513.5+514+683.5+535+212+2085+763+334+208+378+75+60+44+972+347+1461+81+303+363+12+44+73+133+667+281+234+225+789+767+1661+682+2828+477.5+365+873.5+390+553</f>
        <v>21647</v>
      </c>
      <c r="M85" s="104">
        <f>M84-I85-J85-K85+L85</f>
        <v>45053.75</v>
      </c>
      <c r="N85" s="84"/>
      <c r="O85" s="366"/>
      <c r="P85" s="437"/>
      <c r="Q85" s="742"/>
      <c r="R85" s="86"/>
      <c r="V85" s="1"/>
    </row>
    <row r="86" spans="1:26" ht="14.25" customHeight="1" thickTop="1">
      <c r="A86" s="339"/>
      <c r="B86" s="199"/>
      <c r="C86" s="1"/>
      <c r="D86" s="273"/>
      <c r="E86" s="84"/>
      <c r="F86" s="366"/>
      <c r="G86" s="366"/>
      <c r="H86" s="1023" t="s">
        <v>36</v>
      </c>
      <c r="I86" s="1025" t="s">
        <v>178</v>
      </c>
      <c r="J86" s="1026"/>
      <c r="K86" s="1027"/>
      <c r="L86" s="1031" t="s">
        <v>159</v>
      </c>
      <c r="M86" s="1032"/>
      <c r="N86" s="1"/>
      <c r="O86" s="366"/>
      <c r="P86" s="437"/>
      <c r="Q86" s="86"/>
      <c r="R86" s="86"/>
      <c r="V86" s="1"/>
    </row>
    <row r="87" spans="1:26">
      <c r="A87" s="339"/>
      <c r="B87" s="199"/>
      <c r="C87" s="284"/>
      <c r="D87" s="273"/>
      <c r="E87" s="284"/>
      <c r="F87" s="366"/>
      <c r="G87" s="378"/>
      <c r="H87" s="1024"/>
      <c r="I87" s="1028"/>
      <c r="J87" s="1029"/>
      <c r="K87" s="1030"/>
      <c r="L87" s="1033"/>
      <c r="M87" s="1034"/>
      <c r="N87" s="1"/>
      <c r="O87" s="84"/>
      <c r="P87" s="685"/>
      <c r="Q87" s="86"/>
      <c r="R87" s="366"/>
      <c r="S87" s="1"/>
      <c r="V87" s="1"/>
      <c r="W87" s="1"/>
      <c r="X87" s="1"/>
      <c r="Y87" s="1"/>
    </row>
    <row r="88" spans="1:26">
      <c r="A88" s="339"/>
      <c r="B88" s="199"/>
      <c r="C88" s="199"/>
      <c r="D88" s="273"/>
      <c r="E88" s="199"/>
      <c r="F88" s="366"/>
      <c r="G88" s="378"/>
      <c r="H88" s="529" t="s">
        <v>250</v>
      </c>
      <c r="I88" s="1035" t="s">
        <v>47</v>
      </c>
      <c r="J88" s="1035"/>
      <c r="K88" s="940">
        <v>131.25</v>
      </c>
      <c r="L88" s="282">
        <v>44058</v>
      </c>
      <c r="M88" s="44" t="s">
        <v>104</v>
      </c>
      <c r="O88" s="366"/>
      <c r="P88" s="685"/>
      <c r="Q88" s="86"/>
      <c r="R88" s="366"/>
      <c r="S88" s="1"/>
      <c r="T88" s="1"/>
      <c r="V88" s="282"/>
      <c r="W88" s="1"/>
      <c r="X88" s="1"/>
      <c r="Y88" s="1"/>
    </row>
    <row r="89" spans="1:26">
      <c r="A89" s="339"/>
      <c r="B89" s="366"/>
      <c r="C89" s="274"/>
      <c r="D89" s="273"/>
      <c r="E89" s="274"/>
      <c r="F89" s="366"/>
      <c r="G89" s="366"/>
      <c r="H89" s="529" t="s">
        <v>250</v>
      </c>
      <c r="I89" s="1020" t="s">
        <v>51</v>
      </c>
      <c r="J89" s="1020"/>
      <c r="K89" s="939">
        <v>21.35</v>
      </c>
      <c r="L89" s="282">
        <v>44058</v>
      </c>
      <c r="M89" s="44" t="s">
        <v>104</v>
      </c>
      <c r="O89" s="366"/>
      <c r="P89" s="685"/>
      <c r="Q89" s="571"/>
      <c r="R89" s="86"/>
      <c r="S89" s="1"/>
      <c r="T89" s="1"/>
      <c r="V89" s="282"/>
      <c r="W89" s="1"/>
      <c r="X89" s="1"/>
      <c r="Y89" s="1"/>
    </row>
    <row r="90" spans="1:26">
      <c r="A90" s="340"/>
      <c r="B90" s="366"/>
      <c r="C90" s="366"/>
      <c r="D90" s="273"/>
      <c r="E90" s="199"/>
      <c r="F90" s="366"/>
      <c r="G90" s="366"/>
      <c r="H90" s="529" t="s">
        <v>250</v>
      </c>
      <c r="I90" s="1020" t="s">
        <v>52</v>
      </c>
      <c r="J90" s="1020"/>
      <c r="K90" s="939">
        <v>2.25</v>
      </c>
      <c r="L90" s="282">
        <v>44058</v>
      </c>
      <c r="M90" s="44" t="s">
        <v>104</v>
      </c>
      <c r="O90" s="366"/>
      <c r="P90" s="685"/>
      <c r="Q90" s="86"/>
      <c r="R90" s="936"/>
      <c r="S90" s="1"/>
      <c r="T90" s="1"/>
      <c r="V90" s="282"/>
      <c r="W90" s="282"/>
      <c r="X90" s="282"/>
      <c r="Y90" s="1"/>
      <c r="Z90" s="1"/>
    </row>
    <row r="91" spans="1:26">
      <c r="A91" s="340"/>
      <c r="B91" s="366"/>
      <c r="C91" s="366"/>
      <c r="D91" s="273"/>
      <c r="E91" s="366"/>
      <c r="F91" s="366"/>
      <c r="G91" s="366"/>
      <c r="H91" s="783" t="s">
        <v>367</v>
      </c>
      <c r="I91" s="1020" t="s">
        <v>49</v>
      </c>
      <c r="J91" s="1020"/>
      <c r="K91" s="939">
        <v>44.5</v>
      </c>
      <c r="L91" s="783" t="s">
        <v>367</v>
      </c>
      <c r="M91" s="44" t="s">
        <v>160</v>
      </c>
      <c r="N91" s="35" t="s">
        <v>387</v>
      </c>
      <c r="O91" s="84"/>
      <c r="P91" s="685"/>
      <c r="Q91" s="366"/>
      <c r="R91" s="86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529"/>
      <c r="I92" s="1088" t="s">
        <v>59</v>
      </c>
      <c r="J92" s="1088"/>
      <c r="K92" s="941">
        <v>682.74</v>
      </c>
      <c r="L92" s="302" t="s">
        <v>177</v>
      </c>
      <c r="M92" s="44" t="s">
        <v>104</v>
      </c>
      <c r="N92" s="506"/>
      <c r="O92" s="84" t="s">
        <v>388</v>
      </c>
      <c r="P92" s="685"/>
      <c r="Q92" s="480"/>
      <c r="R92" s="936"/>
      <c r="S92" s="1"/>
      <c r="T92" s="282"/>
      <c r="U92" s="1"/>
      <c r="V92" s="1"/>
      <c r="W92" s="282"/>
      <c r="X92" s="282"/>
      <c r="Y92" s="1"/>
      <c r="Z92" s="1"/>
    </row>
    <row r="93" spans="1:26">
      <c r="A93" s="340"/>
      <c r="B93" s="199"/>
      <c r="C93" s="199"/>
      <c r="D93" s="273"/>
      <c r="E93" s="199"/>
      <c r="F93" s="366"/>
      <c r="G93" s="366"/>
      <c r="H93" s="529"/>
      <c r="I93" s="1089" t="s">
        <v>68</v>
      </c>
      <c r="J93" s="1090"/>
      <c r="K93" s="939">
        <v>52.62</v>
      </c>
      <c r="L93" s="282">
        <v>44063</v>
      </c>
      <c r="M93" s="44" t="s">
        <v>104</v>
      </c>
      <c r="O93" s="366"/>
      <c r="P93" s="437"/>
      <c r="Q93" s="366"/>
      <c r="R93" s="936"/>
      <c r="S93" s="1"/>
      <c r="T93" s="282"/>
      <c r="U93" s="1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199"/>
      <c r="F94" s="366"/>
      <c r="G94" s="366"/>
      <c r="H94" s="529" t="s">
        <v>250</v>
      </c>
      <c r="I94" s="1089" t="s">
        <v>174</v>
      </c>
      <c r="J94" s="1090"/>
      <c r="K94" s="939">
        <v>257.08999999999997</v>
      </c>
      <c r="L94" s="282">
        <v>44058</v>
      </c>
      <c r="M94" s="44" t="s">
        <v>104</v>
      </c>
      <c r="O94" s="84"/>
      <c r="P94" s="86"/>
      <c r="Q94" s="366"/>
      <c r="R94" s="945"/>
      <c r="S94" s="945"/>
      <c r="T94" s="282"/>
      <c r="U94" s="282"/>
      <c r="V94" s="282"/>
      <c r="W94" s="1"/>
      <c r="X94" s="1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726"/>
      <c r="I95" s="931" t="s">
        <v>176</v>
      </c>
      <c r="J95" s="932"/>
      <c r="K95" s="939" t="s">
        <v>258</v>
      </c>
      <c r="L95" s="282">
        <v>44063</v>
      </c>
      <c r="M95" s="44" t="s">
        <v>104</v>
      </c>
      <c r="O95" s="84"/>
      <c r="P95" s="86"/>
      <c r="Q95" s="366"/>
      <c r="R95" s="485"/>
      <c r="S95" s="150"/>
      <c r="T95" s="1"/>
      <c r="U95" s="282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1089" t="s">
        <v>81</v>
      </c>
      <c r="J96" s="1090"/>
      <c r="K96" s="939">
        <v>788.15</v>
      </c>
      <c r="L96" s="282">
        <v>44053</v>
      </c>
      <c r="M96" s="44" t="s">
        <v>104</v>
      </c>
      <c r="O96" s="84"/>
      <c r="P96" s="86"/>
      <c r="Q96" s="485"/>
      <c r="R96" s="365"/>
      <c r="S96" s="150"/>
      <c r="T96" s="282"/>
      <c r="U96" s="282"/>
      <c r="V96" s="282"/>
      <c r="W96" s="282"/>
      <c r="X96" s="282"/>
      <c r="Y96" s="366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367</v>
      </c>
      <c r="I97" s="1089" t="s">
        <v>53</v>
      </c>
      <c r="J97" s="1090"/>
      <c r="K97" s="455">
        <v>10</v>
      </c>
      <c r="L97" s="282">
        <v>44058</v>
      </c>
      <c r="M97" s="44" t="s">
        <v>104</v>
      </c>
      <c r="N97" s="506"/>
      <c r="O97" s="84"/>
      <c r="P97" s="86"/>
      <c r="Q97" s="936"/>
      <c r="R97" s="86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/>
      <c r="I98" s="1101" t="s">
        <v>300</v>
      </c>
      <c r="J98" s="1101"/>
      <c r="K98" s="676">
        <v>100</v>
      </c>
      <c r="L98" s="282">
        <v>44073</v>
      </c>
      <c r="M98" s="44" t="s">
        <v>104</v>
      </c>
      <c r="O98" s="84"/>
      <c r="P98" s="86"/>
      <c r="Q98" s="936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1101" t="s">
        <v>325</v>
      </c>
      <c r="J99" s="1101"/>
      <c r="K99" s="676">
        <v>9</v>
      </c>
      <c r="L99" s="282">
        <v>44058</v>
      </c>
      <c r="M99" s="44" t="s">
        <v>104</v>
      </c>
      <c r="O99" s="84"/>
      <c r="P99" s="86"/>
      <c r="Q99" s="936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/>
      <c r="I100" s="1021" t="s">
        <v>374</v>
      </c>
      <c r="J100" s="1022"/>
      <c r="K100" s="676">
        <v>999.81000000000006</v>
      </c>
      <c r="L100" s="282">
        <v>44073</v>
      </c>
      <c r="M100" s="44" t="s">
        <v>104</v>
      </c>
      <c r="O100" s="84"/>
      <c r="P100" s="86"/>
      <c r="Q100" s="936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 ht="15.75" thickBot="1">
      <c r="A101" s="341"/>
      <c r="B101" s="330"/>
      <c r="C101" s="331"/>
      <c r="D101" s="342"/>
      <c r="E101" s="330"/>
      <c r="F101" s="331"/>
      <c r="G101" s="331"/>
      <c r="H101" s="1107" t="s">
        <v>179</v>
      </c>
      <c r="I101" s="1108"/>
      <c r="J101" s="361">
        <f>SUM(K88:K100)</f>
        <v>3098.7599999999998</v>
      </c>
      <c r="K101" s="1018" t="s">
        <v>180</v>
      </c>
      <c r="L101" s="1018"/>
      <c r="M101" s="535">
        <v>0</v>
      </c>
      <c r="O101" s="84"/>
      <c r="P101" s="86"/>
      <c r="Q101" s="936"/>
      <c r="R101" s="365"/>
      <c r="S101" s="366"/>
      <c r="T101" s="282"/>
      <c r="U101" s="282"/>
      <c r="V101" s="1"/>
      <c r="W101" s="282"/>
      <c r="X101" s="282"/>
      <c r="Y101" s="1"/>
      <c r="Z101" s="1"/>
    </row>
    <row r="102" spans="1:26" ht="15.75" thickTop="1">
      <c r="C102" s="507"/>
      <c r="D102" s="507"/>
      <c r="O102" s="84"/>
      <c r="P102" s="86"/>
      <c r="Q102" s="936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" customHeight="1">
      <c r="A103" s="1082" t="s">
        <v>379</v>
      </c>
      <c r="B103" s="1082"/>
      <c r="C103" s="1082"/>
      <c r="D103" s="1082"/>
      <c r="E103" s="1082"/>
      <c r="F103" s="1082"/>
      <c r="G103" s="1082"/>
      <c r="H103" s="1082"/>
      <c r="I103" s="1082"/>
      <c r="J103" s="1082"/>
      <c r="K103" s="1082"/>
      <c r="L103" s="1082"/>
      <c r="M103" s="1082"/>
      <c r="O103" s="84"/>
      <c r="P103" s="86"/>
      <c r="Q103" s="936"/>
      <c r="R103" s="366"/>
      <c r="S103" s="1"/>
      <c r="T103" s="282"/>
      <c r="U103" s="282"/>
      <c r="V103" s="1"/>
      <c r="W103" s="1"/>
      <c r="X103" s="1"/>
      <c r="Y103" s="1"/>
      <c r="Z103" s="1"/>
    </row>
    <row r="104" spans="1:26" ht="15.75" customHeight="1" thickBot="1">
      <c r="A104" s="1083"/>
      <c r="B104" s="1083"/>
      <c r="C104" s="1083"/>
      <c r="D104" s="1083"/>
      <c r="E104" s="1083"/>
      <c r="F104" s="1083"/>
      <c r="G104" s="1083"/>
      <c r="H104" s="1083"/>
      <c r="I104" s="1083"/>
      <c r="J104" s="1083"/>
      <c r="K104" s="1083"/>
      <c r="L104" s="1083"/>
      <c r="M104" s="1083"/>
      <c r="O104" s="84"/>
      <c r="P104" s="86"/>
      <c r="Q104" s="936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 ht="15.75" thickTop="1">
      <c r="A105" s="1126" t="s">
        <v>43</v>
      </c>
      <c r="B105" s="1098"/>
      <c r="C105" s="1098"/>
      <c r="D105" s="1098"/>
      <c r="E105" s="1098"/>
      <c r="F105" s="1127"/>
      <c r="G105" s="323"/>
      <c r="O105" s="84"/>
      <c r="P105" s="86"/>
      <c r="Q105" s="686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>
      <c r="A106" s="1015" t="s">
        <v>371</v>
      </c>
      <c r="B106" s="1016"/>
      <c r="C106" s="930" t="s">
        <v>35</v>
      </c>
      <c r="D106" s="930" t="s">
        <v>38</v>
      </c>
      <c r="E106" s="930" t="s">
        <v>42</v>
      </c>
      <c r="F106" s="930" t="s">
        <v>44</v>
      </c>
      <c r="G106" s="1"/>
      <c r="O106" s="84"/>
      <c r="P106" s="86"/>
      <c r="Q106" s="936"/>
      <c r="R106" s="366"/>
      <c r="S106" s="1"/>
      <c r="T106" s="1"/>
      <c r="U106" s="1"/>
      <c r="W106" s="1"/>
      <c r="X106" s="1"/>
      <c r="Y106" s="1"/>
      <c r="Z106" s="1"/>
    </row>
    <row r="107" spans="1:26">
      <c r="A107" s="1119" t="s">
        <v>40</v>
      </c>
      <c r="B107" s="1095"/>
      <c r="C107" s="482">
        <v>1153.3599999999999</v>
      </c>
      <c r="D107" s="482"/>
      <c r="E107" s="481">
        <f>C107-D107</f>
        <v>1153.3599999999999</v>
      </c>
      <c r="F107" s="3"/>
      <c r="G107" s="1"/>
      <c r="O107" s="84"/>
      <c r="P107" s="86"/>
      <c r="Q107" s="936"/>
      <c r="R107" s="366"/>
      <c r="S107" s="1"/>
      <c r="T107" s="1"/>
      <c r="U107" s="1"/>
      <c r="W107" s="1"/>
      <c r="X107" s="1"/>
      <c r="Y107" s="1"/>
      <c r="Z107" s="1"/>
    </row>
    <row r="108" spans="1:26">
      <c r="A108" s="340"/>
      <c r="B108" s="366"/>
      <c r="C108" s="514">
        <f>SUM(C107:C107)</f>
        <v>1153.3599999999999</v>
      </c>
      <c r="D108" s="366"/>
      <c r="E108" s="84"/>
      <c r="F108" s="366"/>
      <c r="G108" s="1"/>
      <c r="K108" s="506"/>
      <c r="O108" s="84"/>
      <c r="P108" s="86"/>
      <c r="Q108" s="936"/>
      <c r="R108" s="86"/>
      <c r="T108" s="1"/>
      <c r="U108" s="1"/>
      <c r="Z108" s="1"/>
    </row>
    <row r="109" spans="1:26">
      <c r="A109" s="340"/>
      <c r="B109" s="366"/>
      <c r="C109" s="366"/>
      <c r="D109" s="366"/>
      <c r="E109" s="366"/>
      <c r="F109" s="366"/>
      <c r="G109" s="1"/>
      <c r="O109" s="84"/>
      <c r="P109" s="86"/>
      <c r="Q109" s="936"/>
      <c r="R109" s="86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M110" s="506"/>
      <c r="O110" s="84"/>
      <c r="P110" s="86"/>
      <c r="Q110" s="936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O111" s="84"/>
      <c r="P111" s="86"/>
      <c r="Q111" s="936"/>
      <c r="R111" s="86"/>
      <c r="U111" s="1"/>
    </row>
    <row r="112" spans="1:26">
      <c r="A112" s="43"/>
      <c r="B112" s="1"/>
      <c r="C112" s="366"/>
      <c r="D112" s="1"/>
      <c r="E112" s="1"/>
      <c r="F112" s="1"/>
      <c r="G112" s="1"/>
      <c r="M112" s="1"/>
      <c r="O112" s="84"/>
      <c r="P112" s="86"/>
      <c r="Q112" s="936"/>
      <c r="R112" s="86"/>
    </row>
    <row r="113" spans="1:26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936"/>
      <c r="R113" s="86"/>
    </row>
    <row r="114" spans="1:26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936"/>
      <c r="R114" s="86"/>
    </row>
    <row r="115" spans="1:26">
      <c r="A115" s="43"/>
      <c r="B115" s="1"/>
      <c r="C115" s="366"/>
      <c r="D115" s="1"/>
      <c r="E115" s="1"/>
      <c r="F115" s="1"/>
      <c r="G115" s="1"/>
      <c r="M115" s="366"/>
      <c r="O115" s="84"/>
      <c r="P115" s="86"/>
      <c r="Q115" s="936"/>
      <c r="R115" s="86"/>
    </row>
    <row r="116" spans="1:26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936"/>
      <c r="R116" s="86"/>
    </row>
    <row r="117" spans="1:26">
      <c r="A117" s="43"/>
      <c r="B117" s="1"/>
      <c r="C117" s="366"/>
      <c r="D117" s="1"/>
      <c r="E117" s="1"/>
      <c r="F117" s="1"/>
      <c r="G117" s="1"/>
      <c r="M117" s="1"/>
      <c r="O117" s="84"/>
      <c r="P117" s="86"/>
      <c r="Q117" s="936"/>
      <c r="R117" s="86"/>
    </row>
    <row r="118" spans="1:26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936"/>
      <c r="R118" s="86"/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86"/>
      <c r="R119" s="86"/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26">
      <c r="A121" s="43"/>
      <c r="B121" s="1"/>
      <c r="C121" s="366"/>
      <c r="D121" s="1"/>
      <c r="E121" s="1"/>
      <c r="F121" s="1"/>
      <c r="G121" s="1"/>
      <c r="O121" s="84"/>
      <c r="P121" s="86"/>
      <c r="Q121" s="86"/>
      <c r="R121" s="86"/>
    </row>
    <row r="122" spans="1:26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26" ht="15.75" thickBot="1">
      <c r="C123" s="447"/>
      <c r="O123" s="84"/>
      <c r="P123" s="86"/>
      <c r="Q123" s="86"/>
      <c r="R123" s="86"/>
    </row>
    <row r="124" spans="1:26" ht="15.75" thickBot="1">
      <c r="A124" s="292"/>
      <c r="C124" s="447"/>
      <c r="O124" s="84"/>
      <c r="P124" s="86"/>
      <c r="Q124" s="86"/>
      <c r="R124" s="86"/>
    </row>
    <row r="125" spans="1:26">
      <c r="C125" s="447"/>
    </row>
    <row r="126" spans="1:26" s="1" customFormat="1" ht="12.75" customHeight="1">
      <c r="A126" s="449"/>
      <c r="B126" s="199"/>
      <c r="D126" s="273"/>
      <c r="E126" s="366"/>
      <c r="F126" s="366"/>
      <c r="G126" s="366"/>
      <c r="H126" s="565"/>
      <c r="I126" s="942"/>
      <c r="J126" s="437"/>
      <c r="K126" s="643"/>
      <c r="L126" s="643"/>
      <c r="M126" s="436"/>
      <c r="O126" s="127"/>
      <c r="P126" s="84"/>
      <c r="Q126" s="145"/>
      <c r="R126" s="84"/>
      <c r="S126" s="84"/>
      <c r="T126" s="366"/>
      <c r="U126" s="366"/>
      <c r="V126" s="366"/>
      <c r="W126" s="366"/>
      <c r="X126" s="366"/>
      <c r="Y126" s="366"/>
      <c r="Z126" s="366"/>
    </row>
    <row r="127" spans="1:26">
      <c r="C127" s="447"/>
    </row>
    <row r="128" spans="1:26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</sheetData>
  <mergeCells count="131"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H34:H35"/>
    <mergeCell ref="I34:K35"/>
    <mergeCell ref="L34:M35"/>
    <mergeCell ref="I36:J36"/>
    <mergeCell ref="I37:J37"/>
    <mergeCell ref="I38:J38"/>
    <mergeCell ref="A20:B20"/>
    <mergeCell ref="H20:J20"/>
    <mergeCell ref="L20:M20"/>
    <mergeCell ref="H21:H22"/>
    <mergeCell ref="I21:I22"/>
    <mergeCell ref="J21:K21"/>
    <mergeCell ref="L21:L22"/>
    <mergeCell ref="M21:M22"/>
    <mergeCell ref="I47:J47"/>
    <mergeCell ref="I48:J48"/>
    <mergeCell ref="I49:J49"/>
    <mergeCell ref="I50:J50"/>
    <mergeCell ref="I51:J51"/>
    <mergeCell ref="H52:I52"/>
    <mergeCell ref="I39:J39"/>
    <mergeCell ref="I40:J40"/>
    <mergeCell ref="I41:J41"/>
    <mergeCell ref="I44:J44"/>
    <mergeCell ref="I45:J45"/>
    <mergeCell ref="I46:J46"/>
    <mergeCell ref="I58:J58"/>
    <mergeCell ref="L58:M58"/>
    <mergeCell ref="I59:J59"/>
    <mergeCell ref="L59:M59"/>
    <mergeCell ref="I60:J60"/>
    <mergeCell ref="L60:M60"/>
    <mergeCell ref="K52:L52"/>
    <mergeCell ref="H53:K53"/>
    <mergeCell ref="A54:M55"/>
    <mergeCell ref="A56:G56"/>
    <mergeCell ref="H56:M56"/>
    <mergeCell ref="I57:J57"/>
    <mergeCell ref="L57:M57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73:J73"/>
    <mergeCell ref="L73:M73"/>
    <mergeCell ref="A74:B74"/>
    <mergeCell ref="H74:J74"/>
    <mergeCell ref="L74:M74"/>
    <mergeCell ref="H75:H76"/>
    <mergeCell ref="I75:I76"/>
    <mergeCell ref="J75:K75"/>
    <mergeCell ref="L75:L76"/>
    <mergeCell ref="M75:M76"/>
    <mergeCell ref="I91:J91"/>
    <mergeCell ref="I92:J92"/>
    <mergeCell ref="I93:J93"/>
    <mergeCell ref="I94:J94"/>
    <mergeCell ref="I96:J96"/>
    <mergeCell ref="I97:J97"/>
    <mergeCell ref="H86:H87"/>
    <mergeCell ref="I86:K87"/>
    <mergeCell ref="L86:M87"/>
    <mergeCell ref="I88:J88"/>
    <mergeCell ref="I89:J89"/>
    <mergeCell ref="I90:J90"/>
    <mergeCell ref="A105:F105"/>
    <mergeCell ref="A106:B106"/>
    <mergeCell ref="A107:B107"/>
    <mergeCell ref="I98:J98"/>
    <mergeCell ref="I99:J99"/>
    <mergeCell ref="I100:J100"/>
    <mergeCell ref="H101:I101"/>
    <mergeCell ref="K101:L101"/>
    <mergeCell ref="A103:M104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7"/>
  <sheetViews>
    <sheetView zoomScaleNormal="100" zoomScaleSheetLayoutView="115" zoomScalePageLayoutView="70" workbookViewId="0">
      <pane xSplit="1" ySplit="1" topLeftCell="B17" activePane="bottomRight" state="frozen"/>
      <selection pane="topRight" activeCell="B1" sqref="B1"/>
      <selection pane="bottomLeft" activeCell="A4" sqref="A4"/>
      <selection pane="bottomRight" activeCell="L36" sqref="L36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5.140625" style="35" customWidth="1"/>
    <col min="5" max="5" width="11.42578125" style="35" customWidth="1"/>
    <col min="6" max="7" width="13.7109375" style="35" customWidth="1"/>
    <col min="8" max="8" width="14.5703125" style="35" customWidth="1"/>
    <col min="9" max="9" width="13.7109375" style="35" customWidth="1"/>
    <col min="10" max="10" width="10.42578125" style="35" customWidth="1"/>
    <col min="11" max="11" width="9.140625" style="35" customWidth="1"/>
    <col min="12" max="13" width="9.140625" style="35"/>
    <col min="14" max="14" width="10" style="35" customWidth="1"/>
    <col min="15" max="16384" width="9.140625" style="35"/>
  </cols>
  <sheetData>
    <row r="1" spans="1:18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393</v>
      </c>
      <c r="H1" s="14" t="s">
        <v>184</v>
      </c>
      <c r="I1" s="116" t="s">
        <v>394</v>
      </c>
      <c r="J1" s="15" t="s">
        <v>191</v>
      </c>
      <c r="K1" s="464" t="s">
        <v>240</v>
      </c>
      <c r="L1" s="464"/>
      <c r="M1" s="464"/>
      <c r="N1" s="464"/>
    </row>
    <row r="2" spans="1:18" ht="11.1" customHeight="1">
      <c r="B2" s="16">
        <f>IF(C2="","",WEEKDAY(C2,2))</f>
        <v>6</v>
      </c>
      <c r="C2" s="17">
        <v>44044</v>
      </c>
      <c r="D2" s="796">
        <v>347.41</v>
      </c>
      <c r="E2" s="778"/>
      <c r="F2" s="741"/>
      <c r="G2" s="913">
        <f>874.5-80</f>
        <v>794.5</v>
      </c>
      <c r="H2" s="913"/>
      <c r="I2" s="227"/>
      <c r="J2" s="930"/>
      <c r="K2" s="708"/>
      <c r="L2" s="464"/>
      <c r="M2" s="464"/>
      <c r="N2" s="464"/>
    </row>
    <row r="3" spans="1:18" ht="11.1" customHeight="1">
      <c r="B3" s="16">
        <f t="shared" ref="B3:B32" si="0">IF(C3="","",WEEKDAY(C3,2))</f>
        <v>7</v>
      </c>
      <c r="C3" s="17">
        <v>44045</v>
      </c>
      <c r="D3" s="796"/>
      <c r="E3" s="22">
        <v>931.5</v>
      </c>
      <c r="F3" s="741"/>
      <c r="G3" s="913">
        <v>467.2</v>
      </c>
      <c r="H3" s="913"/>
      <c r="I3" s="227"/>
      <c r="J3" s="930"/>
      <c r="K3" s="709"/>
      <c r="L3" s="464"/>
      <c r="M3" s="464"/>
      <c r="N3" s="464"/>
    </row>
    <row r="4" spans="1:18" ht="11.1" customHeight="1">
      <c r="B4" s="16">
        <f t="shared" si="0"/>
        <v>1</v>
      </c>
      <c r="C4" s="17">
        <v>44046</v>
      </c>
      <c r="D4" s="796"/>
      <c r="E4" s="22">
        <v>978.15</v>
      </c>
      <c r="F4" s="741"/>
      <c r="G4" s="913"/>
      <c r="H4" s="913">
        <v>399</v>
      </c>
      <c r="I4" s="227"/>
      <c r="J4" s="930"/>
      <c r="K4" s="709"/>
      <c r="L4" s="464"/>
      <c r="M4" s="464"/>
      <c r="N4" s="464"/>
    </row>
    <row r="5" spans="1:18" ht="11.1" customHeight="1">
      <c r="B5" s="16">
        <f t="shared" si="0"/>
        <v>2</v>
      </c>
      <c r="C5" s="17">
        <v>44047</v>
      </c>
      <c r="D5" s="796">
        <v>292.2</v>
      </c>
      <c r="E5" s="796"/>
      <c r="F5" s="741"/>
      <c r="G5" s="913">
        <v>276.39999999999998</v>
      </c>
      <c r="H5" s="913"/>
      <c r="I5" s="227"/>
      <c r="J5" s="930"/>
      <c r="K5" s="708"/>
      <c r="L5" s="464"/>
      <c r="M5" s="464"/>
      <c r="N5" s="464"/>
    </row>
    <row r="6" spans="1:18" ht="11.1" customHeight="1">
      <c r="B6" s="16">
        <f t="shared" si="0"/>
        <v>3</v>
      </c>
      <c r="C6" s="17">
        <v>44048</v>
      </c>
      <c r="D6" s="796">
        <v>1104.8</v>
      </c>
      <c r="E6" s="796"/>
      <c r="F6" s="741"/>
      <c r="G6" s="913">
        <v>252.8</v>
      </c>
      <c r="H6" s="913"/>
      <c r="I6" s="227"/>
      <c r="J6" s="930"/>
      <c r="K6" s="85"/>
      <c r="L6" s="464"/>
      <c r="M6" s="464"/>
      <c r="N6" s="464"/>
    </row>
    <row r="7" spans="1:18" ht="11.1" customHeight="1">
      <c r="B7" s="16">
        <f t="shared" si="0"/>
        <v>4</v>
      </c>
      <c r="C7" s="17">
        <v>44049</v>
      </c>
      <c r="D7" s="796"/>
      <c r="E7" s="796">
        <v>978.21</v>
      </c>
      <c r="F7" s="741"/>
      <c r="G7" s="913"/>
      <c r="H7" s="913">
        <v>1135.5</v>
      </c>
      <c r="I7" s="227"/>
      <c r="J7" s="915"/>
      <c r="K7" s="85"/>
      <c r="L7" s="464"/>
      <c r="M7" s="464"/>
      <c r="N7" s="464"/>
    </row>
    <row r="8" spans="1:18" ht="11.1" customHeight="1">
      <c r="B8" s="16">
        <f t="shared" si="0"/>
        <v>5</v>
      </c>
      <c r="C8" s="17">
        <v>44050</v>
      </c>
      <c r="D8" s="796"/>
      <c r="E8" s="796">
        <v>518</v>
      </c>
      <c r="F8" s="741"/>
      <c r="G8" s="913"/>
      <c r="H8" s="913">
        <v>268.10000000000002</v>
      </c>
      <c r="I8" s="227"/>
      <c r="J8" s="925"/>
      <c r="K8" s="765"/>
      <c r="L8" s="464"/>
      <c r="M8" s="464"/>
      <c r="N8" s="464"/>
    </row>
    <row r="9" spans="1:18" ht="11.1" customHeight="1">
      <c r="B9" s="16">
        <f t="shared" si="0"/>
        <v>6</v>
      </c>
      <c r="C9" s="17">
        <v>44051</v>
      </c>
      <c r="D9" s="796">
        <v>736.9</v>
      </c>
      <c r="E9" s="796"/>
      <c r="F9" s="741"/>
      <c r="G9" s="913"/>
      <c r="H9" s="913">
        <v>213.4</v>
      </c>
      <c r="I9" s="227"/>
      <c r="J9" s="18"/>
      <c r="K9" s="765"/>
      <c r="L9" s="464"/>
      <c r="M9" s="464"/>
      <c r="N9" s="464"/>
    </row>
    <row r="10" spans="1:18" ht="11.1" customHeight="1">
      <c r="B10" s="16">
        <f t="shared" si="0"/>
        <v>7</v>
      </c>
      <c r="C10" s="17">
        <v>44052</v>
      </c>
      <c r="D10" s="796">
        <v>940.4</v>
      </c>
      <c r="E10" s="796"/>
      <c r="F10" s="741"/>
      <c r="G10" s="913">
        <v>233.8</v>
      </c>
      <c r="H10" s="913"/>
      <c r="I10" s="227"/>
      <c r="J10" s="431"/>
      <c r="K10" s="765"/>
      <c r="L10" s="464"/>
      <c r="M10" s="464"/>
      <c r="N10" s="464"/>
    </row>
    <row r="11" spans="1:18" ht="11.1" customHeight="1">
      <c r="B11" s="16">
        <f t="shared" si="0"/>
        <v>1</v>
      </c>
      <c r="C11" s="17">
        <v>44053</v>
      </c>
      <c r="D11" s="796"/>
      <c r="E11" s="796">
        <v>741.3</v>
      </c>
      <c r="F11" s="741"/>
      <c r="G11" s="913">
        <v>378.2</v>
      </c>
      <c r="H11" s="913"/>
      <c r="I11" s="227"/>
      <c r="J11" s="710"/>
      <c r="K11" s="765"/>
      <c r="L11" s="464"/>
      <c r="M11" s="466"/>
      <c r="N11" s="464"/>
      <c r="P11" s="86"/>
      <c r="Q11" s="86"/>
      <c r="R11" s="86"/>
    </row>
    <row r="12" spans="1:18" ht="11.1" customHeight="1">
      <c r="B12" s="16">
        <f t="shared" si="0"/>
        <v>2</v>
      </c>
      <c r="C12" s="17">
        <v>44054</v>
      </c>
      <c r="D12" s="796"/>
      <c r="E12" s="796">
        <v>671.9</v>
      </c>
      <c r="F12" s="741"/>
      <c r="G12" s="913"/>
      <c r="H12" s="913">
        <v>322.89999999999998</v>
      </c>
      <c r="I12" s="227"/>
      <c r="J12" s="226"/>
      <c r="K12" s="765"/>
      <c r="L12" s="464"/>
      <c r="M12" s="466"/>
      <c r="N12" s="464"/>
      <c r="P12" s="86"/>
      <c r="Q12" s="86"/>
      <c r="R12" s="86"/>
    </row>
    <row r="13" spans="1:18" ht="11.1" customHeight="1">
      <c r="B13" s="16">
        <f t="shared" si="0"/>
        <v>3</v>
      </c>
      <c r="C13" s="17">
        <v>44055</v>
      </c>
      <c r="D13" s="796">
        <v>788.5</v>
      </c>
      <c r="E13" s="796"/>
      <c r="F13" s="741"/>
      <c r="G13" s="913"/>
      <c r="H13" s="913">
        <v>507.5</v>
      </c>
      <c r="I13" s="227"/>
      <c r="J13" s="226"/>
      <c r="K13" s="765"/>
      <c r="L13" s="464"/>
      <c r="M13" s="466"/>
      <c r="N13" s="464"/>
      <c r="P13" s="86"/>
      <c r="Q13" s="86"/>
      <c r="R13" s="86"/>
    </row>
    <row r="14" spans="1:18" ht="11.1" customHeight="1">
      <c r="B14" s="16">
        <f t="shared" si="0"/>
        <v>4</v>
      </c>
      <c r="C14" s="17">
        <v>44056</v>
      </c>
      <c r="D14" s="796"/>
      <c r="E14" s="778"/>
      <c r="F14" s="741"/>
      <c r="G14" s="913"/>
      <c r="H14" s="913"/>
      <c r="I14" s="227"/>
      <c r="J14" s="226"/>
      <c r="K14" s="765"/>
      <c r="L14" s="464"/>
      <c r="M14" s="466"/>
      <c r="N14" s="464"/>
      <c r="P14" s="86"/>
      <c r="Q14" s="86"/>
      <c r="R14" s="86"/>
    </row>
    <row r="15" spans="1:18" ht="11.25" customHeight="1">
      <c r="A15" s="86"/>
      <c r="B15" s="16">
        <f t="shared" si="0"/>
        <v>5</v>
      </c>
      <c r="C15" s="17">
        <v>44057</v>
      </c>
      <c r="D15" s="796"/>
      <c r="E15" s="778"/>
      <c r="F15" s="741"/>
      <c r="G15" s="913"/>
      <c r="H15" s="913"/>
      <c r="I15" s="227"/>
      <c r="J15" s="930"/>
      <c r="K15" s="14"/>
      <c r="L15" s="464"/>
      <c r="M15" s="466"/>
      <c r="N15" s="464"/>
      <c r="P15" s="86"/>
      <c r="Q15" s="86"/>
      <c r="R15" s="86"/>
    </row>
    <row r="16" spans="1:18" ht="12.75" customHeight="1">
      <c r="A16" s="86"/>
      <c r="B16" s="16">
        <f t="shared" si="0"/>
        <v>6</v>
      </c>
      <c r="C16" s="17">
        <v>44058</v>
      </c>
      <c r="D16" s="796"/>
      <c r="E16" s="778"/>
      <c r="F16" s="741"/>
      <c r="G16" s="913"/>
      <c r="H16" s="913"/>
      <c r="I16" s="227"/>
      <c r="J16" s="925"/>
      <c r="K16" s="765"/>
      <c r="L16" s="464"/>
      <c r="M16" s="466"/>
      <c r="N16" s="466"/>
      <c r="O16" s="86"/>
      <c r="P16" s="86"/>
      <c r="Q16" s="86"/>
      <c r="R16" s="86"/>
    </row>
    <row r="17" spans="1:18" ht="11.1" customHeight="1">
      <c r="A17" s="86"/>
      <c r="B17" s="16">
        <f t="shared" si="0"/>
        <v>7</v>
      </c>
      <c r="C17" s="17">
        <v>44059</v>
      </c>
      <c r="D17" s="796"/>
      <c r="E17" s="778"/>
      <c r="F17" s="741"/>
      <c r="G17" s="913"/>
      <c r="H17" s="913"/>
      <c r="I17" s="227"/>
      <c r="J17" s="14"/>
      <c r="K17" s="765"/>
      <c r="L17" s="464"/>
      <c r="M17" s="466"/>
      <c r="N17" s="468"/>
      <c r="O17" s="86"/>
      <c r="P17" s="86"/>
      <c r="Q17" s="86"/>
      <c r="R17" s="86"/>
    </row>
    <row r="18" spans="1:18" ht="11.1" customHeight="1">
      <c r="A18" s="86"/>
      <c r="B18" s="16">
        <f t="shared" si="0"/>
        <v>1</v>
      </c>
      <c r="C18" s="17">
        <v>44060</v>
      </c>
      <c r="D18" s="796"/>
      <c r="E18" s="778"/>
      <c r="F18" s="741"/>
      <c r="G18" s="913"/>
      <c r="H18" s="913"/>
      <c r="I18" s="227"/>
      <c r="J18" s="226"/>
      <c r="K18" s="765"/>
      <c r="L18" s="464"/>
      <c r="M18" s="466"/>
      <c r="N18" s="466"/>
      <c r="O18" s="86"/>
      <c r="P18" s="86"/>
      <c r="Q18" s="86"/>
      <c r="R18" s="86"/>
    </row>
    <row r="19" spans="1:18" ht="11.1" customHeight="1">
      <c r="A19" s="86"/>
      <c r="B19" s="16">
        <f t="shared" si="0"/>
        <v>2</v>
      </c>
      <c r="C19" s="17">
        <v>44061</v>
      </c>
      <c r="D19" s="796"/>
      <c r="E19" s="778"/>
      <c r="F19" s="741"/>
      <c r="G19" s="913"/>
      <c r="H19" s="913"/>
      <c r="I19" s="227"/>
      <c r="J19" s="14"/>
      <c r="K19" s="765"/>
      <c r="L19" s="464"/>
      <c r="M19" s="466"/>
      <c r="N19" s="466"/>
      <c r="O19" s="86"/>
      <c r="P19" s="86"/>
      <c r="Q19" s="86"/>
      <c r="R19" s="86"/>
    </row>
    <row r="20" spans="1:18" s="86" customFormat="1" ht="11.1" customHeight="1">
      <c r="A20" s="475"/>
      <c r="B20" s="16">
        <f t="shared" si="0"/>
        <v>3</v>
      </c>
      <c r="C20" s="17">
        <v>44062</v>
      </c>
      <c r="D20" s="796"/>
      <c r="E20" s="778"/>
      <c r="F20" s="741"/>
      <c r="G20" s="913"/>
      <c r="H20" s="913"/>
      <c r="I20" s="227"/>
      <c r="J20" s="22"/>
      <c r="K20" s="766"/>
      <c r="L20" s="466"/>
      <c r="M20" s="466"/>
      <c r="N20" s="466"/>
    </row>
    <row r="21" spans="1:18" s="86" customFormat="1" ht="11.1" customHeight="1">
      <c r="B21" s="16">
        <f t="shared" si="0"/>
        <v>4</v>
      </c>
      <c r="C21" s="17">
        <v>44063</v>
      </c>
      <c r="D21" s="796"/>
      <c r="E21" s="778"/>
      <c r="F21" s="741"/>
      <c r="G21" s="913"/>
      <c r="H21" s="913"/>
      <c r="I21" s="227"/>
      <c r="J21" s="226"/>
      <c r="K21" s="766"/>
      <c r="L21" s="466"/>
      <c r="M21" s="466"/>
      <c r="N21" s="466"/>
    </row>
    <row r="22" spans="1:18" s="86" customFormat="1" ht="11.1" customHeight="1">
      <c r="B22" s="16">
        <f t="shared" si="0"/>
        <v>5</v>
      </c>
      <c r="C22" s="17">
        <v>44064</v>
      </c>
      <c r="D22" s="796"/>
      <c r="E22" s="778"/>
      <c r="F22" s="741"/>
      <c r="G22" s="913"/>
      <c r="H22" s="913"/>
      <c r="I22" s="227"/>
      <c r="J22" s="226"/>
      <c r="K22" s="766"/>
      <c r="L22" s="466"/>
      <c r="M22" s="466"/>
      <c r="N22" s="466"/>
    </row>
    <row r="23" spans="1:18" s="86" customFormat="1" ht="11.1" customHeight="1">
      <c r="A23" s="928"/>
      <c r="B23" s="16">
        <f t="shared" si="0"/>
        <v>6</v>
      </c>
      <c r="C23" s="17">
        <v>44065</v>
      </c>
      <c r="D23" s="796"/>
      <c r="E23" s="778"/>
      <c r="F23" s="741"/>
      <c r="G23" s="913"/>
      <c r="H23" s="913"/>
      <c r="I23" s="227"/>
      <c r="J23" s="476"/>
      <c r="K23" s="766"/>
      <c r="L23" s="466"/>
      <c r="M23" s="466"/>
      <c r="N23" s="466"/>
    </row>
    <row r="24" spans="1:18" s="86" customFormat="1" ht="10.5" customHeight="1">
      <c r="A24" s="928"/>
      <c r="B24" s="16">
        <f t="shared" si="0"/>
        <v>7</v>
      </c>
      <c r="C24" s="17">
        <v>44066</v>
      </c>
      <c r="D24" s="796"/>
      <c r="E24" s="778"/>
      <c r="F24" s="741"/>
      <c r="G24" s="913"/>
      <c r="H24" s="913"/>
      <c r="I24" s="227"/>
      <c r="J24" s="226"/>
      <c r="K24" s="766"/>
      <c r="L24" s="466"/>
      <c r="M24" s="743"/>
      <c r="N24" s="466"/>
    </row>
    <row r="25" spans="1:18" s="86" customFormat="1" ht="11.1" customHeight="1">
      <c r="B25" s="16">
        <f t="shared" si="0"/>
        <v>1</v>
      </c>
      <c r="C25" s="17">
        <v>44067</v>
      </c>
      <c r="D25" s="796"/>
      <c r="E25" s="778"/>
      <c r="F25" s="741"/>
      <c r="G25" s="913"/>
      <c r="H25" s="913"/>
      <c r="I25" s="227"/>
      <c r="J25" s="226"/>
      <c r="K25" s="766"/>
      <c r="L25" s="466"/>
      <c r="M25" s="466"/>
      <c r="N25" s="477"/>
    </row>
    <row r="26" spans="1:18" s="86" customFormat="1" ht="11.1" customHeight="1">
      <c r="B26" s="16">
        <f t="shared" si="0"/>
        <v>2</v>
      </c>
      <c r="C26" s="17">
        <v>44068</v>
      </c>
      <c r="D26" s="796"/>
      <c r="E26" s="778"/>
      <c r="F26" s="741"/>
      <c r="G26" s="913"/>
      <c r="H26" s="913"/>
      <c r="I26" s="227"/>
      <c r="J26" s="226"/>
      <c r="K26" s="766"/>
      <c r="L26" s="466"/>
      <c r="M26" s="466"/>
      <c r="N26" s="477"/>
    </row>
    <row r="27" spans="1:18" s="86" customFormat="1" ht="11.1" customHeight="1">
      <c r="B27" s="16">
        <f t="shared" si="0"/>
        <v>3</v>
      </c>
      <c r="C27" s="17">
        <v>44069</v>
      </c>
      <c r="D27" s="796"/>
      <c r="E27" s="778"/>
      <c r="F27" s="741"/>
      <c r="G27" s="913"/>
      <c r="H27" s="913"/>
      <c r="I27" s="227"/>
      <c r="J27" s="226"/>
      <c r="K27" s="766"/>
      <c r="L27" s="469"/>
      <c r="M27" s="469"/>
      <c r="N27" s="469"/>
      <c r="O27" s="366"/>
      <c r="P27" s="366"/>
      <c r="Q27" s="366"/>
      <c r="R27" s="366"/>
    </row>
    <row r="28" spans="1:18" s="86" customFormat="1" ht="10.5" customHeight="1">
      <c r="A28" s="475"/>
      <c r="B28" s="16">
        <f t="shared" si="0"/>
        <v>4</v>
      </c>
      <c r="C28" s="17">
        <v>44070</v>
      </c>
      <c r="D28" s="796"/>
      <c r="E28" s="778"/>
      <c r="F28" s="741"/>
      <c r="G28" s="913"/>
      <c r="H28" s="913"/>
      <c r="I28" s="227"/>
      <c r="J28" s="226"/>
      <c r="K28" s="766"/>
      <c r="L28" s="469"/>
      <c r="M28" s="469"/>
      <c r="N28" s="469"/>
      <c r="O28" s="366"/>
      <c r="P28" s="366"/>
      <c r="Q28" s="366"/>
      <c r="R28" s="366"/>
    </row>
    <row r="29" spans="1:18" s="86" customFormat="1" ht="10.5" customHeight="1">
      <c r="B29" s="16">
        <f t="shared" si="0"/>
        <v>5</v>
      </c>
      <c r="C29" s="17">
        <v>44071</v>
      </c>
      <c r="D29" s="796"/>
      <c r="E29" s="778"/>
      <c r="F29" s="741"/>
      <c r="G29" s="913"/>
      <c r="H29" s="913"/>
      <c r="I29" s="227"/>
      <c r="J29" s="226"/>
      <c r="K29" s="766"/>
      <c r="L29" s="469"/>
      <c r="M29" s="467"/>
      <c r="N29" s="467"/>
      <c r="O29" s="366"/>
      <c r="P29" s="366"/>
      <c r="Q29" s="366"/>
      <c r="R29" s="366"/>
    </row>
    <row r="30" spans="1:18" s="86" customFormat="1" ht="11.1" customHeight="1">
      <c r="B30" s="16">
        <f t="shared" si="0"/>
        <v>6</v>
      </c>
      <c r="C30" s="17">
        <v>44072</v>
      </c>
      <c r="D30" s="796"/>
      <c r="E30" s="778"/>
      <c r="F30" s="741"/>
      <c r="G30" s="913"/>
      <c r="H30" s="913"/>
      <c r="I30" s="227"/>
      <c r="J30" s="709"/>
      <c r="K30" s="766"/>
      <c r="L30" s="467"/>
      <c r="M30" s="469"/>
      <c r="N30" s="467"/>
      <c r="O30" s="366"/>
      <c r="P30" s="366"/>
      <c r="Q30" s="366"/>
      <c r="R30" s="366"/>
    </row>
    <row r="31" spans="1:18" s="86" customFormat="1" ht="11.1" customHeight="1">
      <c r="A31" s="475"/>
      <c r="B31" s="16">
        <f t="shared" si="0"/>
        <v>7</v>
      </c>
      <c r="C31" s="17">
        <v>44073</v>
      </c>
      <c r="D31" s="796"/>
      <c r="E31" s="778"/>
      <c r="F31" s="741"/>
      <c r="G31" s="913"/>
      <c r="H31" s="913"/>
      <c r="I31" s="227"/>
      <c r="J31" s="910"/>
      <c r="K31" s="767"/>
      <c r="L31" s="470"/>
      <c r="M31" s="470"/>
      <c r="N31" s="470"/>
      <c r="O31" s="366"/>
      <c r="P31" s="366"/>
      <c r="Q31" s="366"/>
      <c r="R31" s="366"/>
    </row>
    <row r="32" spans="1:18" s="86" customFormat="1" ht="11.25" customHeight="1">
      <c r="A32" s="475"/>
      <c r="B32" s="16">
        <f t="shared" si="0"/>
        <v>1</v>
      </c>
      <c r="C32" s="17">
        <v>44074</v>
      </c>
      <c r="D32" s="796"/>
      <c r="E32" s="778"/>
      <c r="F32" s="741"/>
      <c r="G32" s="913"/>
      <c r="H32" s="913"/>
      <c r="I32" s="227"/>
      <c r="J32" s="366"/>
      <c r="K32" s="470"/>
      <c r="L32" s="470"/>
      <c r="M32" s="470"/>
      <c r="N32" s="470"/>
      <c r="O32" s="145"/>
      <c r="P32" s="366"/>
      <c r="Q32" s="366"/>
      <c r="R32" s="366"/>
    </row>
    <row r="33" spans="1:24" ht="14.1" customHeight="1" thickBot="1">
      <c r="B33" s="21"/>
      <c r="C33" s="582" t="s">
        <v>225</v>
      </c>
      <c r="D33" s="248">
        <f>COUNT(D2:D32)</f>
        <v>6</v>
      </c>
      <c r="E33" s="248">
        <f>COUNT(E2:E32)</f>
        <v>6</v>
      </c>
      <c r="F33" s="248">
        <f t="shared" ref="F33:G33" si="1">COUNT(F2:F32)</f>
        <v>0</v>
      </c>
      <c r="G33" s="248">
        <f t="shared" si="1"/>
        <v>6</v>
      </c>
      <c r="H33" s="248">
        <f>COUNT(H2:H32)</f>
        <v>6</v>
      </c>
      <c r="I33" s="248">
        <f>COUNT(I2:I32)</f>
        <v>0</v>
      </c>
      <c r="K33" s="470"/>
      <c r="L33" s="470"/>
      <c r="M33" s="470"/>
      <c r="N33" s="470"/>
      <c r="O33" s="366"/>
      <c r="P33" s="366"/>
      <c r="Q33" s="366"/>
      <c r="R33" s="366"/>
    </row>
    <row r="34" spans="1:24" ht="14.1" customHeight="1" thickBot="1">
      <c r="B34" s="21"/>
      <c r="C34" s="85" t="s">
        <v>73</v>
      </c>
      <c r="D34" s="238">
        <f t="shared" ref="D34:I34" si="2">SUM(D2:D32)</f>
        <v>4210.21</v>
      </c>
      <c r="E34" s="238">
        <f t="shared" si="2"/>
        <v>4819.0599999999995</v>
      </c>
      <c r="F34" s="238">
        <f t="shared" si="2"/>
        <v>0</v>
      </c>
      <c r="G34" s="238">
        <f t="shared" si="2"/>
        <v>2402.8999999999996</v>
      </c>
      <c r="H34" s="238">
        <f t="shared" si="2"/>
        <v>2846.4</v>
      </c>
      <c r="I34" s="238">
        <f t="shared" si="2"/>
        <v>0</v>
      </c>
      <c r="J34" s="1"/>
      <c r="K34" s="253" t="s">
        <v>189</v>
      </c>
      <c r="L34" s="292" t="s">
        <v>190</v>
      </c>
      <c r="M34" s="453" t="s">
        <v>219</v>
      </c>
      <c r="N34" s="363"/>
      <c r="O34" s="366"/>
      <c r="P34" s="366"/>
      <c r="Q34" s="366"/>
      <c r="R34" s="366"/>
    </row>
    <row r="35" spans="1:24" ht="14.1" customHeight="1" thickBot="1">
      <c r="B35" s="21"/>
      <c r="C35" s="85" t="s">
        <v>22</v>
      </c>
      <c r="D35" s="238">
        <v>14953.35</v>
      </c>
      <c r="E35" s="238">
        <v>11620.52</v>
      </c>
      <c r="F35" s="238">
        <v>5197.3</v>
      </c>
      <c r="G35" s="238">
        <v>1466</v>
      </c>
      <c r="H35" s="238">
        <v>7364.41</v>
      </c>
      <c r="I35" s="238">
        <f>1942.28-115</f>
        <v>1827.28</v>
      </c>
      <c r="J35" s="12"/>
      <c r="K35" s="292">
        <f>SUM(D2:E32)</f>
        <v>9029.2699999999986</v>
      </c>
      <c r="L35" s="292">
        <f>SUM(G2:H32)</f>
        <v>5249.3</v>
      </c>
      <c r="M35" s="454">
        <f>SUM(K2:K32)</f>
        <v>0</v>
      </c>
      <c r="N35" s="363"/>
      <c r="O35" s="366"/>
      <c r="P35" s="366"/>
      <c r="Q35" s="366"/>
      <c r="R35" s="366"/>
    </row>
    <row r="36" spans="1:24" ht="14.1" customHeight="1">
      <c r="B36" s="21"/>
      <c r="C36" s="85" t="s">
        <v>5</v>
      </c>
      <c r="D36" s="88">
        <f t="shared" ref="D36:I36" si="3">ABS(D34-D35)</f>
        <v>10743.14</v>
      </c>
      <c r="E36" s="88">
        <f t="shared" si="3"/>
        <v>6801.4600000000009</v>
      </c>
      <c r="F36" s="88">
        <f t="shared" si="3"/>
        <v>5197.3</v>
      </c>
      <c r="G36" s="88">
        <f t="shared" si="3"/>
        <v>936.89999999999964</v>
      </c>
      <c r="H36" s="88">
        <f t="shared" si="3"/>
        <v>4518.01</v>
      </c>
      <c r="I36" s="88">
        <f t="shared" si="3"/>
        <v>1827.28</v>
      </c>
      <c r="J36" s="1"/>
      <c r="K36" s="363"/>
      <c r="L36" s="363"/>
      <c r="M36" s="363"/>
      <c r="N36" s="363"/>
      <c r="O36" s="366"/>
      <c r="P36" s="366"/>
      <c r="Q36" s="366"/>
      <c r="R36" s="366"/>
    </row>
    <row r="37" spans="1:24" ht="14.1" customHeight="1">
      <c r="B37" s="21"/>
      <c r="C37" s="739" t="s">
        <v>233</v>
      </c>
      <c r="D37" s="89">
        <f t="shared" ref="D37:I37" si="4">ROUND(D36*1%,2)</f>
        <v>107.43</v>
      </c>
      <c r="E37" s="89">
        <f t="shared" si="4"/>
        <v>68.010000000000005</v>
      </c>
      <c r="F37" s="89">
        <f t="shared" si="4"/>
        <v>51.97</v>
      </c>
      <c r="G37" s="89">
        <f t="shared" si="4"/>
        <v>9.3699999999999992</v>
      </c>
      <c r="H37" s="89">
        <f t="shared" si="4"/>
        <v>45.18</v>
      </c>
      <c r="I37" s="89">
        <f t="shared" si="4"/>
        <v>18.27</v>
      </c>
      <c r="J37" s="1"/>
      <c r="K37" s="363"/>
      <c r="L37" s="363"/>
      <c r="M37" s="363"/>
      <c r="N37" s="363"/>
      <c r="O37" s="366"/>
      <c r="P37" s="366"/>
      <c r="Q37" s="366"/>
      <c r="R37" s="366"/>
    </row>
    <row r="38" spans="1:24" ht="14.1" customHeight="1">
      <c r="B38" s="21"/>
      <c r="C38" s="738" t="s">
        <v>234</v>
      </c>
      <c r="D38" s="89">
        <f t="shared" ref="D38:I38" si="5">ROUND(3%*D35,2)</f>
        <v>448.6</v>
      </c>
      <c r="E38" s="89">
        <f t="shared" si="5"/>
        <v>348.62</v>
      </c>
      <c r="F38" s="89">
        <f t="shared" si="5"/>
        <v>155.91999999999999</v>
      </c>
      <c r="G38" s="89">
        <f t="shared" si="5"/>
        <v>43.98</v>
      </c>
      <c r="H38" s="89">
        <f t="shared" si="5"/>
        <v>220.93</v>
      </c>
      <c r="I38" s="89">
        <f t="shared" si="5"/>
        <v>54.82</v>
      </c>
      <c r="J38" s="1"/>
      <c r="K38" s="145"/>
      <c r="L38" s="145"/>
      <c r="M38" s="366"/>
      <c r="N38" s="363"/>
      <c r="O38" s="366"/>
      <c r="P38" s="366"/>
      <c r="Q38" s="366"/>
      <c r="R38" s="366"/>
    </row>
    <row r="39" spans="1:24" ht="14.1" customHeight="1">
      <c r="B39" s="21"/>
      <c r="C39" s="85" t="s">
        <v>7</v>
      </c>
      <c r="D39" s="87">
        <v>50</v>
      </c>
      <c r="E39" s="87">
        <v>50</v>
      </c>
      <c r="F39" s="87"/>
      <c r="G39" s="87"/>
      <c r="H39" s="473"/>
      <c r="I39" s="473"/>
      <c r="J39" s="12"/>
      <c r="K39" s="145"/>
      <c r="L39" s="366"/>
      <c r="M39" s="366"/>
      <c r="N39" s="363"/>
      <c r="O39" s="366"/>
      <c r="P39" s="366"/>
      <c r="Q39" s="366"/>
      <c r="R39" s="366"/>
    </row>
    <row r="40" spans="1:24" ht="14.1" customHeight="1">
      <c r="B40" s="21"/>
      <c r="C40" s="85" t="s">
        <v>14</v>
      </c>
      <c r="D40" s="87">
        <f>ROUND(20*D33,2)</f>
        <v>120</v>
      </c>
      <c r="E40" s="87">
        <f>ROUND(20*E33,2)</f>
        <v>120</v>
      </c>
      <c r="F40" s="87">
        <f>(6*25)+(3*20)</f>
        <v>210</v>
      </c>
      <c r="G40" s="87">
        <f>ROUND(25*G33,2)</f>
        <v>150</v>
      </c>
      <c r="H40" s="88">
        <f>ROUND(25*H33,2)</f>
        <v>150</v>
      </c>
      <c r="I40" s="88">
        <f>ROUND(25*I33,2)</f>
        <v>0</v>
      </c>
      <c r="J40" s="8"/>
      <c r="K40" s="283"/>
      <c r="L40" s="145"/>
      <c r="M40" s="145"/>
      <c r="N40" s="363"/>
      <c r="O40" s="366"/>
      <c r="P40" s="366"/>
      <c r="Q40" s="366"/>
      <c r="R40" s="366"/>
    </row>
    <row r="41" spans="1:24" ht="14.1" customHeight="1">
      <c r="B41" s="31"/>
      <c r="C41" s="239" t="s">
        <v>94</v>
      </c>
      <c r="D41" s="18">
        <v>337.71</v>
      </c>
      <c r="E41" s="241">
        <v>180.88</v>
      </c>
      <c r="F41" s="87"/>
      <c r="G41" s="87"/>
      <c r="H41" s="87">
        <v>257.08999999999997</v>
      </c>
      <c r="I41" s="87"/>
      <c r="K41" s="145"/>
      <c r="L41" s="366"/>
      <c r="M41" s="366"/>
      <c r="N41" s="363"/>
      <c r="O41" s="366"/>
      <c r="P41" s="366"/>
      <c r="Q41" s="366"/>
      <c r="R41" s="366"/>
    </row>
    <row r="42" spans="1:24" ht="14.1" hidden="1" customHeight="1">
      <c r="B42" s="21"/>
      <c r="C42" s="242" t="s">
        <v>48</v>
      </c>
      <c r="D42" s="243"/>
      <c r="E42" s="240"/>
      <c r="F42" s="87"/>
      <c r="G42" s="87"/>
      <c r="H42" s="87"/>
      <c r="I42" s="87"/>
      <c r="J42" s="8"/>
      <c r="K42" s="283"/>
      <c r="L42" s="145"/>
      <c r="M42" s="366"/>
      <c r="N42" s="366"/>
      <c r="O42" s="366"/>
      <c r="P42" s="366"/>
      <c r="Q42" s="366"/>
      <c r="R42" s="366"/>
    </row>
    <row r="43" spans="1:24" ht="14.1" hidden="1" customHeight="1">
      <c r="B43" s="21"/>
      <c r="C43" s="795"/>
      <c r="D43" s="243"/>
      <c r="E43" s="240"/>
      <c r="F43" s="87"/>
      <c r="G43" s="87"/>
      <c r="H43" s="87"/>
      <c r="I43" s="87"/>
      <c r="J43" s="8"/>
      <c r="K43" s="283"/>
      <c r="L43" s="145"/>
      <c r="M43" s="366"/>
      <c r="N43" s="366"/>
      <c r="O43" s="366"/>
      <c r="P43" s="366"/>
      <c r="Q43" s="366"/>
      <c r="R43" s="366"/>
    </row>
    <row r="44" spans="1:24" ht="14.1" customHeight="1">
      <c r="B44" s="21"/>
      <c r="C44" s="245" t="s">
        <v>77</v>
      </c>
      <c r="D44" s="456">
        <f>D37+D38+D39+D40-D41</f>
        <v>388.32</v>
      </c>
      <c r="E44" s="456">
        <f>E37+E38+E39+E40-E41-E42</f>
        <v>405.75</v>
      </c>
      <c r="F44" s="456">
        <f>F37+F38+F40</f>
        <v>417.89</v>
      </c>
      <c r="G44" s="456">
        <f>G37+G38+G40</f>
        <v>203.35</v>
      </c>
      <c r="H44" s="456">
        <f>H37+H38+H40-H41</f>
        <v>159.02000000000004</v>
      </c>
      <c r="I44" s="456">
        <f>I37+I38+I40</f>
        <v>73.09</v>
      </c>
      <c r="J44" s="8"/>
      <c r="K44" s="145"/>
      <c r="L44" s="145"/>
      <c r="M44" s="366"/>
      <c r="N44" s="366"/>
      <c r="O44" s="366"/>
      <c r="P44" s="366"/>
      <c r="Q44" s="366"/>
      <c r="R44" s="366"/>
    </row>
    <row r="45" spans="1:24" ht="14.1" customHeight="1">
      <c r="B45" s="21"/>
      <c r="C45" s="286" t="s">
        <v>45</v>
      </c>
      <c r="D45" s="287">
        <f>D37+D38+D39+D40</f>
        <v>726.03</v>
      </c>
      <c r="E45" s="287">
        <f>E37+E38+E39+E40</f>
        <v>586.63</v>
      </c>
      <c r="F45" s="287">
        <f>F37+F38+F39+F40</f>
        <v>417.89</v>
      </c>
      <c r="G45" s="287">
        <f>G37+G38+G40</f>
        <v>203.35</v>
      </c>
      <c r="H45" s="287">
        <f>H37+H38+H40</f>
        <v>416.11</v>
      </c>
      <c r="I45" s="287">
        <f>I37+I38+I40</f>
        <v>73.09</v>
      </c>
      <c r="J45" s="8"/>
      <c r="K45" s="462"/>
      <c r="L45" s="366"/>
      <c r="M45" s="366"/>
      <c r="N45" s="366"/>
      <c r="O45" s="366"/>
      <c r="P45" s="366"/>
      <c r="Q45" s="366"/>
      <c r="R45" s="366"/>
      <c r="S45" s="1"/>
      <c r="T45" s="1"/>
      <c r="U45" s="1"/>
      <c r="V45" s="1"/>
      <c r="W45" s="1"/>
      <c r="X45" s="1"/>
    </row>
    <row r="46" spans="1:24" ht="12.95" customHeight="1">
      <c r="B46" s="21"/>
      <c r="C46" s="169"/>
      <c r="D46" s="364">
        <f>D44+E44</f>
        <v>794.06999999999994</v>
      </c>
      <c r="E46" s="462"/>
      <c r="F46" s="8"/>
      <c r="G46" s="8">
        <f>F44+G44+H44+I44</f>
        <v>853.35</v>
      </c>
      <c r="H46" s="8"/>
      <c r="I46" s="8"/>
      <c r="J46" s="8"/>
      <c r="K46" s="283"/>
      <c r="L46" s="366"/>
      <c r="M46" s="366"/>
      <c r="N46" s="366"/>
      <c r="O46" s="366"/>
      <c r="P46" s="366"/>
      <c r="Q46" s="366"/>
      <c r="R46" s="366"/>
      <c r="S46" s="1"/>
      <c r="T46" s="1"/>
      <c r="U46" s="1"/>
      <c r="V46" s="1"/>
      <c r="W46" s="1"/>
      <c r="X46" s="1"/>
    </row>
    <row r="47" spans="1:24" s="86" customFormat="1" ht="12.95" customHeight="1">
      <c r="A47" s="168"/>
      <c r="B47" s="475"/>
      <c r="C47" s="1062"/>
      <c r="D47" s="1062"/>
      <c r="E47" s="1062"/>
      <c r="F47" s="1062"/>
      <c r="G47" s="1062"/>
      <c r="H47" s="1062"/>
      <c r="I47" s="927"/>
      <c r="J47" s="168"/>
      <c r="K47" s="68"/>
      <c r="L47" s="145"/>
      <c r="M47" s="366"/>
      <c r="N47" s="366"/>
      <c r="O47" s="145"/>
      <c r="P47" s="366"/>
      <c r="Q47" s="366"/>
      <c r="R47" s="366"/>
      <c r="S47" s="366"/>
      <c r="T47" s="366"/>
      <c r="U47" s="366"/>
      <c r="V47" s="366"/>
      <c r="W47" s="366"/>
      <c r="X47" s="366"/>
    </row>
    <row r="48" spans="1:24" s="86" customFormat="1" ht="12.95" customHeight="1">
      <c r="A48" s="168"/>
      <c r="B48" s="475"/>
      <c r="C48" s="366"/>
      <c r="D48" s="145"/>
      <c r="E48" s="145" t="s">
        <v>381</v>
      </c>
      <c r="F48" s="168"/>
      <c r="G48" s="168"/>
      <c r="H48" s="168"/>
      <c r="I48" s="168"/>
      <c r="J48" s="168"/>
      <c r="K48" s="72"/>
      <c r="L48" s="366"/>
      <c r="M48" s="366"/>
      <c r="N48" s="366"/>
      <c r="O48" s="145"/>
      <c r="P48" s="366"/>
      <c r="Q48" s="366"/>
      <c r="R48" s="366"/>
      <c r="S48" s="366"/>
      <c r="T48" s="366"/>
      <c r="U48" s="366"/>
      <c r="V48" s="366"/>
      <c r="W48" s="366"/>
      <c r="X48" s="366"/>
    </row>
    <row r="49" spans="1:24" ht="12.95" customHeight="1">
      <c r="B49" s="32"/>
      <c r="C49" s="1"/>
      <c r="D49" s="1"/>
      <c r="E49" s="127"/>
      <c r="H49" s="8"/>
      <c r="I49" s="8"/>
      <c r="J49" s="207"/>
      <c r="K49" s="68"/>
      <c r="L49" s="366"/>
      <c r="M49" s="366"/>
      <c r="N49" s="366"/>
      <c r="O49" s="366"/>
      <c r="P49" s="366"/>
      <c r="Q49" s="366"/>
      <c r="R49" s="366"/>
      <c r="S49" s="1"/>
      <c r="T49" s="1"/>
      <c r="U49" s="1"/>
      <c r="V49" s="1"/>
      <c r="W49" s="1"/>
      <c r="X49" s="1"/>
    </row>
    <row r="50" spans="1:24" s="86" customFormat="1" ht="12.95" customHeight="1">
      <c r="B50" s="517"/>
      <c r="C50" s="518"/>
      <c r="D50" s="518"/>
      <c r="E50" s="518"/>
      <c r="F50" s="518"/>
      <c r="G50" s="518"/>
      <c r="H50" s="518"/>
      <c r="I50" s="518"/>
      <c r="J50" s="519"/>
      <c r="K50" s="933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X50" s="366"/>
    </row>
    <row r="51" spans="1:24" s="86" customFormat="1" ht="12.95" customHeight="1">
      <c r="C51" s="518"/>
      <c r="D51" s="518"/>
      <c r="E51" s="550"/>
      <c r="F51" s="550"/>
      <c r="G51" s="550"/>
      <c r="H51" s="518"/>
      <c r="I51" s="518"/>
      <c r="J51" s="168"/>
      <c r="K51" s="551"/>
      <c r="L51" s="518"/>
      <c r="M51" s="518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</row>
    <row r="52" spans="1:24" s="86" customFormat="1" ht="12" customHeight="1">
      <c r="A52" s="366"/>
      <c r="B52" s="366"/>
      <c r="C52" s="518"/>
      <c r="D52" s="518"/>
      <c r="E52" s="550"/>
      <c r="F52" s="550"/>
      <c r="G52" s="550"/>
      <c r="H52" s="518"/>
      <c r="I52" s="518"/>
      <c r="J52" s="519"/>
      <c r="K52" s="518"/>
      <c r="L52" s="518"/>
      <c r="M52" s="518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4" s="86" customFormat="1" ht="18.75">
      <c r="A53" s="366"/>
      <c r="B53" s="366"/>
      <c r="C53" s="366"/>
      <c r="D53" s="366"/>
      <c r="E53" s="144"/>
      <c r="J53" s="519"/>
      <c r="K53" s="518"/>
      <c r="L53" s="518"/>
      <c r="M53" s="518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</row>
    <row r="54" spans="1:24" s="86" customFormat="1">
      <c r="A54" s="366"/>
      <c r="B54" s="366"/>
      <c r="C54" s="366"/>
      <c r="D54" s="366"/>
      <c r="E54" s="144"/>
      <c r="K54" s="143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</row>
    <row r="55" spans="1:24" s="86" customFormat="1" ht="15" customHeight="1">
      <c r="A55" s="366"/>
      <c r="B55" s="366"/>
      <c r="C55" s="366"/>
      <c r="D55" s="366"/>
      <c r="E55" s="144"/>
      <c r="J55" s="550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</row>
    <row r="56" spans="1:24" s="86" customFormat="1" ht="15" customHeight="1">
      <c r="A56" s="366"/>
      <c r="B56" s="366"/>
      <c r="C56" s="366"/>
      <c r="D56" s="366"/>
      <c r="E56" s="144"/>
      <c r="J56" s="550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</row>
    <row r="57" spans="1:24" s="86" customFormat="1" ht="15" customHeight="1">
      <c r="A57" s="366"/>
      <c r="B57" s="366"/>
      <c r="C57" s="366"/>
      <c r="D57" s="366"/>
      <c r="E57" s="144"/>
      <c r="J57" s="550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</row>
    <row r="58" spans="1:24" s="86" customFormat="1">
      <c r="A58" s="366"/>
      <c r="B58" s="366"/>
      <c r="C58" s="366"/>
      <c r="D58" s="366"/>
      <c r="E58" s="144"/>
      <c r="J58" s="168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</row>
    <row r="59" spans="1:24" s="86" customFormat="1">
      <c r="A59" s="366"/>
      <c r="B59" s="366"/>
      <c r="C59" s="366"/>
      <c r="D59" s="366"/>
      <c r="E59" s="144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</row>
    <row r="60" spans="1:24" s="86" customFormat="1">
      <c r="A60" s="366"/>
      <c r="B60" s="366"/>
      <c r="C60" s="366"/>
      <c r="D60" s="366"/>
      <c r="E60" s="144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</row>
    <row r="61" spans="1:24" s="86" customFormat="1">
      <c r="A61" s="366"/>
      <c r="B61" s="366"/>
      <c r="C61" s="366"/>
      <c r="D61" s="366"/>
      <c r="E61" s="144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</row>
    <row r="62" spans="1:24" s="86" customFormat="1">
      <c r="A62" s="366"/>
      <c r="B62" s="366"/>
      <c r="C62" s="366"/>
      <c r="D62" s="366"/>
      <c r="E62" s="144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</row>
    <row r="63" spans="1:24">
      <c r="A63" s="1"/>
      <c r="B63" s="1"/>
      <c r="C63" s="1"/>
      <c r="D63" s="1"/>
      <c r="E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1"/>
      <c r="D67" s="1"/>
      <c r="E67" s="11"/>
    </row>
    <row r="68" spans="1:24">
      <c r="A68" s="1"/>
      <c r="B68" s="1"/>
      <c r="C68" s="1"/>
      <c r="D68" s="1"/>
      <c r="E68" s="11"/>
    </row>
    <row r="69" spans="1:24">
      <c r="A69" s="1"/>
      <c r="B69" s="1"/>
      <c r="C69" s="1"/>
      <c r="D69" s="1"/>
      <c r="E69" s="11"/>
    </row>
    <row r="70" spans="1:24">
      <c r="A70" s="1"/>
      <c r="B70" s="1"/>
      <c r="C70" s="1"/>
      <c r="D70" s="1"/>
      <c r="E70" s="11"/>
    </row>
    <row r="71" spans="1:24">
      <c r="A71" s="1"/>
      <c r="B71" s="1"/>
      <c r="C71" s="1"/>
      <c r="D71" s="1"/>
      <c r="E71" s="11"/>
    </row>
    <row r="72" spans="1:24">
      <c r="A72" s="1"/>
      <c r="B72" s="1"/>
      <c r="C72" s="1"/>
      <c r="D72" s="1"/>
      <c r="E72" s="11"/>
    </row>
    <row r="73" spans="1:24">
      <c r="A73" s="1"/>
      <c r="B73" s="1"/>
      <c r="C73" s="1"/>
      <c r="D73" s="1"/>
      <c r="E73" s="11"/>
    </row>
    <row r="74" spans="1:24">
      <c r="A74" s="1"/>
      <c r="B74" s="1"/>
      <c r="C74" s="1"/>
      <c r="D74" s="1"/>
      <c r="E74" s="11"/>
    </row>
    <row r="75" spans="1:24">
      <c r="A75" s="1"/>
      <c r="B75" s="1"/>
      <c r="C75" s="1"/>
      <c r="D75" s="1"/>
      <c r="E75" s="11"/>
    </row>
    <row r="76" spans="1:24">
      <c r="A76" s="1"/>
      <c r="B76" s="1"/>
      <c r="C76" s="1"/>
      <c r="D76" s="1"/>
      <c r="E76" s="11"/>
    </row>
    <row r="77" spans="1:24">
      <c r="A77" s="1"/>
      <c r="B77" s="1"/>
      <c r="C77" s="1"/>
      <c r="D77" s="1"/>
      <c r="E77" s="11"/>
    </row>
    <row r="78" spans="1:24">
      <c r="A78" s="1"/>
      <c r="B78" s="1"/>
      <c r="C78" s="1"/>
      <c r="D78" s="1"/>
      <c r="E78" s="11"/>
    </row>
    <row r="79" spans="1:24">
      <c r="A79" s="1"/>
      <c r="B79" s="1"/>
      <c r="C79" s="1"/>
      <c r="D79" s="1"/>
      <c r="E79" s="11"/>
    </row>
    <row r="80" spans="1:24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">
    <mergeCell ref="C47:H47"/>
  </mergeCells>
  <conditionalFormatting sqref="B2:I32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1"/>
  <sheetViews>
    <sheetView topLeftCell="A286" zoomScale="70" zoomScaleNormal="70" zoomScaleSheetLayoutView="85" workbookViewId="0">
      <selection activeCell="O299" sqref="O299:Q314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1050" t="s">
        <v>28</v>
      </c>
      <c r="B1" s="1047"/>
      <c r="C1" s="1047"/>
      <c r="D1" s="1047"/>
      <c r="E1" s="1047"/>
      <c r="F1" s="1047"/>
      <c r="G1" s="1051"/>
      <c r="H1" s="394"/>
      <c r="I1" s="1048" t="s">
        <v>43</v>
      </c>
      <c r="J1" s="1048"/>
      <c r="K1" s="1048"/>
      <c r="L1" s="1048"/>
      <c r="M1" s="1049"/>
      <c r="N1" s="1047" t="s">
        <v>60</v>
      </c>
      <c r="O1" s="1047"/>
      <c r="P1" s="108"/>
      <c r="Q1" s="109"/>
    </row>
    <row r="2" spans="1:17" ht="19.5" customHeight="1">
      <c r="A2" s="395" t="s">
        <v>2</v>
      </c>
      <c r="B2" s="367" t="s">
        <v>34</v>
      </c>
      <c r="C2" s="36" t="s">
        <v>35</v>
      </c>
      <c r="D2" s="36" t="s">
        <v>38</v>
      </c>
      <c r="E2" s="36" t="s">
        <v>42</v>
      </c>
      <c r="F2" s="371" t="s">
        <v>36</v>
      </c>
      <c r="G2" s="1" t="s">
        <v>37</v>
      </c>
      <c r="H2" s="43"/>
      <c r="I2" s="40"/>
      <c r="J2" s="368" t="s">
        <v>41</v>
      </c>
      <c r="K2" s="368" t="s">
        <v>38</v>
      </c>
      <c r="L2" s="368" t="s">
        <v>42</v>
      </c>
      <c r="M2" s="100" t="s">
        <v>44</v>
      </c>
      <c r="O2" s="1"/>
      <c r="P2" s="282" t="s">
        <v>58</v>
      </c>
      <c r="Q2" s="396" t="s">
        <v>65</v>
      </c>
    </row>
    <row r="3" spans="1:17">
      <c r="A3" s="397">
        <v>43647</v>
      </c>
      <c r="B3" s="369" t="s">
        <v>97</v>
      </c>
      <c r="C3" s="37">
        <v>1364.15</v>
      </c>
      <c r="D3" s="37">
        <v>500</v>
      </c>
      <c r="E3" s="37">
        <f>C3-D3</f>
        <v>864.15000000000009</v>
      </c>
      <c r="F3" s="368" t="s">
        <v>91</v>
      </c>
      <c r="G3" s="150" t="e">
        <f>#REF!</f>
        <v>#REF!</v>
      </c>
      <c r="H3" s="43"/>
      <c r="I3" s="368" t="s">
        <v>39</v>
      </c>
      <c r="J3" s="368">
        <v>1841.27</v>
      </c>
      <c r="K3" s="368">
        <v>900</v>
      </c>
      <c r="L3" s="368">
        <f>J3-K3</f>
        <v>941.27</v>
      </c>
      <c r="M3" s="101">
        <v>43651</v>
      </c>
      <c r="N3" s="99">
        <v>43647</v>
      </c>
      <c r="O3" s="368" t="s">
        <v>30</v>
      </c>
      <c r="P3" s="368">
        <v>764.4</v>
      </c>
      <c r="Q3" s="111"/>
    </row>
    <row r="4" spans="1:17">
      <c r="A4" s="398"/>
      <c r="B4" s="369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68" t="str">
        <f t="shared" ref="F4:F21" si="1">IF(C4=0,"",IF(C4-D4=0,"оплачено",""))</f>
        <v>оплачено</v>
      </c>
      <c r="G4" s="1" t="e">
        <f>#REF!</f>
        <v>#REF!</v>
      </c>
      <c r="H4" s="43"/>
      <c r="I4" s="368" t="s">
        <v>40</v>
      </c>
      <c r="J4" s="368">
        <v>660.88</v>
      </c>
      <c r="K4" s="368">
        <v>300</v>
      </c>
      <c r="L4" s="368">
        <f>J4-K4</f>
        <v>360.88</v>
      </c>
      <c r="M4" s="101">
        <v>43651</v>
      </c>
      <c r="N4" s="99">
        <v>43656</v>
      </c>
      <c r="O4" s="368" t="s">
        <v>30</v>
      </c>
      <c r="P4" s="368">
        <v>634.79999999999995</v>
      </c>
      <c r="Q4" s="111"/>
    </row>
    <row r="5" spans="1:17">
      <c r="A5" s="399" t="s">
        <v>70</v>
      </c>
      <c r="B5" s="54" t="s">
        <v>27</v>
      </c>
      <c r="C5" s="55">
        <v>1040.7</v>
      </c>
      <c r="D5" s="56">
        <v>1040.7</v>
      </c>
      <c r="E5" s="57">
        <f t="shared" si="0"/>
        <v>0</v>
      </c>
      <c r="F5" s="58" t="str">
        <f t="shared" si="1"/>
        <v>оплачено</v>
      </c>
      <c r="G5" s="1">
        <v>1628</v>
      </c>
      <c r="H5" s="43"/>
      <c r="I5" s="1"/>
      <c r="J5" s="92">
        <f>SUM(J3:J4)</f>
        <v>2502.15</v>
      </c>
      <c r="K5" s="1"/>
      <c r="L5" s="1">
        <f>SUM(L3:L4)</f>
        <v>1302.1500000000001</v>
      </c>
      <c r="M5" s="44"/>
      <c r="N5" s="99">
        <v>43661</v>
      </c>
      <c r="O5" s="368" t="s">
        <v>55</v>
      </c>
      <c r="P5" s="368">
        <v>575.25</v>
      </c>
      <c r="Q5" s="111"/>
    </row>
    <row r="6" spans="1:17">
      <c r="A6" s="400"/>
      <c r="B6" s="369" t="s">
        <v>29</v>
      </c>
      <c r="C6" s="39">
        <v>234.3</v>
      </c>
      <c r="D6" s="47">
        <v>234.3</v>
      </c>
      <c r="E6" s="37">
        <f t="shared" si="0"/>
        <v>0</v>
      </c>
      <c r="F6" s="368" t="str">
        <f t="shared" si="1"/>
        <v>оплачено</v>
      </c>
      <c r="G6" s="106">
        <v>354.5</v>
      </c>
      <c r="H6" s="1"/>
      <c r="I6" s="150"/>
      <c r="J6" s="1"/>
      <c r="K6" s="1"/>
      <c r="L6" s="1"/>
      <c r="M6" s="44"/>
      <c r="N6" s="370"/>
      <c r="O6" s="53" t="s">
        <v>64</v>
      </c>
      <c r="P6" s="53">
        <v>1182.9000000000001</v>
      </c>
      <c r="Q6" s="111"/>
    </row>
    <row r="7" spans="1:17" ht="15" customHeight="1">
      <c r="A7" s="1052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6">
        <v>1162</v>
      </c>
      <c r="H7" s="1056" t="s">
        <v>16</v>
      </c>
      <c r="I7" s="1042" t="s">
        <v>17</v>
      </c>
      <c r="J7" s="1042" t="s">
        <v>21</v>
      </c>
      <c r="K7" s="1042"/>
      <c r="L7" s="1044" t="s">
        <v>93</v>
      </c>
      <c r="M7" s="1046" t="s">
        <v>95</v>
      </c>
      <c r="N7" s="370"/>
      <c r="O7" s="53" t="s">
        <v>66</v>
      </c>
      <c r="P7" s="53">
        <v>554.70000000000005</v>
      </c>
      <c r="Q7" s="111"/>
    </row>
    <row r="8" spans="1:17" ht="23.25" customHeight="1">
      <c r="A8" s="1053"/>
      <c r="B8" s="368" t="s">
        <v>32</v>
      </c>
      <c r="C8" s="368">
        <v>229.95</v>
      </c>
      <c r="D8" s="49">
        <v>229.95</v>
      </c>
      <c r="E8" s="37">
        <f t="shared" si="0"/>
        <v>0</v>
      </c>
      <c r="F8" s="368" t="str">
        <f t="shared" si="1"/>
        <v>оплачено</v>
      </c>
      <c r="G8" s="106">
        <v>378</v>
      </c>
      <c r="H8" s="1056"/>
      <c r="I8" s="1042"/>
      <c r="J8" s="372" t="s">
        <v>21</v>
      </c>
      <c r="K8" s="372" t="s">
        <v>25</v>
      </c>
      <c r="L8" s="1044"/>
      <c r="M8" s="1046"/>
      <c r="N8" s="370"/>
      <c r="O8" s="53" t="s">
        <v>67</v>
      </c>
      <c r="P8" s="368">
        <f>292.5/2</f>
        <v>146.25</v>
      </c>
      <c r="Q8" s="111"/>
    </row>
    <row r="9" spans="1:17">
      <c r="A9" s="401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6"/>
      <c r="H9" s="105" t="s">
        <v>18</v>
      </c>
      <c r="I9" s="94">
        <v>32809.9</v>
      </c>
      <c r="J9" s="94">
        <v>1675.7199999999998</v>
      </c>
      <c r="K9" s="98">
        <v>1047.01</v>
      </c>
      <c r="L9" s="96">
        <v>52152</v>
      </c>
      <c r="M9" s="104">
        <f>82159.79-I9-J9-K9+L9</f>
        <v>98779.159999999989</v>
      </c>
      <c r="N9" s="99">
        <v>43669</v>
      </c>
      <c r="O9" s="368" t="s">
        <v>55</v>
      </c>
      <c r="P9" s="53">
        <v>1798</v>
      </c>
      <c r="Q9" s="111"/>
    </row>
    <row r="10" spans="1:17">
      <c r="A10" s="401">
        <v>43656</v>
      </c>
      <c r="B10" s="369" t="s">
        <v>149</v>
      </c>
      <c r="C10" s="368">
        <v>211.4</v>
      </c>
      <c r="D10" s="368">
        <v>211.4</v>
      </c>
      <c r="E10" s="37">
        <f t="shared" ref="E10:E21" si="2">C10-D10</f>
        <v>0</v>
      </c>
      <c r="F10" s="368" t="str">
        <f t="shared" si="1"/>
        <v>оплачено</v>
      </c>
      <c r="G10" s="106"/>
      <c r="H10" s="105" t="s">
        <v>19</v>
      </c>
      <c r="I10" s="94">
        <v>35259.579999999994</v>
      </c>
      <c r="J10" s="95">
        <v>1363.3000000000002</v>
      </c>
      <c r="K10" s="94">
        <v>1176.05</v>
      </c>
      <c r="L10" s="97">
        <v>40465.950000000004</v>
      </c>
      <c r="M10" s="96">
        <f>M9-I10-J10-K10+L10</f>
        <v>101446.18</v>
      </c>
      <c r="N10" s="370"/>
      <c r="O10" s="53" t="s">
        <v>82</v>
      </c>
      <c r="P10" s="53">
        <v>550</v>
      </c>
      <c r="Q10" s="111"/>
    </row>
    <row r="11" spans="1:17">
      <c r="A11" s="402">
        <v>43657</v>
      </c>
      <c r="B11" s="369" t="s">
        <v>71</v>
      </c>
      <c r="C11" s="368">
        <v>264.07</v>
      </c>
      <c r="D11" s="49">
        <v>264.07</v>
      </c>
      <c r="E11" s="37">
        <f t="shared" si="2"/>
        <v>0</v>
      </c>
      <c r="F11" s="368" t="str">
        <f t="shared" si="1"/>
        <v>оплачено</v>
      </c>
      <c r="G11" s="106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2"/>
      <c r="N11" s="370"/>
      <c r="O11" s="53" t="s">
        <v>83</v>
      </c>
      <c r="P11" s="53">
        <v>1800</v>
      </c>
      <c r="Q11" s="111"/>
    </row>
    <row r="12" spans="1:17">
      <c r="A12" s="402">
        <v>43658</v>
      </c>
      <c r="B12" s="369" t="s">
        <v>62</v>
      </c>
      <c r="C12" s="368">
        <v>543.64</v>
      </c>
      <c r="D12" s="368">
        <v>543.64</v>
      </c>
      <c r="E12" s="37">
        <f t="shared" si="2"/>
        <v>0</v>
      </c>
      <c r="F12" s="368" t="str">
        <f t="shared" si="1"/>
        <v>оплачено</v>
      </c>
      <c r="G12" s="12">
        <f>C10+C15</f>
        <v>378</v>
      </c>
      <c r="H12" s="43"/>
      <c r="I12" s="150"/>
      <c r="J12" s="1"/>
      <c r="K12" s="157"/>
      <c r="L12" s="150"/>
      <c r="M12" s="102"/>
      <c r="N12" s="370"/>
      <c r="O12" s="53" t="s">
        <v>84</v>
      </c>
      <c r="P12" s="53">
        <v>2400</v>
      </c>
      <c r="Q12" s="111"/>
    </row>
    <row r="13" spans="1:17">
      <c r="A13" s="402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0"/>
      <c r="K13" s="157"/>
      <c r="L13" s="150"/>
      <c r="M13" s="102"/>
      <c r="N13" s="370"/>
      <c r="O13" s="53" t="s">
        <v>85</v>
      </c>
      <c r="P13" s="53">
        <v>40</v>
      </c>
      <c r="Q13" s="111"/>
    </row>
    <row r="14" spans="1:17">
      <c r="A14" s="401">
        <v>43666</v>
      </c>
      <c r="B14" s="368" t="s">
        <v>63</v>
      </c>
      <c r="C14" s="368">
        <v>178.15</v>
      </c>
      <c r="D14" s="368">
        <v>178.15</v>
      </c>
      <c r="E14" s="37">
        <f t="shared" si="2"/>
        <v>0</v>
      </c>
      <c r="F14" s="368" t="str">
        <f t="shared" si="1"/>
        <v>оплачено</v>
      </c>
      <c r="G14" s="1"/>
      <c r="H14" s="43"/>
      <c r="I14" s="1"/>
      <c r="J14" s="1"/>
      <c r="K14" s="158"/>
      <c r="L14" s="150"/>
      <c r="M14" s="44"/>
      <c r="N14" s="370"/>
      <c r="O14" s="53" t="s">
        <v>86</v>
      </c>
      <c r="P14" s="368">
        <f>1074/2</f>
        <v>537</v>
      </c>
      <c r="Q14" s="111"/>
    </row>
    <row r="15" spans="1:17">
      <c r="A15" s="401">
        <v>43668</v>
      </c>
      <c r="B15" s="368" t="s">
        <v>149</v>
      </c>
      <c r="C15" s="5">
        <v>166.6</v>
      </c>
      <c r="D15" s="5">
        <v>166.6</v>
      </c>
      <c r="E15" s="37">
        <f t="shared" si="2"/>
        <v>0</v>
      </c>
      <c r="F15" s="368" t="str">
        <f t="shared" si="1"/>
        <v>оплачено</v>
      </c>
      <c r="G15" s="1"/>
      <c r="H15" s="43"/>
      <c r="I15" s="1"/>
      <c r="J15" s="1"/>
      <c r="K15" s="1"/>
      <c r="L15" s="1"/>
      <c r="M15" s="102"/>
      <c r="N15" s="370"/>
      <c r="O15" s="53" t="s">
        <v>87</v>
      </c>
      <c r="P15" s="368">
        <v>165</v>
      </c>
      <c r="Q15" s="111"/>
    </row>
    <row r="16" spans="1:17">
      <c r="A16" s="401">
        <v>43661</v>
      </c>
      <c r="B16" s="368" t="s">
        <v>69</v>
      </c>
      <c r="C16" s="368">
        <v>293.3</v>
      </c>
      <c r="D16" s="368">
        <v>293.3</v>
      </c>
      <c r="E16" s="37">
        <f t="shared" si="2"/>
        <v>0</v>
      </c>
      <c r="F16" s="368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0"/>
      <c r="O16" s="53" t="s">
        <v>88</v>
      </c>
      <c r="P16" s="368">
        <f>594.3/2</f>
        <v>297.14999999999998</v>
      </c>
      <c r="Q16" s="111"/>
    </row>
    <row r="17" spans="1:17">
      <c r="A17" s="401">
        <v>43669</v>
      </c>
      <c r="B17" s="368" t="s">
        <v>71</v>
      </c>
      <c r="C17" s="368">
        <v>306.07</v>
      </c>
      <c r="D17" s="368">
        <v>306.07</v>
      </c>
      <c r="E17" s="37">
        <f t="shared" si="2"/>
        <v>0</v>
      </c>
      <c r="F17" s="368" t="str">
        <f t="shared" si="1"/>
        <v>оплачено</v>
      </c>
      <c r="G17" s="1"/>
      <c r="H17" s="43"/>
      <c r="I17" s="1"/>
      <c r="J17" s="1"/>
      <c r="K17" s="1"/>
      <c r="L17" s="1"/>
      <c r="M17" s="103"/>
      <c r="N17" s="370"/>
      <c r="O17" s="53" t="s">
        <v>92</v>
      </c>
      <c r="P17" s="368">
        <v>1200</v>
      </c>
      <c r="Q17" s="111"/>
    </row>
    <row r="18" spans="1:17">
      <c r="A18" s="401">
        <v>43671</v>
      </c>
      <c r="B18" s="368" t="s">
        <v>69</v>
      </c>
      <c r="C18" s="368">
        <v>297.16000000000003</v>
      </c>
      <c r="D18" s="368">
        <v>297.16000000000003</v>
      </c>
      <c r="E18" s="37">
        <f t="shared" si="2"/>
        <v>0</v>
      </c>
      <c r="F18" s="368" t="str">
        <f t="shared" si="1"/>
        <v>оплачено</v>
      </c>
      <c r="G18" s="1"/>
      <c r="H18" s="43">
        <v>1</v>
      </c>
      <c r="I18" s="1020" t="s">
        <v>47</v>
      </c>
      <c r="J18" s="1020"/>
      <c r="K18" s="368">
        <v>288.75</v>
      </c>
      <c r="L18" s="1" t="s">
        <v>56</v>
      </c>
      <c r="M18" s="44"/>
      <c r="N18" s="81">
        <v>43677</v>
      </c>
      <c r="O18" s="82" t="s">
        <v>27</v>
      </c>
      <c r="P18" s="157">
        <v>500</v>
      </c>
      <c r="Q18" s="403">
        <v>994</v>
      </c>
    </row>
    <row r="19" spans="1:17">
      <c r="A19" s="395"/>
      <c r="B19" s="368" t="s">
        <v>80</v>
      </c>
      <c r="C19" s="368">
        <v>1180.9000000000001</v>
      </c>
      <c r="D19" s="368">
        <v>1180.9000000000001</v>
      </c>
      <c r="E19" s="37">
        <f t="shared" si="2"/>
        <v>0</v>
      </c>
      <c r="F19" s="368" t="str">
        <f t="shared" si="1"/>
        <v>оплачено</v>
      </c>
      <c r="G19" s="1"/>
      <c r="H19" s="43">
        <v>2</v>
      </c>
      <c r="I19" s="1020" t="s">
        <v>51</v>
      </c>
      <c r="J19" s="1020"/>
      <c r="K19" s="368">
        <v>64.349999999999994</v>
      </c>
      <c r="L19" s="1" t="s">
        <v>56</v>
      </c>
      <c r="M19" s="44"/>
      <c r="O19" s="1"/>
      <c r="P19" s="92">
        <f>SUM(P3:P18)</f>
        <v>13145.449999999999</v>
      </c>
      <c r="Q19" s="111"/>
    </row>
    <row r="20" spans="1:17">
      <c r="A20" s="395" t="s">
        <v>90</v>
      </c>
      <c r="B20" s="368" t="s">
        <v>89</v>
      </c>
      <c r="C20" s="368">
        <v>1570</v>
      </c>
      <c r="D20" s="368">
        <v>1570</v>
      </c>
      <c r="E20" s="37">
        <f t="shared" si="2"/>
        <v>0</v>
      </c>
      <c r="F20" s="368" t="str">
        <f t="shared" si="1"/>
        <v>оплачено</v>
      </c>
      <c r="G20" s="1"/>
      <c r="H20" s="43">
        <v>3</v>
      </c>
      <c r="I20" s="1020" t="s">
        <v>52</v>
      </c>
      <c r="J20" s="1020"/>
      <c r="K20" s="368">
        <v>10</v>
      </c>
      <c r="L20" s="1" t="s">
        <v>56</v>
      </c>
      <c r="M20" s="44"/>
      <c r="O20" s="1"/>
      <c r="P20" s="1"/>
      <c r="Q20" s="111"/>
    </row>
    <row r="21" spans="1:17">
      <c r="A21" s="401">
        <v>43677</v>
      </c>
      <c r="B21" s="368" t="s">
        <v>97</v>
      </c>
      <c r="C21" s="93">
        <v>526.5</v>
      </c>
      <c r="D21" s="93">
        <v>526.5</v>
      </c>
      <c r="E21" s="37">
        <f t="shared" si="2"/>
        <v>0</v>
      </c>
      <c r="F21" s="368" t="str">
        <f t="shared" si="1"/>
        <v>оплачено</v>
      </c>
      <c r="G21" s="1"/>
      <c r="H21" s="43">
        <v>4</v>
      </c>
      <c r="I21" s="1020" t="s">
        <v>53</v>
      </c>
      <c r="J21" s="1020"/>
      <c r="K21" s="368">
        <v>5</v>
      </c>
      <c r="L21" s="1" t="s">
        <v>56</v>
      </c>
      <c r="M21" s="102"/>
      <c r="O21" s="1"/>
      <c r="P21" s="1"/>
      <c r="Q21" s="111"/>
    </row>
    <row r="22" spans="1:17">
      <c r="A22" s="110"/>
      <c r="B22" s="1"/>
      <c r="C22" s="404">
        <f>SUM(C3:C21)-C7-C9-C13</f>
        <v>9163.369999999999</v>
      </c>
      <c r="D22" s="1"/>
      <c r="E22" s="1"/>
      <c r="F22" s="1"/>
      <c r="G22" s="1"/>
      <c r="H22" s="43">
        <v>5</v>
      </c>
      <c r="I22" s="1020" t="s">
        <v>54</v>
      </c>
      <c r="J22" s="1020"/>
      <c r="K22" s="368">
        <v>4</v>
      </c>
      <c r="L22" s="1" t="s">
        <v>56</v>
      </c>
      <c r="M22" s="102"/>
      <c r="O22" s="1"/>
      <c r="P22" s="1"/>
      <c r="Q22" s="111"/>
    </row>
    <row r="23" spans="1:17">
      <c r="A23" s="110"/>
      <c r="B23" s="1"/>
      <c r="C23" s="1"/>
      <c r="D23" s="1"/>
      <c r="E23" s="1"/>
      <c r="F23" s="150"/>
      <c r="G23" s="1"/>
      <c r="H23" s="43">
        <v>6</v>
      </c>
      <c r="I23" s="1020" t="s">
        <v>49</v>
      </c>
      <c r="J23" s="1020"/>
      <c r="K23" s="368">
        <v>332.56</v>
      </c>
      <c r="L23" s="1" t="s">
        <v>56</v>
      </c>
      <c r="M23" s="102"/>
      <c r="O23" s="1"/>
      <c r="P23" s="1"/>
      <c r="Q23" s="111"/>
    </row>
    <row r="24" spans="1:17">
      <c r="A24" s="110"/>
      <c r="B24" s="1"/>
      <c r="C24" s="1"/>
      <c r="D24" s="1"/>
      <c r="E24" s="1"/>
      <c r="F24" s="1"/>
      <c r="G24" s="1"/>
      <c r="H24" s="43">
        <v>7</v>
      </c>
      <c r="I24" s="1054" t="s">
        <v>48</v>
      </c>
      <c r="J24" s="1055"/>
      <c r="K24" s="368">
        <v>458.46</v>
      </c>
      <c r="L24" s="150" t="s">
        <v>56</v>
      </c>
      <c r="M24" s="102"/>
      <c r="O24" s="1"/>
      <c r="P24" s="1"/>
      <c r="Q24" s="111"/>
    </row>
    <row r="25" spans="1:17">
      <c r="A25" s="110"/>
      <c r="B25" s="1"/>
      <c r="C25" s="1"/>
      <c r="D25" s="1"/>
      <c r="E25" s="1"/>
      <c r="F25" s="1"/>
      <c r="G25" s="1"/>
      <c r="H25" s="43">
        <v>8</v>
      </c>
      <c r="I25" s="1054" t="s">
        <v>57</v>
      </c>
      <c r="J25" s="1055"/>
      <c r="K25" s="368">
        <v>4.58</v>
      </c>
      <c r="L25" s="1" t="s">
        <v>56</v>
      </c>
      <c r="M25" s="44" t="s">
        <v>76</v>
      </c>
      <c r="O25" s="1"/>
      <c r="P25" s="1"/>
      <c r="Q25" s="111"/>
    </row>
    <row r="26" spans="1:17" s="35" customFormat="1">
      <c r="A26" s="110"/>
      <c r="B26" s="1"/>
      <c r="C26" s="150"/>
      <c r="D26" s="1"/>
      <c r="E26" s="1"/>
      <c r="F26" s="12"/>
      <c r="G26" s="1"/>
      <c r="H26" s="43">
        <v>9</v>
      </c>
      <c r="I26" s="1017" t="s">
        <v>59</v>
      </c>
      <c r="J26" s="1017"/>
      <c r="K26" s="368">
        <v>1041.98</v>
      </c>
      <c r="L26" s="1" t="s">
        <v>56</v>
      </c>
      <c r="M26" s="44"/>
      <c r="N26" s="1"/>
      <c r="O26" s="1"/>
      <c r="P26" s="1"/>
      <c r="Q26" s="111"/>
    </row>
    <row r="27" spans="1:17" s="35" customFormat="1">
      <c r="A27" s="110"/>
      <c r="B27" s="1"/>
      <c r="C27" s="1"/>
      <c r="D27" s="1"/>
      <c r="E27" s="1"/>
      <c r="F27" s="1"/>
      <c r="G27" s="1"/>
      <c r="H27" s="43">
        <v>10</v>
      </c>
      <c r="I27" s="1021" t="s">
        <v>68</v>
      </c>
      <c r="J27" s="1022"/>
      <c r="K27" s="368">
        <f>83.73+187.98</f>
        <v>271.70999999999998</v>
      </c>
      <c r="L27" s="1" t="s">
        <v>56</v>
      </c>
      <c r="M27" s="44"/>
      <c r="N27" s="1"/>
      <c r="O27" s="1"/>
      <c r="P27" s="1"/>
      <c r="Q27" s="111"/>
    </row>
    <row r="28" spans="1:17" s="35" customFormat="1">
      <c r="A28" s="110"/>
      <c r="B28" s="1"/>
      <c r="C28" s="1"/>
      <c r="D28" s="1"/>
      <c r="E28" s="1"/>
      <c r="F28" s="12"/>
      <c r="G28" s="12"/>
      <c r="H28" s="43">
        <v>11</v>
      </c>
      <c r="I28" s="1021" t="s">
        <v>81</v>
      </c>
      <c r="J28" s="1022"/>
      <c r="K28" s="53">
        <v>1730.44</v>
      </c>
      <c r="L28" s="1" t="s">
        <v>56</v>
      </c>
      <c r="M28" s="44"/>
      <c r="N28" s="1"/>
      <c r="O28" s="1"/>
      <c r="P28" s="1"/>
      <c r="Q28" s="111"/>
    </row>
    <row r="29" spans="1:17">
      <c r="A29" s="110"/>
      <c r="B29" s="1"/>
      <c r="C29" s="1"/>
      <c r="D29" s="1"/>
      <c r="E29" s="150"/>
      <c r="F29" s="1"/>
      <c r="G29" s="1"/>
      <c r="H29" s="43"/>
      <c r="I29" s="1" t="s">
        <v>50</v>
      </c>
      <c r="J29" s="1"/>
      <c r="K29" s="92">
        <f>SUM(K18:K28)</f>
        <v>4211.83</v>
      </c>
      <c r="L29" s="1"/>
      <c r="M29" s="44"/>
      <c r="O29" s="1"/>
      <c r="P29" s="1"/>
      <c r="Q29" s="111"/>
    </row>
    <row r="30" spans="1:17">
      <c r="A30" s="110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2"/>
      <c r="O30" s="1"/>
      <c r="P30" s="1"/>
      <c r="Q30" s="111"/>
    </row>
    <row r="31" spans="1:17">
      <c r="A31" s="110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1"/>
    </row>
    <row r="32" spans="1:17">
      <c r="A32" s="110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1"/>
    </row>
    <row r="33" spans="1:20" ht="15.75" thickBot="1">
      <c r="A33" s="110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1"/>
    </row>
    <row r="34" spans="1:20">
      <c r="A34" s="107"/>
      <c r="B34" s="108"/>
      <c r="C34" s="108"/>
      <c r="D34" s="108"/>
      <c r="E34" s="108"/>
      <c r="F34" s="108"/>
      <c r="G34" s="108"/>
      <c r="H34" s="108"/>
      <c r="I34" s="1069" t="s">
        <v>195</v>
      </c>
      <c r="J34" s="1069"/>
      <c r="K34" s="1069"/>
      <c r="L34" s="108"/>
      <c r="M34" s="108"/>
      <c r="N34" s="108"/>
      <c r="O34" s="108"/>
      <c r="P34" s="108"/>
      <c r="Q34" s="108"/>
      <c r="R34" s="108"/>
      <c r="S34" s="109"/>
    </row>
    <row r="35" spans="1:20">
      <c r="A35" s="430"/>
      <c r="B35" s="374"/>
      <c r="C35" s="374"/>
      <c r="D35" s="374"/>
      <c r="E35" s="374"/>
      <c r="F35" s="374"/>
      <c r="G35" s="374"/>
      <c r="H35" s="366"/>
      <c r="I35" s="1070"/>
      <c r="J35" s="1070"/>
      <c r="K35" s="1070"/>
      <c r="L35" s="374"/>
      <c r="M35" s="374"/>
      <c r="N35" s="1062"/>
      <c r="O35" s="1062"/>
      <c r="P35" s="366"/>
      <c r="Q35" s="366"/>
      <c r="R35" s="366"/>
      <c r="S35" s="405"/>
      <c r="T35" s="51"/>
    </row>
    <row r="36" spans="1:20" ht="15.75" thickBot="1">
      <c r="A36" s="406"/>
      <c r="B36" s="365"/>
      <c r="C36" s="374"/>
      <c r="D36" s="374"/>
      <c r="E36" s="374"/>
      <c r="F36" s="365"/>
      <c r="G36" s="366"/>
      <c r="H36" s="366"/>
      <c r="I36" s="366"/>
      <c r="J36" s="366"/>
      <c r="K36" s="366"/>
      <c r="L36" s="366"/>
      <c r="M36" s="366"/>
      <c r="N36" s="366"/>
      <c r="O36" s="366"/>
      <c r="P36" s="294"/>
      <c r="Q36" s="294"/>
      <c r="R36" s="366"/>
      <c r="S36" s="405"/>
      <c r="T36" s="51"/>
    </row>
    <row r="37" spans="1:20">
      <c r="A37" s="1063" t="s">
        <v>28</v>
      </c>
      <c r="B37" s="1064"/>
      <c r="C37" s="1064"/>
      <c r="D37" s="1064"/>
      <c r="E37" s="1064"/>
      <c r="F37" s="1064"/>
      <c r="G37" s="1064"/>
      <c r="H37" s="107"/>
      <c r="I37" s="1048" t="s">
        <v>103</v>
      </c>
      <c r="J37" s="1048"/>
      <c r="K37" s="1048"/>
      <c r="L37" s="1048"/>
      <c r="M37" s="1065"/>
      <c r="N37" s="1064" t="s">
        <v>60</v>
      </c>
      <c r="O37" s="1064"/>
      <c r="P37" s="1"/>
      <c r="Q37" s="1"/>
      <c r="R37" s="1"/>
      <c r="S37" s="111"/>
      <c r="T37" s="51"/>
    </row>
    <row r="38" spans="1:20">
      <c r="A38" s="395" t="s">
        <v>2</v>
      </c>
      <c r="B38" s="367" t="s">
        <v>34</v>
      </c>
      <c r="C38" s="36" t="s">
        <v>35</v>
      </c>
      <c r="D38" s="36" t="s">
        <v>38</v>
      </c>
      <c r="E38" s="36" t="s">
        <v>42</v>
      </c>
      <c r="F38" s="371" t="s">
        <v>36</v>
      </c>
      <c r="G38" s="369" t="s">
        <v>37</v>
      </c>
      <c r="H38" s="110"/>
      <c r="I38" s="40"/>
      <c r="J38" s="368" t="s">
        <v>104</v>
      </c>
      <c r="K38" s="368" t="s">
        <v>38</v>
      </c>
      <c r="L38" s="368" t="s">
        <v>42</v>
      </c>
      <c r="M38" s="120" t="s">
        <v>44</v>
      </c>
      <c r="N38" s="153" t="s">
        <v>2</v>
      </c>
      <c r="O38" s="53" t="s">
        <v>34</v>
      </c>
      <c r="P38" s="151" t="s">
        <v>58</v>
      </c>
      <c r="Q38" s="151" t="s">
        <v>65</v>
      </c>
      <c r="R38" s="366" t="s">
        <v>100</v>
      </c>
      <c r="S38" s="405" t="s">
        <v>40</v>
      </c>
      <c r="T38" s="51"/>
    </row>
    <row r="39" spans="1:20">
      <c r="A39" s="407">
        <v>43680</v>
      </c>
      <c r="B39" s="148" t="s">
        <v>31</v>
      </c>
      <c r="C39" s="149">
        <v>1213.06</v>
      </c>
      <c r="D39" s="215"/>
      <c r="E39" s="149">
        <f t="shared" ref="E39:E46" si="3">C39-D39</f>
        <v>1213.06</v>
      </c>
      <c r="F39" s="41" t="s">
        <v>61</v>
      </c>
      <c r="G39" s="152">
        <v>1809</v>
      </c>
      <c r="H39" s="110"/>
      <c r="I39" s="368" t="s">
        <v>39</v>
      </c>
      <c r="J39" s="368">
        <v>2164.75</v>
      </c>
      <c r="K39" s="368">
        <v>2164.75</v>
      </c>
      <c r="L39" s="159">
        <f>J39-K39</f>
        <v>0</v>
      </c>
      <c r="M39" s="155">
        <v>43699</v>
      </c>
      <c r="N39" s="154">
        <v>43684</v>
      </c>
      <c r="O39" s="368" t="s">
        <v>98</v>
      </c>
      <c r="P39" s="368">
        <v>1301</v>
      </c>
      <c r="Q39" s="368">
        <v>2442</v>
      </c>
      <c r="R39" s="366">
        <v>300</v>
      </c>
      <c r="S39" s="405">
        <v>390</v>
      </c>
      <c r="T39" s="51"/>
    </row>
    <row r="40" spans="1:20">
      <c r="A40" s="408">
        <v>43684</v>
      </c>
      <c r="B40" s="162" t="s">
        <v>32</v>
      </c>
      <c r="C40" s="98">
        <v>799.35</v>
      </c>
      <c r="D40" s="98">
        <v>799.35</v>
      </c>
      <c r="E40" s="159">
        <f t="shared" si="3"/>
        <v>0</v>
      </c>
      <c r="F40" s="162" t="str">
        <f t="shared" ref="F40:F50" si="4">IF(C40=0,"",IF(C40-D40=0,"оплачено",""))</f>
        <v>оплачено</v>
      </c>
      <c r="G40" s="163">
        <v>1314</v>
      </c>
      <c r="H40" s="110"/>
      <c r="I40" s="368" t="s">
        <v>40</v>
      </c>
      <c r="J40" s="368">
        <v>965.66</v>
      </c>
      <c r="K40" s="368">
        <v>965.66</v>
      </c>
      <c r="L40" s="160">
        <f>J40-K40</f>
        <v>0</v>
      </c>
      <c r="M40" s="155">
        <v>43699</v>
      </c>
      <c r="N40" s="154">
        <v>43686</v>
      </c>
      <c r="O40" s="368" t="s">
        <v>99</v>
      </c>
      <c r="P40" s="368">
        <v>436.55</v>
      </c>
      <c r="Q40" s="368">
        <v>964.5</v>
      </c>
      <c r="R40" s="1"/>
      <c r="S40" s="111"/>
      <c r="T40" s="51"/>
    </row>
    <row r="41" spans="1:20">
      <c r="A41" s="408">
        <v>43684</v>
      </c>
      <c r="B41" s="163" t="s">
        <v>29</v>
      </c>
      <c r="C41" s="98">
        <v>276.45</v>
      </c>
      <c r="D41" s="98">
        <v>276.45</v>
      </c>
      <c r="E41" s="159">
        <f>C41-D41</f>
        <v>0</v>
      </c>
      <c r="F41" s="162" t="str">
        <f t="shared" si="4"/>
        <v>оплачено</v>
      </c>
      <c r="G41" s="163">
        <v>480</v>
      </c>
      <c r="H41" s="110"/>
      <c r="I41" s="1"/>
      <c r="J41" s="92">
        <f>SUM(J39:J40)</f>
        <v>3130.41</v>
      </c>
      <c r="K41" s="1"/>
      <c r="L41" s="1"/>
      <c r="M41" s="111"/>
      <c r="N41" s="154">
        <v>43688</v>
      </c>
      <c r="O41" s="368" t="s">
        <v>102</v>
      </c>
      <c r="P41" s="368">
        <v>506.2</v>
      </c>
      <c r="Q41" s="368">
        <v>937</v>
      </c>
      <c r="R41" s="1"/>
      <c r="S41" s="111"/>
      <c r="T41" s="51"/>
    </row>
    <row r="42" spans="1:20">
      <c r="A42" s="408">
        <v>43684</v>
      </c>
      <c r="B42" s="163" t="s">
        <v>29</v>
      </c>
      <c r="C42" s="98">
        <v>102.3</v>
      </c>
      <c r="D42" s="98">
        <v>102.3</v>
      </c>
      <c r="E42" s="159">
        <f t="shared" ref="E42:E51" si="5">C42-D42</f>
        <v>0</v>
      </c>
      <c r="F42" s="162" t="str">
        <f>IF(C42=0,"",IF(C42-D42=0,"оплачено",""))</f>
        <v>оплачено</v>
      </c>
      <c r="G42" s="163">
        <v>157.5</v>
      </c>
      <c r="H42" s="110"/>
      <c r="I42" s="150"/>
      <c r="J42" s="1"/>
      <c r="K42" s="1"/>
      <c r="L42" s="1"/>
      <c r="M42" s="111"/>
      <c r="N42" s="154">
        <v>43693</v>
      </c>
      <c r="O42" s="368" t="s">
        <v>102</v>
      </c>
      <c r="P42" s="53">
        <v>465.45</v>
      </c>
      <c r="Q42" s="368">
        <v>721</v>
      </c>
      <c r="R42" s="1"/>
      <c r="S42" s="111"/>
      <c r="T42" s="51"/>
    </row>
    <row r="43" spans="1:20">
      <c r="A43" s="407">
        <v>43691</v>
      </c>
      <c r="B43" s="188" t="s">
        <v>107</v>
      </c>
      <c r="C43" s="146">
        <v>840.86</v>
      </c>
      <c r="D43" s="214"/>
      <c r="E43" s="149">
        <f t="shared" si="3"/>
        <v>840.86</v>
      </c>
      <c r="F43" s="41" t="s">
        <v>61</v>
      </c>
      <c r="G43" s="165">
        <v>1291</v>
      </c>
      <c r="H43" s="1066" t="s">
        <v>16</v>
      </c>
      <c r="I43" s="1042" t="s">
        <v>17</v>
      </c>
      <c r="J43" s="1042" t="s">
        <v>21</v>
      </c>
      <c r="K43" s="1042"/>
      <c r="L43" s="1044" t="s">
        <v>93</v>
      </c>
      <c r="M43" s="1057" t="s">
        <v>95</v>
      </c>
      <c r="N43" s="154">
        <v>43693</v>
      </c>
      <c r="O43" s="53" t="s">
        <v>66</v>
      </c>
      <c r="P43" s="53">
        <v>1500</v>
      </c>
      <c r="Q43" s="368">
        <v>2517.5</v>
      </c>
      <c r="R43" s="1"/>
      <c r="S43" s="111"/>
      <c r="T43" s="51"/>
    </row>
    <row r="44" spans="1:20" ht="24">
      <c r="A44" s="408">
        <v>43694</v>
      </c>
      <c r="B44" s="171" t="s">
        <v>106</v>
      </c>
      <c r="C44" s="161">
        <v>398.78</v>
      </c>
      <c r="D44" s="161">
        <v>398.78</v>
      </c>
      <c r="E44" s="159">
        <f t="shared" si="3"/>
        <v>0</v>
      </c>
      <c r="F44" s="162" t="str">
        <f>IF(C44=0,"",IF(C44-D44=0,"оплачено",""))</f>
        <v>оплачено</v>
      </c>
      <c r="G44" s="162">
        <v>612</v>
      </c>
      <c r="H44" s="1056"/>
      <c r="I44" s="1042"/>
      <c r="J44" s="372" t="s">
        <v>21</v>
      </c>
      <c r="K44" s="372" t="s">
        <v>25</v>
      </c>
      <c r="L44" s="1044"/>
      <c r="M44" s="1057"/>
      <c r="N44" s="52">
        <v>43694</v>
      </c>
      <c r="O44" s="368" t="s">
        <v>99</v>
      </c>
      <c r="P44" s="368">
        <v>561.28</v>
      </c>
      <c r="Q44" s="368">
        <v>1260</v>
      </c>
      <c r="R44" s="166">
        <v>134.71</v>
      </c>
      <c r="S44" s="111"/>
      <c r="T44" s="51"/>
    </row>
    <row r="45" spans="1:20">
      <c r="A45" s="409">
        <v>43696</v>
      </c>
      <c r="B45" s="161" t="s">
        <v>101</v>
      </c>
      <c r="C45" s="161">
        <v>376.2</v>
      </c>
      <c r="D45" s="161">
        <v>376.2</v>
      </c>
      <c r="E45" s="159">
        <f t="shared" si="3"/>
        <v>0</v>
      </c>
      <c r="F45" s="162" t="str">
        <f>IF(C45=0,"",IF(C45-D45=0,"оплачено",""))</f>
        <v>оплачено</v>
      </c>
      <c r="G45" s="162">
        <v>556</v>
      </c>
      <c r="H45" s="105" t="s">
        <v>18</v>
      </c>
      <c r="I45" s="94">
        <v>32809.9</v>
      </c>
      <c r="J45" s="94">
        <v>1675.7199999999998</v>
      </c>
      <c r="K45" s="98">
        <v>1047.01</v>
      </c>
      <c r="L45" s="96">
        <v>52152</v>
      </c>
      <c r="M45" s="96">
        <f>82159.79-I45-J45-K45+L45</f>
        <v>98779.159999999989</v>
      </c>
      <c r="N45" s="203">
        <v>43701</v>
      </c>
      <c r="O45" s="368" t="s">
        <v>102</v>
      </c>
      <c r="P45" s="53">
        <v>642.65</v>
      </c>
      <c r="Q45" s="368">
        <v>1151.5</v>
      </c>
      <c r="R45" s="1"/>
      <c r="S45" s="111"/>
      <c r="T45" s="51"/>
    </row>
    <row r="46" spans="1:20">
      <c r="A46" s="410">
        <v>43699</v>
      </c>
      <c r="B46" s="171" t="s">
        <v>105</v>
      </c>
      <c r="C46" s="161">
        <v>198.3</v>
      </c>
      <c r="D46" s="161">
        <v>198.3</v>
      </c>
      <c r="E46" s="159">
        <f t="shared" si="3"/>
        <v>0</v>
      </c>
      <c r="F46" s="162" t="str">
        <f>IF(C46=0,"",IF(C46-D46=0,"оплачено",""))</f>
        <v>оплачено</v>
      </c>
      <c r="G46" s="162">
        <v>322.5</v>
      </c>
      <c r="H46" s="105" t="s">
        <v>19</v>
      </c>
      <c r="I46" s="94">
        <v>35259.579999999994</v>
      </c>
      <c r="J46" s="95">
        <v>1363.3000000000002</v>
      </c>
      <c r="K46" s="94">
        <v>1176.05</v>
      </c>
      <c r="L46" s="97">
        <v>40465.950000000004</v>
      </c>
      <c r="M46" s="96">
        <f>M45-I46-J46-K46+L46</f>
        <v>101446.18</v>
      </c>
      <c r="N46" s="1058" t="s">
        <v>35</v>
      </c>
      <c r="O46" s="1059"/>
      <c r="P46" s="212">
        <f>SUM(P39:P45)</f>
        <v>5413.1299999999992</v>
      </c>
      <c r="Q46" s="212">
        <f>SUM(Q39:Q45)</f>
        <v>9993.5</v>
      </c>
      <c r="R46" s="1"/>
      <c r="S46" s="111"/>
      <c r="T46" s="51"/>
    </row>
    <row r="47" spans="1:20" ht="30">
      <c r="A47" s="411">
        <v>43699</v>
      </c>
      <c r="B47" s="193" t="s">
        <v>108</v>
      </c>
      <c r="C47" s="167">
        <v>329.84</v>
      </c>
      <c r="D47" s="167">
        <v>329.84</v>
      </c>
      <c r="E47" s="159">
        <f t="shared" si="5"/>
        <v>0</v>
      </c>
      <c r="F47" s="162" t="str">
        <f t="shared" si="4"/>
        <v>оплачено</v>
      </c>
      <c r="G47" s="162"/>
      <c r="H47" s="370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6" t="e">
        <f>M46-I47-J47-K47+L47</f>
        <v>#REF!</v>
      </c>
      <c r="N47" s="7"/>
      <c r="O47" s="213"/>
      <c r="P47" s="213"/>
      <c r="Q47" s="7"/>
      <c r="R47" s="1"/>
      <c r="S47" s="111"/>
      <c r="T47" s="51"/>
    </row>
    <row r="48" spans="1:20">
      <c r="A48" s="411">
        <v>43700</v>
      </c>
      <c r="B48" s="172" t="s">
        <v>109</v>
      </c>
      <c r="C48" s="161">
        <v>315.89999999999998</v>
      </c>
      <c r="D48" s="161">
        <v>315.89999999999998</v>
      </c>
      <c r="E48" s="159">
        <f t="shared" si="5"/>
        <v>0</v>
      </c>
      <c r="F48" s="162" t="str">
        <f t="shared" si="4"/>
        <v>оплачено</v>
      </c>
      <c r="G48" s="163">
        <v>438</v>
      </c>
      <c r="H48" s="110"/>
      <c r="I48" s="150"/>
      <c r="J48" s="150"/>
      <c r="K48" s="1"/>
      <c r="L48" s="150"/>
      <c r="M48" s="150"/>
      <c r="O48" s="366"/>
      <c r="P48" s="366"/>
      <c r="Q48" s="1"/>
      <c r="R48" s="1"/>
      <c r="S48" s="111"/>
      <c r="T48" s="51"/>
    </row>
    <row r="49" spans="1:20" ht="15.75" thickBot="1">
      <c r="A49" s="410">
        <v>43703</v>
      </c>
      <c r="B49" s="172" t="s">
        <v>112</v>
      </c>
      <c r="C49" s="161">
        <v>1141.31</v>
      </c>
      <c r="D49" s="161">
        <v>1141.31</v>
      </c>
      <c r="E49" s="159">
        <f t="shared" si="5"/>
        <v>0</v>
      </c>
      <c r="F49" s="162" t="str">
        <f t="shared" si="4"/>
        <v>оплачено</v>
      </c>
      <c r="G49" s="163">
        <v>2148.5</v>
      </c>
      <c r="H49" s="110"/>
      <c r="I49" s="1"/>
      <c r="J49" s="83"/>
      <c r="K49" s="1"/>
      <c r="L49" s="150"/>
      <c r="M49" s="150"/>
      <c r="O49" s="366"/>
      <c r="P49" s="366"/>
      <c r="Q49" s="1"/>
      <c r="R49" s="1"/>
      <c r="S49" s="111"/>
      <c r="T49" s="51"/>
    </row>
    <row r="50" spans="1:20">
      <c r="A50" s="410">
        <v>43707</v>
      </c>
      <c r="B50" s="194" t="s">
        <v>113</v>
      </c>
      <c r="C50" s="164">
        <v>94.08</v>
      </c>
      <c r="D50" s="164">
        <v>94.08</v>
      </c>
      <c r="E50" s="159">
        <f t="shared" si="5"/>
        <v>0</v>
      </c>
      <c r="F50" s="162" t="str">
        <f t="shared" si="4"/>
        <v>оплачено</v>
      </c>
      <c r="G50" s="163">
        <v>184</v>
      </c>
      <c r="H50" s="1060" t="s">
        <v>122</v>
      </c>
      <c r="I50" s="1061"/>
      <c r="J50" s="208" t="s">
        <v>121</v>
      </c>
      <c r="K50" s="150"/>
      <c r="L50" s="150"/>
      <c r="M50" s="1"/>
      <c r="O50" s="366"/>
      <c r="P50" s="1"/>
      <c r="Q50" s="1"/>
      <c r="R50" s="1"/>
      <c r="S50" s="111"/>
      <c r="T50" s="51"/>
    </row>
    <row r="51" spans="1:20" ht="15.75" thickBot="1">
      <c r="A51" s="412">
        <v>43699</v>
      </c>
      <c r="B51" s="195" t="s">
        <v>114</v>
      </c>
      <c r="C51" s="196">
        <v>653.34</v>
      </c>
      <c r="D51" s="196"/>
      <c r="E51" s="149">
        <f t="shared" si="5"/>
        <v>653.34</v>
      </c>
      <c r="F51" s="41" t="s">
        <v>61</v>
      </c>
      <c r="G51" s="197"/>
      <c r="H51" s="210"/>
      <c r="I51" s="92">
        <v>18</v>
      </c>
      <c r="J51" s="209">
        <f>G39+G40+G41+G42+Q39+Q40+Q41+Q42+Q43+Q44+G44+G45+G46+G43+G48+Q45+G49+G50</f>
        <v>19306</v>
      </c>
      <c r="K51" s="1"/>
      <c r="L51" s="150"/>
      <c r="M51" s="150"/>
      <c r="O51" s="366"/>
      <c r="P51" s="1"/>
      <c r="Q51" s="1"/>
      <c r="R51" s="1"/>
      <c r="S51" s="111"/>
      <c r="T51" s="51"/>
    </row>
    <row r="52" spans="1:20">
      <c r="A52" s="413"/>
      <c r="B52" s="201" t="s">
        <v>35</v>
      </c>
      <c r="C52" s="202">
        <f>SUM(C39:C51)</f>
        <v>6739.77</v>
      </c>
      <c r="D52" s="201"/>
      <c r="E52" s="216"/>
      <c r="F52" s="217"/>
      <c r="G52" s="218">
        <f>SUM(G39:G51)</f>
        <v>9312.5</v>
      </c>
      <c r="H52" s="1"/>
      <c r="I52" s="1"/>
      <c r="J52" s="1"/>
      <c r="K52" s="1"/>
      <c r="L52" s="150"/>
      <c r="M52" s="1"/>
      <c r="O52" s="366"/>
      <c r="P52" s="1"/>
      <c r="Q52" s="1"/>
      <c r="R52" s="1"/>
      <c r="S52" s="111"/>
      <c r="T52" s="51"/>
    </row>
    <row r="53" spans="1:20">
      <c r="A53" s="414"/>
      <c r="B53" s="199"/>
      <c r="C53" s="199"/>
      <c r="D53" s="199"/>
      <c r="E53" s="84">
        <f>C43+C51</f>
        <v>1494.2</v>
      </c>
      <c r="F53" s="200">
        <v>1180.2600000000002</v>
      </c>
      <c r="G53" s="200"/>
      <c r="H53" s="1"/>
      <c r="I53" s="1"/>
      <c r="J53" s="1"/>
      <c r="K53" s="1"/>
      <c r="L53" s="1"/>
      <c r="M53" s="211"/>
      <c r="O53" s="366"/>
      <c r="P53" s="1"/>
      <c r="Q53" s="1"/>
      <c r="R53" s="1"/>
      <c r="S53" s="111"/>
      <c r="T53" s="51"/>
    </row>
    <row r="54" spans="1:20">
      <c r="A54" s="415"/>
      <c r="B54" s="199"/>
      <c r="C54" s="199"/>
      <c r="D54" s="199"/>
      <c r="E54" s="84"/>
      <c r="F54" s="230">
        <f>E53-F53</f>
        <v>313.93999999999983</v>
      </c>
      <c r="G54" s="200"/>
      <c r="H54" s="1">
        <v>1</v>
      </c>
      <c r="I54" s="1020" t="s">
        <v>47</v>
      </c>
      <c r="J54" s="1020"/>
      <c r="K54" s="368">
        <v>288.75</v>
      </c>
      <c r="L54" s="1" t="s">
        <v>56</v>
      </c>
      <c r="M54" s="1"/>
      <c r="N54" s="81"/>
      <c r="O54" s="128"/>
      <c r="P54" s="157"/>
      <c r="Q54" s="157"/>
      <c r="R54" s="1"/>
      <c r="S54" s="111"/>
      <c r="T54" s="51"/>
    </row>
    <row r="55" spans="1:20">
      <c r="A55" s="415"/>
      <c r="B55" s="199"/>
      <c r="C55" s="199"/>
      <c r="D55" s="199"/>
      <c r="E55" s="84"/>
      <c r="F55" s="200"/>
      <c r="G55" s="200"/>
      <c r="H55" s="1">
        <v>2</v>
      </c>
      <c r="I55" s="1020" t="s">
        <v>51</v>
      </c>
      <c r="J55" s="1020"/>
      <c r="K55" s="368">
        <v>64.349999999999994</v>
      </c>
      <c r="L55" s="1" t="s">
        <v>56</v>
      </c>
      <c r="M55" s="1"/>
      <c r="O55" s="1"/>
      <c r="P55" s="366"/>
      <c r="Q55" s="1"/>
      <c r="R55" s="1"/>
      <c r="S55" s="111"/>
      <c r="T55" s="51"/>
    </row>
    <row r="56" spans="1:20">
      <c r="A56" s="416"/>
      <c r="B56" s="366"/>
      <c r="C56" s="84"/>
      <c r="D56" s="366"/>
      <c r="E56" s="84"/>
      <c r="F56" s="1"/>
      <c r="G56" s="1"/>
      <c r="H56" s="1">
        <v>3</v>
      </c>
      <c r="I56" s="1020" t="s">
        <v>52</v>
      </c>
      <c r="J56" s="1020"/>
      <c r="K56" s="368">
        <v>10</v>
      </c>
      <c r="L56" s="1"/>
      <c r="M56" s="1"/>
      <c r="O56" s="1"/>
      <c r="P56" s="1"/>
      <c r="Q56" s="1"/>
      <c r="R56" s="1"/>
      <c r="S56" s="111"/>
      <c r="T56" s="51"/>
    </row>
    <row r="57" spans="1:20">
      <c r="A57" s="110"/>
      <c r="B57" s="1"/>
      <c r="C57" s="84"/>
      <c r="D57" s="1"/>
      <c r="E57" s="84"/>
      <c r="F57" s="1"/>
      <c r="G57" s="1"/>
      <c r="H57" s="1">
        <v>4</v>
      </c>
      <c r="I57" s="1020" t="s">
        <v>53</v>
      </c>
      <c r="J57" s="1020"/>
      <c r="K57" s="368">
        <v>5</v>
      </c>
      <c r="L57" s="1"/>
      <c r="M57" s="150"/>
      <c r="O57" s="1"/>
      <c r="P57" s="1"/>
      <c r="Q57" s="1"/>
      <c r="R57" s="1"/>
      <c r="S57" s="111"/>
      <c r="T57" s="51"/>
    </row>
    <row r="58" spans="1:20">
      <c r="A58" s="110"/>
      <c r="B58" s="1"/>
      <c r="C58" s="1"/>
      <c r="D58" s="1"/>
      <c r="E58" s="1"/>
      <c r="F58" s="1"/>
      <c r="G58" s="1"/>
      <c r="H58" s="1">
        <v>5</v>
      </c>
      <c r="I58" s="1020" t="s">
        <v>54</v>
      </c>
      <c r="J58" s="1020"/>
      <c r="K58" s="368">
        <v>4</v>
      </c>
      <c r="L58" s="1"/>
      <c r="M58" s="150"/>
      <c r="O58" s="1"/>
      <c r="P58" s="1"/>
      <c r="Q58" s="1"/>
      <c r="R58" s="1"/>
      <c r="S58" s="111"/>
      <c r="T58" s="51"/>
    </row>
    <row r="59" spans="1:20">
      <c r="A59" s="110"/>
      <c r="B59" s="1"/>
      <c r="C59" s="1"/>
      <c r="D59" s="1"/>
      <c r="E59" s="1"/>
      <c r="F59" s="1"/>
      <c r="G59" s="1"/>
      <c r="H59" s="1">
        <v>6</v>
      </c>
      <c r="I59" s="1020" t="s">
        <v>49</v>
      </c>
      <c r="J59" s="1020"/>
      <c r="K59" s="368">
        <v>332.56</v>
      </c>
      <c r="L59" s="1" t="s">
        <v>110</v>
      </c>
      <c r="M59" s="150"/>
      <c r="O59" s="1"/>
      <c r="P59" s="1"/>
      <c r="Q59" s="1"/>
      <c r="R59" s="1"/>
      <c r="S59" s="111"/>
      <c r="T59" s="51"/>
    </row>
    <row r="60" spans="1:20">
      <c r="A60" s="110"/>
      <c r="B60" s="1"/>
      <c r="C60" s="1"/>
      <c r="D60" s="1"/>
      <c r="E60" s="1"/>
      <c r="F60" s="1"/>
      <c r="G60" s="1"/>
      <c r="H60" s="1">
        <v>7</v>
      </c>
      <c r="I60" s="1054" t="s">
        <v>48</v>
      </c>
      <c r="J60" s="1055"/>
      <c r="K60" s="368">
        <v>458.46</v>
      </c>
      <c r="L60" s="150"/>
      <c r="M60" s="150"/>
      <c r="O60" s="1"/>
      <c r="P60" s="1"/>
      <c r="Q60" s="1"/>
      <c r="R60" s="1"/>
      <c r="S60" s="111"/>
      <c r="T60" s="51"/>
    </row>
    <row r="61" spans="1:20">
      <c r="A61" s="110"/>
      <c r="B61" s="1"/>
      <c r="C61" s="1"/>
      <c r="D61" s="1"/>
      <c r="E61" s="1"/>
      <c r="F61" s="12"/>
      <c r="G61" s="1"/>
      <c r="H61" s="1">
        <v>8</v>
      </c>
      <c r="I61" s="1054" t="s">
        <v>57</v>
      </c>
      <c r="J61" s="1055"/>
      <c r="K61" s="368">
        <v>4.58</v>
      </c>
      <c r="L61" s="1"/>
      <c r="M61" s="1" t="s">
        <v>76</v>
      </c>
      <c r="O61" s="1"/>
      <c r="P61" s="1"/>
      <c r="Q61" s="1"/>
      <c r="R61" s="1"/>
      <c r="S61" s="111"/>
      <c r="T61" s="51"/>
    </row>
    <row r="62" spans="1:20">
      <c r="A62" s="110"/>
      <c r="B62" s="1"/>
      <c r="C62" s="1"/>
      <c r="D62" s="1"/>
      <c r="E62" s="1"/>
      <c r="F62" s="1"/>
      <c r="G62" s="1"/>
      <c r="H62" s="1">
        <v>9</v>
      </c>
      <c r="I62" s="1017" t="s">
        <v>59</v>
      </c>
      <c r="J62" s="1017"/>
      <c r="K62" s="368">
        <v>1041.98</v>
      </c>
      <c r="L62" s="1"/>
      <c r="M62" s="1"/>
      <c r="O62" s="1"/>
      <c r="P62" s="1"/>
      <c r="Q62" s="1"/>
      <c r="R62" s="1"/>
      <c r="S62" s="111"/>
      <c r="T62" s="51"/>
    </row>
    <row r="63" spans="1:20">
      <c r="A63" s="110"/>
      <c r="B63" s="1"/>
      <c r="C63" s="1"/>
      <c r="D63" s="1"/>
      <c r="E63" s="1"/>
      <c r="F63" s="1"/>
      <c r="G63" s="12"/>
      <c r="H63" s="1">
        <v>10</v>
      </c>
      <c r="I63" s="1021" t="s">
        <v>68</v>
      </c>
      <c r="J63" s="1022"/>
      <c r="K63" s="368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1"/>
      <c r="T63" s="51"/>
    </row>
    <row r="64" spans="1:20">
      <c r="A64" s="110"/>
      <c r="B64" s="1"/>
      <c r="C64" s="1"/>
      <c r="D64" s="1"/>
      <c r="E64" s="150"/>
      <c r="F64" s="1"/>
      <c r="G64" s="1"/>
      <c r="H64" s="1">
        <v>11</v>
      </c>
      <c r="I64" s="1021" t="s">
        <v>81</v>
      </c>
      <c r="J64" s="1022"/>
      <c r="K64" s="53">
        <v>1730.44</v>
      </c>
      <c r="L64" s="1" t="s">
        <v>56</v>
      </c>
      <c r="M64" s="1"/>
      <c r="O64" s="1"/>
      <c r="P64" s="1"/>
      <c r="Q64" s="1"/>
      <c r="R64" s="1"/>
      <c r="S64" s="111"/>
      <c r="T64" s="51"/>
    </row>
    <row r="65" spans="1:19" ht="15.75" thickBot="1">
      <c r="A65" s="110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2">
        <f>SUM(K54:K64)</f>
        <v>4211.83</v>
      </c>
      <c r="L65" s="1"/>
      <c r="M65" s="1"/>
      <c r="O65" s="1"/>
      <c r="P65" s="1"/>
      <c r="Q65" s="1"/>
      <c r="R65" s="1"/>
      <c r="S65" s="111"/>
    </row>
    <row r="66" spans="1:19" ht="15.75" thickBot="1">
      <c r="A66" s="107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>
        <v>18</v>
      </c>
      <c r="P66" s="108"/>
      <c r="Q66" s="108"/>
      <c r="R66" s="108"/>
      <c r="S66" s="109"/>
    </row>
    <row r="67" spans="1:19">
      <c r="A67" s="1067" t="s">
        <v>28</v>
      </c>
      <c r="B67" s="1068"/>
      <c r="C67" s="1068"/>
      <c r="D67" s="1068"/>
      <c r="E67" s="1068"/>
      <c r="F67" s="1068"/>
      <c r="G67" s="1068"/>
      <c r="H67" s="108"/>
      <c r="I67" s="1068" t="s">
        <v>136</v>
      </c>
      <c r="J67" s="1068"/>
      <c r="K67" s="1068"/>
      <c r="L67" s="1068"/>
      <c r="M67" s="1068"/>
      <c r="N67" s="1064" t="s">
        <v>60</v>
      </c>
      <c r="O67" s="1064"/>
      <c r="P67" s="1"/>
      <c r="Q67" s="1"/>
      <c r="R67" s="1"/>
      <c r="S67" s="111"/>
    </row>
    <row r="68" spans="1:19">
      <c r="A68" s="395" t="s">
        <v>2</v>
      </c>
      <c r="B68" s="371" t="s">
        <v>34</v>
      </c>
      <c r="C68" s="36" t="s">
        <v>35</v>
      </c>
      <c r="D68" s="36" t="s">
        <v>38</v>
      </c>
      <c r="E68" s="36" t="s">
        <v>42</v>
      </c>
      <c r="F68" s="371" t="s">
        <v>36</v>
      </c>
      <c r="G68" s="368" t="s">
        <v>37</v>
      </c>
      <c r="H68" s="1"/>
      <c r="I68" s="40"/>
      <c r="J68" s="368" t="s">
        <v>104</v>
      </c>
      <c r="K68" s="368" t="s">
        <v>38</v>
      </c>
      <c r="L68" s="368" t="s">
        <v>42</v>
      </c>
      <c r="M68" s="368" t="s">
        <v>44</v>
      </c>
      <c r="N68" s="153" t="s">
        <v>2</v>
      </c>
      <c r="O68" s="53" t="s">
        <v>34</v>
      </c>
      <c r="P68" s="151" t="s">
        <v>58</v>
      </c>
      <c r="Q68" s="151" t="s">
        <v>65</v>
      </c>
      <c r="R68" s="366" t="s">
        <v>100</v>
      </c>
      <c r="S68" s="405" t="s">
        <v>40</v>
      </c>
    </row>
    <row r="69" spans="1:19">
      <c r="A69" s="417">
        <v>43710</v>
      </c>
      <c r="B69" s="162" t="s">
        <v>115</v>
      </c>
      <c r="C69" s="98">
        <v>1980</v>
      </c>
      <c r="D69" s="225">
        <f>688+500+792</f>
        <v>1980</v>
      </c>
      <c r="E69" s="160">
        <f>C69-D69</f>
        <v>0</v>
      </c>
      <c r="F69" s="162" t="str">
        <f t="shared" ref="F69:F89" si="6">IF(C69=0,"",IF(C69-D69=0,"оплачено",""))</f>
        <v>оплачено</v>
      </c>
      <c r="G69" s="162">
        <v>3200</v>
      </c>
      <c r="H69" s="1"/>
      <c r="I69" s="368" t="s">
        <v>39</v>
      </c>
      <c r="J69" s="368">
        <v>547.82000000000005</v>
      </c>
      <c r="K69" s="368">
        <v>547.82000000000005</v>
      </c>
      <c r="L69" s="160">
        <f>J69-K69</f>
        <v>0</v>
      </c>
      <c r="M69" s="3">
        <v>43727</v>
      </c>
      <c r="N69" s="205"/>
      <c r="O69" s="53" t="s">
        <v>118</v>
      </c>
      <c r="P69" s="161">
        <v>58.25</v>
      </c>
      <c r="Q69" s="53"/>
      <c r="R69" s="366"/>
      <c r="S69" s="405"/>
    </row>
    <row r="70" spans="1:19">
      <c r="A70" s="417">
        <v>43711</v>
      </c>
      <c r="B70" s="162" t="s">
        <v>116</v>
      </c>
      <c r="C70" s="98">
        <v>775.2</v>
      </c>
      <c r="D70" s="98">
        <v>775.2</v>
      </c>
      <c r="E70" s="160">
        <f t="shared" ref="E70:E88" si="7">C70-D70</f>
        <v>0</v>
      </c>
      <c r="F70" s="162" t="str">
        <f t="shared" si="6"/>
        <v>оплачено</v>
      </c>
      <c r="G70" s="162">
        <v>1140</v>
      </c>
      <c r="H70" s="1"/>
      <c r="I70" s="368" t="s">
        <v>40</v>
      </c>
      <c r="J70" s="368">
        <v>632.44000000000005</v>
      </c>
      <c r="K70" s="368">
        <v>632.44000000000005</v>
      </c>
      <c r="L70" s="160">
        <f>J70-K70</f>
        <v>0</v>
      </c>
      <c r="M70" s="3">
        <v>43727</v>
      </c>
      <c r="N70" s="205"/>
      <c r="O70" s="53" t="s">
        <v>27</v>
      </c>
      <c r="P70" s="53">
        <v>1250</v>
      </c>
      <c r="Q70" s="53">
        <v>3044</v>
      </c>
      <c r="R70" s="366"/>
      <c r="S70" s="405"/>
    </row>
    <row r="71" spans="1:19">
      <c r="A71" s="417">
        <v>43711</v>
      </c>
      <c r="B71" s="162" t="s">
        <v>117</v>
      </c>
      <c r="C71" s="98">
        <v>231.68</v>
      </c>
      <c r="D71" s="98">
        <v>231.68</v>
      </c>
      <c r="E71" s="160">
        <f t="shared" si="7"/>
        <v>0</v>
      </c>
      <c r="F71" s="162" t="str">
        <f t="shared" si="6"/>
        <v>оплачено</v>
      </c>
      <c r="G71" s="162"/>
      <c r="H71" s="1"/>
      <c r="I71" s="1"/>
      <c r="J71" s="92">
        <f>SUM(J69:J70)</f>
        <v>1180.2600000000002</v>
      </c>
      <c r="K71" s="1"/>
      <c r="L71" s="1"/>
      <c r="M71" s="1"/>
      <c r="N71" s="268"/>
      <c r="O71" s="53" t="s">
        <v>128</v>
      </c>
      <c r="P71" s="368">
        <v>1355</v>
      </c>
      <c r="Q71" s="368">
        <v>2991</v>
      </c>
      <c r="R71" s="366"/>
      <c r="S71" s="405"/>
    </row>
    <row r="72" spans="1:19">
      <c r="A72" s="417">
        <v>43711</v>
      </c>
      <c r="B72" s="53" t="s">
        <v>125</v>
      </c>
      <c r="C72" s="98">
        <v>43.8</v>
      </c>
      <c r="D72" s="98">
        <v>43.8</v>
      </c>
      <c r="E72" s="160">
        <f t="shared" si="7"/>
        <v>0</v>
      </c>
      <c r="F72" s="162" t="str">
        <f t="shared" si="6"/>
        <v>оплачено</v>
      </c>
      <c r="G72" s="162"/>
      <c r="H72" s="1"/>
      <c r="I72" s="150"/>
      <c r="J72" s="1"/>
      <c r="K72" s="1"/>
      <c r="L72" s="1"/>
      <c r="M72" s="1"/>
      <c r="N72" s="268"/>
      <c r="O72" s="53" t="s">
        <v>132</v>
      </c>
      <c r="P72" s="53"/>
      <c r="Q72" s="53">
        <v>2179</v>
      </c>
      <c r="R72" s="366"/>
      <c r="S72" s="405"/>
    </row>
    <row r="73" spans="1:19">
      <c r="A73" s="418"/>
      <c r="B73" s="161" t="s">
        <v>119</v>
      </c>
      <c r="C73" s="161">
        <v>389.25</v>
      </c>
      <c r="D73" s="161">
        <v>389.25</v>
      </c>
      <c r="E73" s="160">
        <f t="shared" si="7"/>
        <v>0</v>
      </c>
      <c r="F73" s="162" t="str">
        <f t="shared" si="6"/>
        <v>оплачено</v>
      </c>
      <c r="G73" s="255">
        <v>621</v>
      </c>
      <c r="H73" s="1056" t="s">
        <v>16</v>
      </c>
      <c r="I73" s="1042" t="s">
        <v>17</v>
      </c>
      <c r="J73" s="1042" t="s">
        <v>21</v>
      </c>
      <c r="K73" s="1042"/>
      <c r="L73" s="1044" t="s">
        <v>93</v>
      </c>
      <c r="M73" s="1044" t="s">
        <v>95</v>
      </c>
      <c r="N73" s="268"/>
      <c r="O73" s="53" t="s">
        <v>133</v>
      </c>
      <c r="P73" s="53">
        <v>2288</v>
      </c>
      <c r="Q73" s="53"/>
      <c r="R73" s="366"/>
      <c r="S73" s="405"/>
    </row>
    <row r="74" spans="1:19" ht="24.75" thickBot="1">
      <c r="A74" s="417"/>
      <c r="B74" s="161" t="s">
        <v>120</v>
      </c>
      <c r="C74" s="161">
        <v>429.83</v>
      </c>
      <c r="D74" s="161">
        <v>429.83</v>
      </c>
      <c r="E74" s="160">
        <f t="shared" si="7"/>
        <v>0</v>
      </c>
      <c r="F74" s="162" t="str">
        <f t="shared" si="6"/>
        <v>оплачено</v>
      </c>
      <c r="G74" s="162"/>
      <c r="H74" s="1056"/>
      <c r="I74" s="1042"/>
      <c r="J74" s="372" t="s">
        <v>21</v>
      </c>
      <c r="K74" s="372" t="s">
        <v>25</v>
      </c>
      <c r="L74" s="1044"/>
      <c r="M74" s="1044"/>
      <c r="N74" s="267"/>
      <c r="O74" s="366"/>
      <c r="P74" s="366"/>
      <c r="Q74" s="366"/>
      <c r="R74" s="366"/>
      <c r="S74" s="405"/>
    </row>
    <row r="75" spans="1:19">
      <c r="A75" s="409"/>
      <c r="B75" s="161" t="s">
        <v>27</v>
      </c>
      <c r="C75" s="161">
        <v>453.8</v>
      </c>
      <c r="D75" s="161">
        <v>453.8</v>
      </c>
      <c r="E75" s="160">
        <f t="shared" si="7"/>
        <v>0</v>
      </c>
      <c r="F75" s="162" t="str">
        <f t="shared" si="6"/>
        <v>оплачено</v>
      </c>
      <c r="G75" s="162"/>
      <c r="H75" s="257" t="s">
        <v>18</v>
      </c>
      <c r="I75" s="258">
        <v>32809.9</v>
      </c>
      <c r="J75" s="258">
        <v>1675.7199999999998</v>
      </c>
      <c r="K75" s="259">
        <v>1047.01</v>
      </c>
      <c r="L75" s="260">
        <v>52152</v>
      </c>
      <c r="M75" s="260">
        <f>82159.79-I75-J75-K75+L75</f>
        <v>98779.159999999989</v>
      </c>
      <c r="N75" s="267"/>
      <c r="O75" s="1072" t="s">
        <v>196</v>
      </c>
      <c r="P75" s="1072"/>
      <c r="Q75" s="1072"/>
      <c r="R75" s="366"/>
      <c r="S75" s="405"/>
    </row>
    <row r="76" spans="1:19">
      <c r="A76" s="410"/>
      <c r="B76" s="204" t="s">
        <v>123</v>
      </c>
      <c r="C76" s="161">
        <v>22.8</v>
      </c>
      <c r="D76" s="161">
        <v>22.8</v>
      </c>
      <c r="E76" s="160">
        <f t="shared" si="7"/>
        <v>0</v>
      </c>
      <c r="F76" s="162" t="str">
        <f t="shared" si="6"/>
        <v>оплачено</v>
      </c>
      <c r="G76" s="162"/>
      <c r="H76" s="257" t="s">
        <v>19</v>
      </c>
      <c r="I76" s="258">
        <v>35259.579999999994</v>
      </c>
      <c r="J76" s="258">
        <v>1363.3000000000002</v>
      </c>
      <c r="K76" s="258">
        <v>1176.05</v>
      </c>
      <c r="L76" s="260">
        <v>40465.950000000004</v>
      </c>
      <c r="M76" s="260">
        <f>M75-I76-J76-K76+L76</f>
        <v>101446.18</v>
      </c>
      <c r="N76" s="366"/>
      <c r="O76" s="1073"/>
      <c r="P76" s="1073"/>
      <c r="Q76" s="1073"/>
      <c r="R76" s="366"/>
      <c r="S76" s="405"/>
    </row>
    <row r="77" spans="1:19">
      <c r="A77" s="411"/>
      <c r="B77" s="53" t="s">
        <v>64</v>
      </c>
      <c r="C77" s="161">
        <v>421.98</v>
      </c>
      <c r="D77" s="161">
        <v>421.98</v>
      </c>
      <c r="E77" s="160">
        <f t="shared" si="7"/>
        <v>0</v>
      </c>
      <c r="F77" s="162" t="str">
        <f t="shared" si="6"/>
        <v>оплачено</v>
      </c>
      <c r="G77" s="162"/>
      <c r="H77" s="257" t="s">
        <v>20</v>
      </c>
      <c r="I77" s="261" t="e">
        <f>#REF!</f>
        <v>#REF!</v>
      </c>
      <c r="J77" s="258">
        <v>1209.3000000000002</v>
      </c>
      <c r="K77" s="262">
        <v>1213.33</v>
      </c>
      <c r="L77" s="262">
        <v>19306</v>
      </c>
      <c r="M77" s="260" t="e">
        <f>M76-I77-J77-K77+L77</f>
        <v>#REF!</v>
      </c>
      <c r="O77" s="366"/>
      <c r="P77" s="366"/>
      <c r="Q77" s="1"/>
      <c r="R77" s="1"/>
      <c r="S77" s="111"/>
    </row>
    <row r="78" spans="1:19">
      <c r="A78" s="411"/>
      <c r="B78" s="58" t="s">
        <v>124</v>
      </c>
      <c r="C78" s="276">
        <v>473.1</v>
      </c>
      <c r="D78" s="276">
        <v>473.1</v>
      </c>
      <c r="E78" s="278">
        <f t="shared" si="7"/>
        <v>0</v>
      </c>
      <c r="F78" s="276" t="str">
        <f t="shared" si="6"/>
        <v>оплачено</v>
      </c>
      <c r="G78" s="162"/>
      <c r="H78" s="257" t="s">
        <v>148</v>
      </c>
      <c r="I78" s="262">
        <v>30955.479999999996</v>
      </c>
      <c r="J78" s="263"/>
      <c r="K78" s="263">
        <v>1035.6600000000001</v>
      </c>
      <c r="L78" s="262">
        <v>59195.5</v>
      </c>
      <c r="M78" s="260" t="e">
        <f>M77-I78-J78-K78+L78</f>
        <v>#REF!</v>
      </c>
      <c r="O78" s="366"/>
      <c r="P78" s="366"/>
      <c r="Q78" s="1"/>
      <c r="R78" s="1"/>
      <c r="S78" s="111"/>
    </row>
    <row r="79" spans="1:19" ht="15.75" thickBot="1">
      <c r="A79" s="410"/>
      <c r="B79" s="162" t="s">
        <v>32</v>
      </c>
      <c r="C79" s="161">
        <v>348.15</v>
      </c>
      <c r="D79" s="161">
        <v>348.15</v>
      </c>
      <c r="E79" s="160">
        <f t="shared" si="7"/>
        <v>0</v>
      </c>
      <c r="F79" s="162" t="str">
        <f t="shared" si="6"/>
        <v>оплачено</v>
      </c>
      <c r="G79" s="162"/>
      <c r="H79" s="1"/>
      <c r="I79" s="1"/>
      <c r="J79" s="150"/>
      <c r="K79" s="1"/>
      <c r="L79" s="150"/>
      <c r="M79" s="150"/>
      <c r="O79" s="366"/>
      <c r="P79" s="366"/>
      <c r="Q79" s="1"/>
      <c r="R79" s="1"/>
      <c r="S79" s="111"/>
    </row>
    <row r="80" spans="1:19">
      <c r="A80" s="410"/>
      <c r="B80" s="161" t="s">
        <v>133</v>
      </c>
      <c r="C80" s="164">
        <f>592.8+54.6</f>
        <v>647.4</v>
      </c>
      <c r="D80" s="164">
        <f>592.8+54.6</f>
        <v>647.4</v>
      </c>
      <c r="E80" s="160">
        <f t="shared" si="7"/>
        <v>0</v>
      </c>
      <c r="F80" s="162" t="str">
        <f t="shared" si="6"/>
        <v>оплачено</v>
      </c>
      <c r="G80" s="162"/>
      <c r="H80" s="1071" t="s">
        <v>122</v>
      </c>
      <c r="I80" s="1061"/>
      <c r="J80" s="208" t="s">
        <v>121</v>
      </c>
      <c r="K80" s="150"/>
      <c r="L80" s="150"/>
      <c r="M80" s="1"/>
      <c r="O80" s="366"/>
      <c r="P80" s="1"/>
      <c r="Q80" s="1"/>
      <c r="R80" s="1"/>
      <c r="S80" s="111"/>
    </row>
    <row r="81" spans="1:19" ht="15.75" thickBot="1">
      <c r="A81" s="410"/>
      <c r="B81" s="161" t="s">
        <v>139</v>
      </c>
      <c r="C81" s="161">
        <v>244.15</v>
      </c>
      <c r="D81" s="161">
        <v>244.15</v>
      </c>
      <c r="E81" s="160">
        <f t="shared" si="7"/>
        <v>0</v>
      </c>
      <c r="F81" s="162" t="str">
        <f t="shared" si="6"/>
        <v>оплачено</v>
      </c>
      <c r="G81" s="162"/>
      <c r="H81" s="92"/>
      <c r="I81" s="92">
        <v>39</v>
      </c>
      <c r="J81" s="209">
        <v>59195.5</v>
      </c>
      <c r="K81" s="1"/>
      <c r="L81" s="1"/>
      <c r="M81" s="150"/>
      <c r="O81" s="366"/>
      <c r="P81" s="1"/>
      <c r="Q81" s="1"/>
      <c r="R81" s="1"/>
      <c r="S81" s="111"/>
    </row>
    <row r="82" spans="1:19">
      <c r="A82" s="410"/>
      <c r="B82" s="368" t="s">
        <v>71</v>
      </c>
      <c r="C82" s="235">
        <v>459.02</v>
      </c>
      <c r="D82" s="235">
        <v>459.02</v>
      </c>
      <c r="E82" s="160">
        <f t="shared" si="7"/>
        <v>0</v>
      </c>
      <c r="F82" s="162" t="str">
        <f t="shared" si="6"/>
        <v>оплачено</v>
      </c>
      <c r="G82" s="256"/>
      <c r="H82" s="1"/>
      <c r="I82" s="1"/>
      <c r="J82" s="1"/>
      <c r="K82" s="1"/>
      <c r="L82" s="1"/>
      <c r="M82" s="1"/>
      <c r="O82" s="366"/>
      <c r="P82" s="1"/>
      <c r="Q82" s="1"/>
      <c r="R82" s="1"/>
      <c r="S82" s="111"/>
    </row>
    <row r="83" spans="1:19">
      <c r="A83" s="410">
        <v>43728</v>
      </c>
      <c r="B83" s="161" t="s">
        <v>138</v>
      </c>
      <c r="C83" s="161">
        <v>910.91</v>
      </c>
      <c r="D83" s="161">
        <v>910.91</v>
      </c>
      <c r="E83" s="160">
        <f t="shared" si="7"/>
        <v>0</v>
      </c>
      <c r="F83" s="162" t="str">
        <f t="shared" si="6"/>
        <v>оплачено</v>
      </c>
      <c r="G83" s="162"/>
      <c r="H83" s="1"/>
      <c r="I83" s="1"/>
      <c r="J83" s="1"/>
      <c r="K83" s="1"/>
      <c r="L83" s="1"/>
      <c r="M83" s="211"/>
      <c r="O83" s="366"/>
      <c r="P83" s="1"/>
      <c r="Q83" s="1"/>
      <c r="R83" s="1"/>
      <c r="S83" s="111"/>
    </row>
    <row r="84" spans="1:19">
      <c r="A84" s="411"/>
      <c r="B84" s="161" t="s">
        <v>137</v>
      </c>
      <c r="C84" s="161">
        <v>92.82</v>
      </c>
      <c r="D84" s="161">
        <v>92.82</v>
      </c>
      <c r="E84" s="160">
        <f t="shared" si="7"/>
        <v>0</v>
      </c>
      <c r="F84" s="162" t="str">
        <f t="shared" si="6"/>
        <v>оплачено</v>
      </c>
      <c r="G84" s="162"/>
      <c r="H84" s="1"/>
      <c r="I84" s="234"/>
      <c r="J84" s="234"/>
      <c r="K84" s="1"/>
      <c r="L84" s="1"/>
      <c r="M84" s="1"/>
      <c r="N84" s="81"/>
      <c r="O84" s="128"/>
      <c r="P84" s="157"/>
      <c r="Q84" s="157"/>
      <c r="R84" s="1"/>
      <c r="S84" s="111"/>
    </row>
    <row r="85" spans="1:19">
      <c r="A85" s="419"/>
      <c r="B85" s="161" t="s">
        <v>63</v>
      </c>
      <c r="C85" s="161">
        <v>252</v>
      </c>
      <c r="D85" s="161">
        <v>252</v>
      </c>
      <c r="E85" s="160">
        <f t="shared" si="7"/>
        <v>0</v>
      </c>
      <c r="F85" s="162" t="str">
        <f t="shared" si="6"/>
        <v>оплачено</v>
      </c>
      <c r="G85" s="162"/>
      <c r="H85" s="1"/>
      <c r="I85" s="234"/>
      <c r="J85" s="234"/>
      <c r="K85" s="1"/>
      <c r="L85" s="1"/>
      <c r="M85" s="1"/>
      <c r="O85" s="1"/>
      <c r="P85" s="366"/>
      <c r="Q85" s="1"/>
      <c r="R85" s="1"/>
      <c r="S85" s="111"/>
    </row>
    <row r="86" spans="1:19">
      <c r="A86" s="420"/>
      <c r="B86" s="276" t="s">
        <v>124</v>
      </c>
      <c r="C86" s="277">
        <v>410.85</v>
      </c>
      <c r="D86" s="277">
        <v>410.85</v>
      </c>
      <c r="E86" s="278">
        <f t="shared" si="7"/>
        <v>0</v>
      </c>
      <c r="F86" s="276" t="str">
        <f t="shared" si="6"/>
        <v>оплачено</v>
      </c>
      <c r="G86" s="162" t="s">
        <v>151</v>
      </c>
      <c r="H86" s="1"/>
      <c r="I86" s="1"/>
      <c r="J86" s="1"/>
      <c r="K86" s="1"/>
      <c r="L86" s="1"/>
      <c r="M86" s="1"/>
      <c r="O86" s="1"/>
      <c r="P86" s="366"/>
      <c r="Q86" s="1"/>
      <c r="R86" s="1"/>
      <c r="S86" s="111"/>
    </row>
    <row r="87" spans="1:19">
      <c r="A87" s="410">
        <v>43724</v>
      </c>
      <c r="B87" s="161" t="s">
        <v>119</v>
      </c>
      <c r="C87" s="161">
        <f>113.4+130.55</f>
        <v>243.95000000000002</v>
      </c>
      <c r="D87" s="161">
        <f>113.4+130.55</f>
        <v>243.95000000000002</v>
      </c>
      <c r="E87" s="160">
        <f t="shared" si="7"/>
        <v>0</v>
      </c>
      <c r="F87" s="162" t="str">
        <f t="shared" si="6"/>
        <v>оплачено</v>
      </c>
      <c r="G87" s="256"/>
      <c r="H87" s="1"/>
      <c r="I87" s="1"/>
      <c r="J87" s="1"/>
      <c r="K87" s="1"/>
      <c r="L87" s="1"/>
      <c r="M87" s="1"/>
      <c r="O87" s="1"/>
      <c r="P87" s="366"/>
      <c r="Q87" s="1"/>
      <c r="R87" s="1"/>
      <c r="S87" s="111"/>
    </row>
    <row r="88" spans="1:19">
      <c r="A88" s="410">
        <v>43733</v>
      </c>
      <c r="B88" s="161" t="s">
        <v>62</v>
      </c>
      <c r="C88" s="164">
        <v>795.83</v>
      </c>
      <c r="D88" s="164">
        <v>795.83</v>
      </c>
      <c r="E88" s="160">
        <f t="shared" si="7"/>
        <v>0</v>
      </c>
      <c r="F88" s="162" t="str">
        <f t="shared" si="6"/>
        <v>оплачено</v>
      </c>
      <c r="G88" s="162"/>
      <c r="H88" s="1"/>
      <c r="I88" s="1"/>
      <c r="J88" s="1"/>
      <c r="K88" s="1"/>
      <c r="L88" s="1"/>
      <c r="M88" s="1"/>
      <c r="O88" s="1"/>
      <c r="P88" s="366"/>
      <c r="Q88" s="1"/>
      <c r="R88" s="1"/>
      <c r="S88" s="111"/>
    </row>
    <row r="89" spans="1:19">
      <c r="A89" s="413"/>
      <c r="B89" s="201"/>
      <c r="C89" s="201"/>
      <c r="D89" s="201"/>
      <c r="E89" s="216"/>
      <c r="F89" s="217" t="str">
        <f t="shared" si="6"/>
        <v/>
      </c>
      <c r="G89" s="217"/>
      <c r="H89" s="1">
        <v>1</v>
      </c>
      <c r="I89" s="1020" t="s">
        <v>47</v>
      </c>
      <c r="J89" s="1020"/>
      <c r="K89" s="368">
        <v>288.75</v>
      </c>
      <c r="L89" s="1" t="s">
        <v>134</v>
      </c>
      <c r="M89" s="111"/>
      <c r="O89" s="1"/>
      <c r="P89" s="366"/>
      <c r="Q89" s="1"/>
      <c r="R89" s="1"/>
      <c r="S89" s="111"/>
    </row>
    <row r="90" spans="1:19">
      <c r="A90" s="415"/>
      <c r="B90" s="199"/>
      <c r="C90" s="199"/>
      <c r="D90" s="232"/>
      <c r="E90" s="84"/>
      <c r="F90" s="199"/>
      <c r="G90" s="200"/>
      <c r="H90" s="1">
        <v>2</v>
      </c>
      <c r="I90" s="1020" t="s">
        <v>51</v>
      </c>
      <c r="J90" s="1020"/>
      <c r="K90" s="368">
        <v>64.349999999999994</v>
      </c>
      <c r="L90" s="1" t="s">
        <v>134</v>
      </c>
      <c r="M90" s="111"/>
      <c r="O90" s="1"/>
      <c r="P90" s="366"/>
      <c r="Q90" s="1"/>
      <c r="R90" s="1"/>
      <c r="S90" s="111"/>
    </row>
    <row r="91" spans="1:19" ht="36.75">
      <c r="A91" s="421">
        <v>1</v>
      </c>
      <c r="B91" s="264" t="s">
        <v>126</v>
      </c>
      <c r="C91" s="265" t="s">
        <v>20</v>
      </c>
      <c r="D91" s="266" t="s">
        <v>24</v>
      </c>
      <c r="E91" s="375">
        <v>94.08</v>
      </c>
      <c r="F91" s="375">
        <v>184</v>
      </c>
      <c r="G91" s="375" t="s">
        <v>56</v>
      </c>
      <c r="H91" s="1">
        <v>3</v>
      </c>
      <c r="I91" s="1020" t="s">
        <v>52</v>
      </c>
      <c r="J91" s="1020"/>
      <c r="K91" s="368">
        <v>10</v>
      </c>
      <c r="L91" s="1"/>
      <c r="M91" s="111"/>
      <c r="O91" s="1"/>
      <c r="P91" s="1"/>
      <c r="Q91" s="1"/>
      <c r="R91" s="1"/>
      <c r="S91" s="111"/>
    </row>
    <row r="92" spans="1:19">
      <c r="A92" s="422">
        <v>2</v>
      </c>
      <c r="B92" s="162" t="s">
        <v>115</v>
      </c>
      <c r="C92" s="219" t="s">
        <v>127</v>
      </c>
      <c r="D92" s="220" t="s">
        <v>24</v>
      </c>
      <c r="E92" s="160">
        <v>1980</v>
      </c>
      <c r="F92" s="368">
        <v>3200</v>
      </c>
      <c r="G92" s="368" t="s">
        <v>56</v>
      </c>
      <c r="H92" s="1">
        <v>4</v>
      </c>
      <c r="I92" s="1020" t="s">
        <v>53</v>
      </c>
      <c r="J92" s="1020"/>
      <c r="K92" s="368">
        <v>5</v>
      </c>
      <c r="L92" s="1"/>
      <c r="M92" s="156"/>
      <c r="O92" s="1"/>
      <c r="P92" s="1"/>
      <c r="Q92" s="1"/>
      <c r="R92" s="1"/>
      <c r="S92" s="111"/>
    </row>
    <row r="93" spans="1:19">
      <c r="A93" s="422">
        <v>3</v>
      </c>
      <c r="B93" s="368" t="s">
        <v>119</v>
      </c>
      <c r="C93" s="219"/>
      <c r="D93" s="220" t="s">
        <v>24</v>
      </c>
      <c r="E93" s="368">
        <v>389.25</v>
      </c>
      <c r="F93" s="368">
        <v>621</v>
      </c>
      <c r="G93" s="368" t="s">
        <v>56</v>
      </c>
      <c r="H93" s="1">
        <v>5</v>
      </c>
      <c r="I93" s="1020"/>
      <c r="J93" s="1020"/>
      <c r="K93" s="368"/>
      <c r="L93" s="1"/>
      <c r="M93" s="156"/>
      <c r="O93" s="1"/>
      <c r="P93" s="1"/>
      <c r="Q93" s="1"/>
      <c r="R93" s="1"/>
      <c r="S93" s="111"/>
    </row>
    <row r="94" spans="1:19">
      <c r="A94" s="423">
        <v>4</v>
      </c>
      <c r="B94" s="53" t="s">
        <v>128</v>
      </c>
      <c r="C94" s="219"/>
      <c r="D94" s="219" t="s">
        <v>23</v>
      </c>
      <c r="E94" s="368">
        <v>1355</v>
      </c>
      <c r="F94" s="368">
        <v>2991</v>
      </c>
      <c r="G94" s="368"/>
      <c r="H94" s="1">
        <v>6</v>
      </c>
      <c r="I94" s="1020" t="s">
        <v>49</v>
      </c>
      <c r="J94" s="1020"/>
      <c r="K94" s="368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1"/>
    </row>
    <row r="95" spans="1:19" ht="120">
      <c r="A95" s="424">
        <v>5</v>
      </c>
      <c r="B95" s="221" t="s">
        <v>29</v>
      </c>
      <c r="C95" s="222" t="s">
        <v>129</v>
      </c>
      <c r="D95" s="220" t="s">
        <v>24</v>
      </c>
      <c r="E95" s="224" t="s">
        <v>130</v>
      </c>
      <c r="F95" s="224">
        <v>453</v>
      </c>
      <c r="G95" s="368" t="s">
        <v>56</v>
      </c>
      <c r="H95" s="1">
        <v>7</v>
      </c>
      <c r="I95" s="1054" t="s">
        <v>48</v>
      </c>
      <c r="J95" s="1055"/>
      <c r="K95" s="368">
        <v>458.46</v>
      </c>
      <c r="L95" s="150"/>
      <c r="M95" s="156"/>
      <c r="O95" s="1"/>
      <c r="P95" s="1"/>
      <c r="Q95" s="1"/>
      <c r="R95" s="1"/>
      <c r="S95" s="111"/>
    </row>
    <row r="96" spans="1:19">
      <c r="A96" s="423">
        <v>6</v>
      </c>
      <c r="B96" s="162" t="s">
        <v>116</v>
      </c>
      <c r="C96" s="219"/>
      <c r="D96" s="220" t="s">
        <v>24</v>
      </c>
      <c r="E96" s="53">
        <v>775.2</v>
      </c>
      <c r="F96" s="53">
        <v>1140</v>
      </c>
      <c r="G96" s="368" t="s">
        <v>56</v>
      </c>
      <c r="H96" s="1">
        <v>8</v>
      </c>
      <c r="I96" s="1054" t="s">
        <v>57</v>
      </c>
      <c r="J96" s="1055"/>
      <c r="K96" s="368">
        <v>4.58</v>
      </c>
      <c r="L96" s="1"/>
      <c r="M96" s="111" t="s">
        <v>76</v>
      </c>
      <c r="O96" s="1"/>
      <c r="P96" s="1"/>
      <c r="Q96" s="1"/>
      <c r="R96" s="1"/>
      <c r="S96" s="111"/>
    </row>
    <row r="97" spans="1:19">
      <c r="A97" s="423">
        <v>7</v>
      </c>
      <c r="B97" s="161" t="s">
        <v>31</v>
      </c>
      <c r="C97" s="219"/>
      <c r="D97" s="220" t="s">
        <v>24</v>
      </c>
      <c r="E97" s="53">
        <v>979.98</v>
      </c>
      <c r="F97" s="53">
        <v>1518</v>
      </c>
      <c r="G97" s="368"/>
      <c r="H97" s="1">
        <v>9</v>
      </c>
      <c r="I97" s="1017" t="s">
        <v>59</v>
      </c>
      <c r="J97" s="1017"/>
      <c r="K97" s="368">
        <v>1041.98</v>
      </c>
      <c r="L97" s="1"/>
      <c r="M97" s="111"/>
      <c r="O97" s="1"/>
      <c r="P97" s="1"/>
      <c r="Q97" s="1"/>
      <c r="R97" s="1"/>
      <c r="S97" s="111"/>
    </row>
    <row r="98" spans="1:19">
      <c r="A98" s="423">
        <v>8</v>
      </c>
      <c r="B98" s="162" t="s">
        <v>117</v>
      </c>
      <c r="C98" s="219"/>
      <c r="D98" s="220" t="s">
        <v>24</v>
      </c>
      <c r="E98" s="53">
        <v>231.68</v>
      </c>
      <c r="F98" s="53">
        <v>367</v>
      </c>
      <c r="G98" s="368" t="s">
        <v>56</v>
      </c>
      <c r="H98" s="1">
        <v>10</v>
      </c>
      <c r="I98" s="1021" t="s">
        <v>68</v>
      </c>
      <c r="J98" s="1022"/>
      <c r="K98" s="368">
        <v>276</v>
      </c>
      <c r="L98" s="1" t="s">
        <v>56</v>
      </c>
      <c r="M98" s="111"/>
      <c r="O98" s="1"/>
      <c r="P98" s="1"/>
      <c r="Q98" s="1"/>
      <c r="R98" s="1"/>
      <c r="S98" s="111"/>
    </row>
    <row r="99" spans="1:19">
      <c r="A99" s="423">
        <v>9</v>
      </c>
      <c r="B99" s="53" t="s">
        <v>55</v>
      </c>
      <c r="C99" s="53"/>
      <c r="D99" s="219" t="s">
        <v>23</v>
      </c>
      <c r="E99" s="53">
        <v>1250</v>
      </c>
      <c r="F99" s="53">
        <v>3044</v>
      </c>
      <c r="G99" s="368"/>
      <c r="H99" s="1">
        <v>11</v>
      </c>
      <c r="I99" s="1021" t="s">
        <v>81</v>
      </c>
      <c r="J99" s="1022"/>
      <c r="K99" s="53">
        <v>1730.44</v>
      </c>
      <c r="L99" s="1" t="s">
        <v>56</v>
      </c>
      <c r="M99" s="111"/>
      <c r="O99" s="1"/>
      <c r="P99" s="1"/>
      <c r="Q99" s="1"/>
      <c r="R99" s="1"/>
      <c r="S99" s="111"/>
    </row>
    <row r="100" spans="1:19" ht="26.25">
      <c r="A100" s="423">
        <v>10</v>
      </c>
      <c r="B100" s="161" t="s">
        <v>27</v>
      </c>
      <c r="C100" s="161"/>
      <c r="D100" s="220" t="s">
        <v>24</v>
      </c>
      <c r="E100" s="161">
        <v>453.8</v>
      </c>
      <c r="F100" s="368"/>
      <c r="G100" s="223" t="s">
        <v>131</v>
      </c>
      <c r="H100" s="1"/>
      <c r="I100" s="1" t="s">
        <v>50</v>
      </c>
      <c r="J100" s="1"/>
      <c r="K100" s="92">
        <f>SUM(K84:K99)</f>
        <v>4114.3099999999995</v>
      </c>
      <c r="L100" s="1"/>
      <c r="M100" s="111"/>
      <c r="O100" s="1"/>
      <c r="P100" s="1"/>
      <c r="Q100" s="1"/>
      <c r="R100" s="1"/>
      <c r="S100" s="111"/>
    </row>
    <row r="101" spans="1:19" ht="26.25">
      <c r="A101" s="422">
        <v>11</v>
      </c>
      <c r="B101" s="161" t="s">
        <v>120</v>
      </c>
      <c r="C101" s="161"/>
      <c r="D101" s="220" t="s">
        <v>24</v>
      </c>
      <c r="E101" s="161">
        <v>429.83</v>
      </c>
      <c r="F101" s="368">
        <v>858.5</v>
      </c>
      <c r="G101" s="223" t="s">
        <v>131</v>
      </c>
      <c r="H101" s="1"/>
      <c r="I101" s="1"/>
      <c r="J101" s="1"/>
      <c r="K101" s="1"/>
      <c r="L101" s="1"/>
      <c r="M101" s="156"/>
      <c r="O101" s="1"/>
      <c r="P101" s="1"/>
      <c r="Q101" s="1"/>
      <c r="R101" s="1"/>
      <c r="S101" s="111"/>
    </row>
    <row r="102" spans="1:19">
      <c r="A102" s="422">
        <v>12</v>
      </c>
      <c r="B102" s="53" t="s">
        <v>125</v>
      </c>
      <c r="C102" s="98"/>
      <c r="D102" s="220" t="s">
        <v>24</v>
      </c>
      <c r="E102" s="98">
        <v>43.8</v>
      </c>
      <c r="F102" s="368">
        <v>200</v>
      </c>
      <c r="G102" s="368" t="s">
        <v>56</v>
      </c>
      <c r="H102" s="1"/>
      <c r="I102" s="1"/>
      <c r="J102" s="1"/>
      <c r="K102" s="12"/>
      <c r="L102" s="1"/>
      <c r="M102" s="111"/>
      <c r="O102" s="1"/>
      <c r="P102" s="1"/>
      <c r="Q102" s="1"/>
      <c r="R102" s="1"/>
      <c r="S102" s="111"/>
    </row>
    <row r="103" spans="1:19">
      <c r="A103" s="395">
        <v>13</v>
      </c>
      <c r="B103" s="53" t="s">
        <v>125</v>
      </c>
      <c r="C103" s="368"/>
      <c r="D103" s="219" t="s">
        <v>23</v>
      </c>
      <c r="E103" s="161">
        <v>58.25</v>
      </c>
      <c r="F103" s="368"/>
      <c r="G103" s="368"/>
      <c r="H103" s="1"/>
      <c r="I103" s="1"/>
      <c r="J103" s="1"/>
      <c r="K103" s="1"/>
      <c r="L103" s="1"/>
      <c r="M103" s="111"/>
      <c r="O103" s="1"/>
      <c r="P103" s="1"/>
      <c r="Q103" s="1"/>
      <c r="R103" s="1"/>
      <c r="S103" s="111"/>
    </row>
    <row r="104" spans="1:19" ht="15.75" thickBot="1">
      <c r="A104" s="395">
        <v>14</v>
      </c>
      <c r="B104" s="53" t="s">
        <v>132</v>
      </c>
      <c r="C104" s="368"/>
      <c r="D104" s="219" t="s">
        <v>23</v>
      </c>
      <c r="E104" s="368"/>
      <c r="F104" s="53">
        <v>2179</v>
      </c>
      <c r="G104" s="368"/>
      <c r="H104" s="130"/>
      <c r="I104" s="130"/>
      <c r="J104" s="130"/>
      <c r="K104" s="130"/>
      <c r="L104" s="130"/>
      <c r="M104" s="132"/>
      <c r="O104" s="1"/>
      <c r="P104" s="1"/>
      <c r="Q104" s="1"/>
      <c r="R104" s="1"/>
      <c r="S104" s="111"/>
    </row>
    <row r="105" spans="1:19">
      <c r="A105" s="395">
        <v>15</v>
      </c>
      <c r="B105" s="53" t="s">
        <v>87</v>
      </c>
      <c r="C105" s="368"/>
      <c r="D105" s="219" t="s">
        <v>23</v>
      </c>
      <c r="E105" s="368"/>
      <c r="F105" s="53">
        <v>614.5</v>
      </c>
      <c r="G105" s="368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1"/>
    </row>
    <row r="106" spans="1:19">
      <c r="A106" s="395">
        <v>16</v>
      </c>
      <c r="B106" s="162" t="s">
        <v>32</v>
      </c>
      <c r="C106" s="161"/>
      <c r="D106" s="220" t="s">
        <v>24</v>
      </c>
      <c r="E106" s="161">
        <v>348.15</v>
      </c>
      <c r="F106" s="368"/>
      <c r="G106" s="368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1"/>
    </row>
    <row r="107" spans="1:19">
      <c r="A107" s="395">
        <v>17</v>
      </c>
      <c r="B107" s="162" t="s">
        <v>32</v>
      </c>
      <c r="C107" s="368"/>
      <c r="D107" s="219" t="s">
        <v>23</v>
      </c>
      <c r="E107" s="161">
        <v>588.75</v>
      </c>
      <c r="F107" s="368"/>
      <c r="G107" s="368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1"/>
    </row>
    <row r="108" spans="1:19">
      <c r="A108" s="395">
        <v>18</v>
      </c>
      <c r="B108" s="162" t="s">
        <v>32</v>
      </c>
      <c r="C108" s="368"/>
      <c r="D108" s="219" t="s">
        <v>23</v>
      </c>
      <c r="E108" s="161">
        <v>339.5</v>
      </c>
      <c r="F108" s="368"/>
      <c r="G108" s="368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1"/>
    </row>
    <row r="109" spans="1:19">
      <c r="A109" s="395">
        <v>19</v>
      </c>
      <c r="B109" s="161" t="s">
        <v>133</v>
      </c>
      <c r="C109" s="368"/>
      <c r="D109" s="220" t="s">
        <v>24</v>
      </c>
      <c r="E109" s="164">
        <v>592.79999999999995</v>
      </c>
      <c r="F109" s="368"/>
      <c r="G109" s="368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1"/>
    </row>
    <row r="110" spans="1:19">
      <c r="A110" s="395">
        <v>20</v>
      </c>
      <c r="B110" s="161" t="s">
        <v>133</v>
      </c>
      <c r="C110" s="368"/>
      <c r="D110" s="219" t="s">
        <v>23</v>
      </c>
      <c r="E110" s="161">
        <v>2288</v>
      </c>
      <c r="F110" s="368"/>
      <c r="G110" s="368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1"/>
    </row>
    <row r="111" spans="1:19" ht="15.75" thickBot="1">
      <c r="A111" s="129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2"/>
    </row>
    <row r="112" spans="1:19" ht="15.75" thickBot="1">
      <c r="A112" s="107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9"/>
    </row>
    <row r="113" spans="1:19" ht="15.75" thickTop="1">
      <c r="A113" s="1036" t="s">
        <v>28</v>
      </c>
      <c r="B113" s="1037"/>
      <c r="C113" s="1037"/>
      <c r="D113" s="1037"/>
      <c r="E113" s="1037"/>
      <c r="F113" s="1037"/>
      <c r="G113" s="1038"/>
      <c r="H113" s="323"/>
      <c r="I113" s="1037" t="s">
        <v>158</v>
      </c>
      <c r="J113" s="1037"/>
      <c r="K113" s="1037"/>
      <c r="L113" s="1037"/>
      <c r="M113" s="1038"/>
      <c r="O113" s="1"/>
      <c r="P113" s="1"/>
      <c r="Q113" s="1"/>
      <c r="R113" s="1"/>
      <c r="S113" s="111"/>
    </row>
    <row r="114" spans="1:19">
      <c r="A114" s="395" t="s">
        <v>2</v>
      </c>
      <c r="B114" s="371" t="s">
        <v>34</v>
      </c>
      <c r="C114" s="36" t="s">
        <v>35</v>
      </c>
      <c r="D114" s="36" t="s">
        <v>38</v>
      </c>
      <c r="E114" s="36" t="s">
        <v>42</v>
      </c>
      <c r="F114" s="371" t="s">
        <v>36</v>
      </c>
      <c r="G114" s="100" t="s">
        <v>173</v>
      </c>
      <c r="H114" s="1"/>
      <c r="I114" s="40"/>
      <c r="J114" s="368" t="s">
        <v>104</v>
      </c>
      <c r="K114" s="368" t="s">
        <v>38</v>
      </c>
      <c r="L114" s="368" t="s">
        <v>42</v>
      </c>
      <c r="M114" s="100" t="s">
        <v>44</v>
      </c>
      <c r="O114" s="1"/>
      <c r="P114" s="1"/>
      <c r="Q114" s="1"/>
      <c r="R114" s="1"/>
      <c r="S114" s="111"/>
    </row>
    <row r="115" spans="1:19">
      <c r="A115" s="425">
        <v>43740</v>
      </c>
      <c r="B115" s="289" t="s">
        <v>31</v>
      </c>
      <c r="C115" s="290">
        <v>527.41</v>
      </c>
      <c r="D115" s="290" t="s">
        <v>72</v>
      </c>
      <c r="E115" s="291" t="s">
        <v>72</v>
      </c>
      <c r="F115" s="289" t="s">
        <v>61</v>
      </c>
      <c r="G115" s="311"/>
      <c r="H115" s="1"/>
      <c r="I115" s="368" t="s">
        <v>39</v>
      </c>
      <c r="J115" s="373">
        <v>1157.48</v>
      </c>
      <c r="K115" s="373">
        <v>1157.48</v>
      </c>
      <c r="L115" s="160">
        <f>J115-K115</f>
        <v>0</v>
      </c>
      <c r="M115" s="101">
        <v>43759</v>
      </c>
      <c r="O115" s="1"/>
      <c r="P115" s="1"/>
      <c r="Q115" s="1"/>
      <c r="R115" s="1"/>
      <c r="S115" s="111"/>
    </row>
    <row r="116" spans="1:19">
      <c r="A116" s="409">
        <v>43746</v>
      </c>
      <c r="B116" s="162" t="s">
        <v>115</v>
      </c>
      <c r="C116" s="98">
        <v>248.72</v>
      </c>
      <c r="D116" s="98">
        <v>248.72</v>
      </c>
      <c r="E116" s="160">
        <f t="shared" ref="E116:E128" si="8">C116-D116</f>
        <v>0</v>
      </c>
      <c r="F116" s="162" t="str">
        <f t="shared" ref="F116:F130" si="9">IF(C116=0,"",IF(C116-D116=0,"оплачено",""))</f>
        <v>оплачено</v>
      </c>
      <c r="G116" s="312"/>
      <c r="H116" s="1"/>
      <c r="I116" s="368" t="s">
        <v>40</v>
      </c>
      <c r="J116" s="281">
        <v>868.92</v>
      </c>
      <c r="K116" s="281">
        <v>868.92</v>
      </c>
      <c r="L116" s="160">
        <f>J116-K116</f>
        <v>0</v>
      </c>
      <c r="M116" s="101">
        <v>43759</v>
      </c>
      <c r="O116" s="1"/>
      <c r="P116" s="1"/>
      <c r="Q116" s="1"/>
      <c r="R116" s="1"/>
      <c r="S116" s="111"/>
    </row>
    <row r="117" spans="1:19">
      <c r="A117" s="409">
        <v>43747</v>
      </c>
      <c r="B117" s="161" t="s">
        <v>155</v>
      </c>
      <c r="C117" s="98">
        <v>178.7</v>
      </c>
      <c r="D117" s="98">
        <v>178.7</v>
      </c>
      <c r="E117" s="160">
        <f t="shared" si="8"/>
        <v>0</v>
      </c>
      <c r="F117" s="162" t="str">
        <f t="shared" si="9"/>
        <v>оплачено</v>
      </c>
      <c r="G117" s="312"/>
      <c r="H117" s="1"/>
      <c r="I117" s="1"/>
      <c r="J117" s="92">
        <f>SUM(J115:J116)</f>
        <v>2026.4</v>
      </c>
      <c r="K117" s="1"/>
      <c r="L117" s="1"/>
      <c r="M117" s="44"/>
      <c r="O117" s="1"/>
      <c r="P117" s="1"/>
      <c r="Q117" s="1"/>
      <c r="R117" s="1"/>
      <c r="S117" s="111"/>
    </row>
    <row r="118" spans="1:19" ht="15.75" thickBot="1">
      <c r="A118" s="425">
        <v>43748</v>
      </c>
      <c r="B118" s="289" t="s">
        <v>31</v>
      </c>
      <c r="C118" s="290">
        <v>396.19</v>
      </c>
      <c r="D118" s="290" t="s">
        <v>72</v>
      </c>
      <c r="E118" s="291" t="s">
        <v>72</v>
      </c>
      <c r="F118" s="289" t="s">
        <v>61</v>
      </c>
      <c r="G118" s="311"/>
      <c r="H118" s="1"/>
      <c r="I118" s="150"/>
      <c r="J118" s="1"/>
      <c r="K118" s="1"/>
      <c r="L118" s="1"/>
      <c r="M118" s="44"/>
      <c r="O118" s="1"/>
      <c r="P118" s="1"/>
      <c r="Q118" s="1"/>
      <c r="R118" s="1"/>
      <c r="S118" s="111"/>
    </row>
    <row r="119" spans="1:19">
      <c r="A119" s="417">
        <v>43743</v>
      </c>
      <c r="B119" s="162" t="s">
        <v>150</v>
      </c>
      <c r="C119" s="275">
        <v>564.70000000000005</v>
      </c>
      <c r="D119" s="275">
        <v>564.70000000000005</v>
      </c>
      <c r="E119" s="160">
        <f t="shared" si="8"/>
        <v>0</v>
      </c>
      <c r="F119" s="162" t="str">
        <f t="shared" si="9"/>
        <v>оплачено</v>
      </c>
      <c r="G119" s="312" t="s">
        <v>172</v>
      </c>
      <c r="H119" s="1056" t="s">
        <v>16</v>
      </c>
      <c r="I119" s="1042" t="s">
        <v>17</v>
      </c>
      <c r="J119" s="1042" t="s">
        <v>21</v>
      </c>
      <c r="K119" s="1042"/>
      <c r="L119" s="1044" t="s">
        <v>93</v>
      </c>
      <c r="M119" s="1046" t="s">
        <v>95</v>
      </c>
      <c r="O119" s="1072" t="s">
        <v>197</v>
      </c>
      <c r="P119" s="1072"/>
      <c r="Q119" s="1072"/>
      <c r="R119" s="1"/>
      <c r="S119" s="111"/>
    </row>
    <row r="120" spans="1:19" ht="24">
      <c r="A120" s="409">
        <v>43754</v>
      </c>
      <c r="B120" s="368" t="s">
        <v>71</v>
      </c>
      <c r="C120" s="275">
        <v>166.54</v>
      </c>
      <c r="D120" s="161">
        <v>166.54</v>
      </c>
      <c r="E120" s="160">
        <f t="shared" si="8"/>
        <v>0</v>
      </c>
      <c r="F120" s="162" t="str">
        <f t="shared" si="9"/>
        <v>оплачено</v>
      </c>
      <c r="G120" s="312"/>
      <c r="H120" s="1056"/>
      <c r="I120" s="1042"/>
      <c r="J120" s="372" t="s">
        <v>21</v>
      </c>
      <c r="K120" s="372" t="s">
        <v>25</v>
      </c>
      <c r="L120" s="1044"/>
      <c r="M120" s="1046"/>
      <c r="O120" s="1073"/>
      <c r="P120" s="1073"/>
      <c r="Q120" s="1073"/>
      <c r="R120" s="1"/>
      <c r="S120" s="111"/>
    </row>
    <row r="121" spans="1:19">
      <c r="A121" s="409">
        <v>43756</v>
      </c>
      <c r="B121" s="161" t="s">
        <v>155</v>
      </c>
      <c r="C121" s="275">
        <v>138</v>
      </c>
      <c r="D121" s="161">
        <v>138</v>
      </c>
      <c r="E121" s="160">
        <f t="shared" si="8"/>
        <v>0</v>
      </c>
      <c r="F121" s="162" t="str">
        <f t="shared" si="9"/>
        <v>оплачено</v>
      </c>
      <c r="G121" s="312"/>
      <c r="H121" s="257" t="s">
        <v>18</v>
      </c>
      <c r="I121" s="258">
        <v>32809.9</v>
      </c>
      <c r="J121" s="258">
        <v>1675.7199999999998</v>
      </c>
      <c r="K121" s="259">
        <v>1047.01</v>
      </c>
      <c r="L121" s="260">
        <v>52152</v>
      </c>
      <c r="M121" s="326">
        <f>82159.79-I121-J121-K121+L121</f>
        <v>98779.159999999989</v>
      </c>
      <c r="O121" s="1"/>
      <c r="P121" s="1"/>
      <c r="Q121" s="1"/>
      <c r="R121" s="1"/>
      <c r="S121" s="111"/>
    </row>
    <row r="122" spans="1:19">
      <c r="A122" s="410">
        <v>43766</v>
      </c>
      <c r="B122" s="280" t="s">
        <v>154</v>
      </c>
      <c r="C122" s="161">
        <v>49.84</v>
      </c>
      <c r="D122" s="161">
        <v>49.84</v>
      </c>
      <c r="E122" s="160">
        <f t="shared" si="8"/>
        <v>0</v>
      </c>
      <c r="F122" s="162" t="str">
        <f t="shared" si="9"/>
        <v>оплачено</v>
      </c>
      <c r="G122" s="312"/>
      <c r="H122" s="257" t="s">
        <v>19</v>
      </c>
      <c r="I122" s="258">
        <v>35259.579999999994</v>
      </c>
      <c r="J122" s="258">
        <v>1363.3000000000002</v>
      </c>
      <c r="K122" s="258">
        <v>1176.05</v>
      </c>
      <c r="L122" s="260">
        <v>40465.950000000004</v>
      </c>
      <c r="M122" s="326">
        <f>M121-I122-J122-K122+L122</f>
        <v>101446.18</v>
      </c>
      <c r="O122" s="1"/>
      <c r="P122" s="1"/>
      <c r="Q122" s="1"/>
      <c r="R122" s="1"/>
      <c r="S122" s="111"/>
    </row>
    <row r="123" spans="1:19">
      <c r="A123" s="411">
        <v>43763</v>
      </c>
      <c r="B123" s="161" t="s">
        <v>119</v>
      </c>
      <c r="C123" s="161">
        <v>282.45</v>
      </c>
      <c r="D123" s="161">
        <v>282.45</v>
      </c>
      <c r="E123" s="160">
        <f t="shared" si="8"/>
        <v>0</v>
      </c>
      <c r="F123" s="162" t="str">
        <f t="shared" si="9"/>
        <v>оплачено</v>
      </c>
      <c r="G123" s="312"/>
      <c r="H123" s="257" t="s">
        <v>20</v>
      </c>
      <c r="I123" s="261" t="e">
        <f>#REF!</f>
        <v>#REF!</v>
      </c>
      <c r="J123" s="258">
        <v>1209.3000000000002</v>
      </c>
      <c r="K123" s="262">
        <v>1213.33</v>
      </c>
      <c r="L123" s="262">
        <v>19306</v>
      </c>
      <c r="M123" s="326" t="e">
        <f>M122-I123-J123-K123+L123</f>
        <v>#REF!</v>
      </c>
      <c r="O123" s="1"/>
      <c r="P123" s="1"/>
      <c r="Q123" s="1"/>
      <c r="R123" s="1"/>
      <c r="S123" s="111"/>
    </row>
    <row r="124" spans="1:19">
      <c r="A124" s="411">
        <v>43766</v>
      </c>
      <c r="B124" s="53" t="s">
        <v>29</v>
      </c>
      <c r="C124" s="161">
        <v>342.45</v>
      </c>
      <c r="D124" s="161">
        <v>342.45</v>
      </c>
      <c r="E124" s="160">
        <f t="shared" si="8"/>
        <v>0</v>
      </c>
      <c r="F124" s="162" t="str">
        <f t="shared" si="9"/>
        <v>оплачено</v>
      </c>
      <c r="G124" s="312"/>
      <c r="H124" s="257" t="s">
        <v>148</v>
      </c>
      <c r="I124" s="262">
        <v>30955.479999999996</v>
      </c>
      <c r="J124" s="263"/>
      <c r="K124" s="263">
        <v>1035.6600000000001</v>
      </c>
      <c r="L124" s="262">
        <v>59195.5</v>
      </c>
      <c r="M124" s="326" t="e">
        <f>M123-I124-J124-K124+L124</f>
        <v>#REF!</v>
      </c>
      <c r="O124" s="1"/>
      <c r="P124" s="1"/>
      <c r="Q124" s="1"/>
      <c r="R124" s="1"/>
      <c r="S124" s="111"/>
    </row>
    <row r="125" spans="1:19">
      <c r="A125" s="410">
        <v>43748</v>
      </c>
      <c r="B125" s="280" t="s">
        <v>156</v>
      </c>
      <c r="C125" s="161">
        <v>228.65</v>
      </c>
      <c r="D125" s="161">
        <v>228.65</v>
      </c>
      <c r="E125" s="160">
        <f t="shared" si="8"/>
        <v>0</v>
      </c>
      <c r="F125" s="162" t="str">
        <f t="shared" si="9"/>
        <v>оплачено</v>
      </c>
      <c r="G125" s="312"/>
      <c r="H125" s="310" t="s">
        <v>162</v>
      </c>
      <c r="I125" s="307">
        <v>31239.439999999995</v>
      </c>
      <c r="J125" s="308">
        <v>2443.4</v>
      </c>
      <c r="K125" s="307"/>
      <c r="L125" s="308">
        <v>40132</v>
      </c>
      <c r="M125" s="326" t="e">
        <f>M124-I125-J125-K125+L125</f>
        <v>#REF!</v>
      </c>
      <c r="O125" s="1"/>
      <c r="P125" s="1"/>
      <c r="Q125" s="1"/>
      <c r="R125" s="1"/>
      <c r="S125" s="111"/>
    </row>
    <row r="126" spans="1:19">
      <c r="A126" s="410">
        <v>43741</v>
      </c>
      <c r="B126" s="280" t="s">
        <v>157</v>
      </c>
      <c r="C126" s="164">
        <v>324.93</v>
      </c>
      <c r="D126" s="164">
        <v>324.93</v>
      </c>
      <c r="E126" s="160">
        <f t="shared" si="8"/>
        <v>0</v>
      </c>
      <c r="F126" s="162" t="str">
        <f t="shared" si="9"/>
        <v>оплачено</v>
      </c>
      <c r="G126" s="312"/>
      <c r="H126" s="1071" t="s">
        <v>122</v>
      </c>
      <c r="I126" s="1061"/>
      <c r="J126" s="306" t="s">
        <v>121</v>
      </c>
      <c r="K126" s="150"/>
      <c r="L126" s="150"/>
      <c r="M126" s="44"/>
      <c r="O126" s="1"/>
      <c r="P126" s="1"/>
      <c r="Q126" s="1"/>
      <c r="R126" s="1"/>
      <c r="S126" s="111"/>
    </row>
    <row r="127" spans="1:19">
      <c r="A127" s="410">
        <v>43768</v>
      </c>
      <c r="B127" s="368" t="s">
        <v>71</v>
      </c>
      <c r="C127" s="161">
        <v>632.77</v>
      </c>
      <c r="D127" s="161">
        <v>632.77</v>
      </c>
      <c r="E127" s="160">
        <f t="shared" si="8"/>
        <v>0</v>
      </c>
      <c r="F127" s="162" t="str">
        <f t="shared" si="9"/>
        <v>оплачено</v>
      </c>
      <c r="G127" s="312"/>
      <c r="H127" s="92"/>
      <c r="I127" s="92">
        <v>28</v>
      </c>
      <c r="J127" s="309">
        <v>40132</v>
      </c>
      <c r="K127" s="1"/>
      <c r="L127" s="1"/>
      <c r="M127" s="102"/>
      <c r="O127" s="1"/>
      <c r="P127" s="1"/>
      <c r="Q127" s="1"/>
      <c r="R127" s="1"/>
      <c r="S127" s="111"/>
    </row>
    <row r="128" spans="1:19" ht="15.75" thickBot="1">
      <c r="A128" s="426">
        <v>43768</v>
      </c>
      <c r="B128" s="317" t="s">
        <v>63</v>
      </c>
      <c r="C128" s="318">
        <v>340.96</v>
      </c>
      <c r="D128" s="318">
        <v>340.96</v>
      </c>
      <c r="E128" s="319">
        <f t="shared" si="8"/>
        <v>0</v>
      </c>
      <c r="F128" s="320" t="str">
        <f t="shared" si="9"/>
        <v>оплачено</v>
      </c>
      <c r="G128" s="321"/>
      <c r="H128" s="322"/>
      <c r="I128" s="322"/>
      <c r="J128" s="322"/>
      <c r="K128" s="322"/>
      <c r="L128" s="322"/>
      <c r="M128" s="329"/>
      <c r="O128" s="1"/>
      <c r="P128" s="1"/>
      <c r="Q128" s="1"/>
      <c r="R128" s="1"/>
      <c r="S128" s="111"/>
    </row>
    <row r="129" spans="1:19" ht="15.75" thickTop="1">
      <c r="A129" s="427"/>
      <c r="B129" s="332"/>
      <c r="C129" s="333"/>
      <c r="D129" s="333"/>
      <c r="E129" s="334"/>
      <c r="F129" s="335" t="str">
        <f t="shared" si="9"/>
        <v/>
      </c>
      <c r="G129" s="336"/>
      <c r="H129" s="323"/>
      <c r="I129" s="323"/>
      <c r="J129" s="323"/>
      <c r="K129" s="323"/>
      <c r="L129" s="323" t="s">
        <v>159</v>
      </c>
      <c r="M129" s="337"/>
      <c r="O129" s="1"/>
      <c r="P129" s="1"/>
      <c r="Q129" s="1"/>
      <c r="R129" s="1"/>
      <c r="S129" s="111"/>
    </row>
    <row r="130" spans="1:19">
      <c r="A130" s="414"/>
      <c r="B130" s="199"/>
      <c r="C130" s="199"/>
      <c r="D130" s="199"/>
      <c r="E130" s="366"/>
      <c r="F130" s="200" t="str">
        <f t="shared" si="9"/>
        <v/>
      </c>
      <c r="G130" s="313"/>
      <c r="H130" s="1">
        <v>1</v>
      </c>
      <c r="I130" s="1020" t="s">
        <v>47</v>
      </c>
      <c r="J130" s="1020"/>
      <c r="K130" s="368">
        <v>288.75</v>
      </c>
      <c r="L130" s="282">
        <v>43749</v>
      </c>
      <c r="M130" s="44" t="s">
        <v>160</v>
      </c>
      <c r="O130" s="1"/>
      <c r="P130" s="1"/>
      <c r="Q130" s="1"/>
      <c r="R130" s="1"/>
      <c r="S130" s="111"/>
    </row>
    <row r="131" spans="1:19">
      <c r="A131" s="415"/>
      <c r="B131" s="199"/>
      <c r="C131" s="288"/>
      <c r="D131" s="232"/>
      <c r="E131" s="84"/>
      <c r="F131" s="199"/>
      <c r="G131" s="313"/>
      <c r="H131" s="1">
        <v>2</v>
      </c>
      <c r="I131" s="1020" t="s">
        <v>51</v>
      </c>
      <c r="J131" s="1020"/>
      <c r="K131" s="368">
        <v>60.29</v>
      </c>
      <c r="L131" s="282">
        <v>43749</v>
      </c>
      <c r="M131" s="44" t="s">
        <v>160</v>
      </c>
      <c r="O131" s="1"/>
      <c r="P131" s="1"/>
      <c r="Q131" s="1"/>
      <c r="R131" s="1"/>
      <c r="S131" s="111"/>
    </row>
    <row r="132" spans="1:19">
      <c r="A132" s="428"/>
      <c r="B132" s="199"/>
      <c r="C132" s="199"/>
      <c r="D132" s="273"/>
      <c r="E132" s="366"/>
      <c r="F132" s="84"/>
      <c r="G132" s="314"/>
      <c r="H132" s="1">
        <v>3</v>
      </c>
      <c r="I132" s="1020" t="s">
        <v>52</v>
      </c>
      <c r="J132" s="1020"/>
      <c r="K132" s="368">
        <v>4.95</v>
      </c>
      <c r="L132" s="282">
        <v>43749</v>
      </c>
      <c r="M132" s="44" t="s">
        <v>160</v>
      </c>
      <c r="O132" s="1"/>
      <c r="P132" s="1"/>
      <c r="Q132" s="1"/>
      <c r="R132" s="1"/>
      <c r="S132" s="111"/>
    </row>
    <row r="133" spans="1:19">
      <c r="A133" s="428"/>
      <c r="B133" s="366"/>
      <c r="C133" s="199"/>
      <c r="D133" s="273"/>
      <c r="E133" s="366"/>
      <c r="F133" s="366"/>
      <c r="G133" s="314"/>
      <c r="H133" s="1">
        <v>6</v>
      </c>
      <c r="I133" s="1020" t="s">
        <v>49</v>
      </c>
      <c r="J133" s="1020"/>
      <c r="K133" s="368">
        <v>234.75</v>
      </c>
      <c r="L133" s="282">
        <v>43759</v>
      </c>
      <c r="M133" s="44" t="s">
        <v>161</v>
      </c>
      <c r="O133" s="1"/>
      <c r="P133" s="1"/>
      <c r="Q133" s="1"/>
      <c r="R133" s="1"/>
      <c r="S133" s="111"/>
    </row>
    <row r="134" spans="1:19">
      <c r="A134" s="428"/>
      <c r="B134" s="1"/>
      <c r="C134" s="199"/>
      <c r="D134" s="273"/>
      <c r="E134" s="84"/>
      <c r="F134" s="366"/>
      <c r="G134" s="314"/>
      <c r="H134" s="1">
        <v>8</v>
      </c>
      <c r="I134" s="1054" t="s">
        <v>53</v>
      </c>
      <c r="J134" s="1055"/>
      <c r="K134" s="368">
        <v>7.01</v>
      </c>
      <c r="L134" s="282">
        <v>43745</v>
      </c>
      <c r="M134" s="44" t="s">
        <v>160</v>
      </c>
      <c r="O134" s="1"/>
      <c r="P134" s="1"/>
      <c r="Q134" s="1"/>
      <c r="R134" s="1"/>
      <c r="S134" s="111"/>
    </row>
    <row r="135" spans="1:19">
      <c r="A135" s="428"/>
      <c r="B135" s="1"/>
      <c r="C135" s="284"/>
      <c r="D135" s="273"/>
      <c r="E135" s="366"/>
      <c r="F135" s="366"/>
      <c r="G135" s="315"/>
      <c r="H135" s="1">
        <v>9</v>
      </c>
      <c r="I135" s="1017" t="s">
        <v>59</v>
      </c>
      <c r="J135" s="1017"/>
      <c r="K135" s="368">
        <v>1045.72</v>
      </c>
      <c r="L135" s="368">
        <v>1045.72</v>
      </c>
      <c r="M135" s="314" t="s">
        <v>160</v>
      </c>
      <c r="O135" s="1"/>
      <c r="P135" s="1"/>
      <c r="Q135" s="1"/>
      <c r="R135" s="1"/>
      <c r="S135" s="111"/>
    </row>
    <row r="136" spans="1:19">
      <c r="A136" s="428"/>
      <c r="B136" s="199"/>
      <c r="C136" s="1"/>
      <c r="D136" s="273"/>
      <c r="E136" s="366"/>
      <c r="F136" s="366"/>
      <c r="G136" s="314"/>
      <c r="H136" s="1">
        <v>10</v>
      </c>
      <c r="I136" s="1021" t="s">
        <v>68</v>
      </c>
      <c r="J136" s="1022"/>
      <c r="K136" s="368">
        <v>176.72</v>
      </c>
      <c r="L136" s="282">
        <v>43759</v>
      </c>
      <c r="M136" s="314" t="s">
        <v>160</v>
      </c>
      <c r="O136" s="1"/>
      <c r="P136" s="1"/>
      <c r="Q136" s="1"/>
      <c r="R136" s="1"/>
      <c r="S136" s="111"/>
    </row>
    <row r="137" spans="1:19">
      <c r="A137" s="428"/>
      <c r="B137" s="199"/>
      <c r="C137" s="1"/>
      <c r="D137" s="273"/>
      <c r="E137" s="84"/>
      <c r="F137" s="366"/>
      <c r="G137" s="314"/>
      <c r="H137" s="1">
        <v>11</v>
      </c>
      <c r="I137" s="1021" t="s">
        <v>81</v>
      </c>
      <c r="J137" s="1022"/>
      <c r="K137" s="53">
        <v>1730.7</v>
      </c>
      <c r="L137" s="282">
        <v>43752</v>
      </c>
      <c r="M137" s="44" t="s">
        <v>160</v>
      </c>
      <c r="O137" s="1"/>
      <c r="P137" s="1"/>
      <c r="Q137" s="1"/>
      <c r="R137" s="1"/>
      <c r="S137" s="111"/>
    </row>
    <row r="138" spans="1:19">
      <c r="A138" s="428"/>
      <c r="B138" s="199"/>
      <c r="C138" s="284"/>
      <c r="D138" s="273"/>
      <c r="E138" s="284"/>
      <c r="F138" s="366"/>
      <c r="G138" s="316"/>
      <c r="H138" s="1"/>
      <c r="I138" s="1" t="s">
        <v>50</v>
      </c>
      <c r="J138" s="1"/>
      <c r="K138" s="92">
        <f>SUM(K129:K137)</f>
        <v>3548.8900000000003</v>
      </c>
      <c r="L138" s="1"/>
      <c r="M138" s="44"/>
      <c r="O138" s="1"/>
      <c r="P138" s="1"/>
      <c r="Q138" s="1"/>
      <c r="R138" s="1"/>
      <c r="S138" s="111"/>
    </row>
    <row r="139" spans="1:19">
      <c r="A139" s="428"/>
      <c r="B139" s="199"/>
      <c r="C139" s="199"/>
      <c r="D139" s="273"/>
      <c r="E139" s="199"/>
      <c r="F139" s="366"/>
      <c r="G139" s="316"/>
      <c r="H139" s="1"/>
      <c r="I139" s="1"/>
      <c r="J139" s="1"/>
      <c r="K139" s="1"/>
      <c r="L139" s="1"/>
      <c r="M139" s="102"/>
      <c r="O139" s="1"/>
      <c r="P139" s="1"/>
      <c r="Q139" s="1"/>
      <c r="R139" s="1"/>
      <c r="S139" s="111"/>
    </row>
    <row r="140" spans="1:19">
      <c r="A140" s="428"/>
      <c r="B140" s="366"/>
      <c r="C140" s="274"/>
      <c r="D140" s="273"/>
      <c r="E140" s="274"/>
      <c r="F140" s="366"/>
      <c r="G140" s="314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1"/>
    </row>
    <row r="141" spans="1:19">
      <c r="A141" s="406"/>
      <c r="B141" s="366"/>
      <c r="C141" s="366"/>
      <c r="D141" s="273"/>
      <c r="E141" s="199"/>
      <c r="F141" s="366"/>
      <c r="G141" s="314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1"/>
    </row>
    <row r="142" spans="1:19">
      <c r="A142" s="406"/>
      <c r="B142" s="366"/>
      <c r="C142" s="366"/>
      <c r="D142" s="273"/>
      <c r="E142" s="366"/>
      <c r="F142" s="366"/>
      <c r="G142" s="314"/>
      <c r="H142" s="1"/>
      <c r="I142" s="1"/>
      <c r="J142" s="1"/>
      <c r="K142" s="1"/>
      <c r="L142" s="1"/>
      <c r="M142" s="102"/>
      <c r="O142" s="1"/>
      <c r="P142" s="1"/>
      <c r="Q142" s="1"/>
      <c r="R142" s="1"/>
      <c r="S142" s="111"/>
    </row>
    <row r="143" spans="1:19">
      <c r="A143" s="406"/>
      <c r="B143" s="366"/>
      <c r="C143" s="366"/>
      <c r="D143" s="273"/>
      <c r="E143" s="366"/>
      <c r="F143" s="366"/>
      <c r="G143" s="314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1"/>
    </row>
    <row r="144" spans="1:19">
      <c r="A144" s="406"/>
      <c r="B144" s="199"/>
      <c r="C144" s="199"/>
      <c r="D144" s="273"/>
      <c r="E144" s="199"/>
      <c r="F144" s="366"/>
      <c r="G144" s="314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1"/>
    </row>
    <row r="145" spans="1:19" ht="15.75" thickBot="1">
      <c r="A145" s="429"/>
      <c r="B145" s="330"/>
      <c r="C145" s="331"/>
      <c r="D145" s="342"/>
      <c r="E145" s="330"/>
      <c r="F145" s="331"/>
      <c r="G145" s="343"/>
      <c r="H145" s="322"/>
      <c r="I145" s="322"/>
      <c r="J145" s="322"/>
      <c r="K145" s="322"/>
      <c r="L145" s="322"/>
      <c r="M145" s="329"/>
      <c r="O145" s="1"/>
      <c r="P145" s="1"/>
      <c r="Q145" s="1"/>
      <c r="R145" s="1"/>
      <c r="S145" s="111"/>
    </row>
    <row r="146" spans="1:19" ht="16.5" thickTop="1" thickBot="1">
      <c r="A146" s="129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2"/>
    </row>
    <row r="147" spans="1:19" ht="15.75" thickBot="1">
      <c r="A147" s="107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9"/>
    </row>
    <row r="148" spans="1:19" ht="15.75" thickTop="1">
      <c r="A148" s="1036" t="s">
        <v>28</v>
      </c>
      <c r="B148" s="1037"/>
      <c r="C148" s="1037"/>
      <c r="D148" s="1037"/>
      <c r="E148" s="1037"/>
      <c r="F148" s="1037"/>
      <c r="G148" s="1038"/>
      <c r="H148" s="345"/>
      <c r="I148" s="1037" t="s">
        <v>165</v>
      </c>
      <c r="J148" s="1037"/>
      <c r="K148" s="1037"/>
      <c r="L148" s="1037"/>
      <c r="M148" s="1038"/>
      <c r="O148" s="1"/>
      <c r="P148" s="1"/>
      <c r="Q148" s="1"/>
      <c r="R148" s="1"/>
      <c r="S148" s="111"/>
    </row>
    <row r="149" spans="1:19">
      <c r="A149" s="395" t="s">
        <v>2</v>
      </c>
      <c r="B149" s="541" t="s">
        <v>34</v>
      </c>
      <c r="C149" s="36" t="s">
        <v>35</v>
      </c>
      <c r="D149" s="36" t="s">
        <v>38</v>
      </c>
      <c r="E149" s="36" t="s">
        <v>42</v>
      </c>
      <c r="F149" s="541" t="s">
        <v>36</v>
      </c>
      <c r="G149" s="100" t="s">
        <v>173</v>
      </c>
      <c r="H149" s="43"/>
      <c r="I149" s="40"/>
      <c r="J149" s="536" t="s">
        <v>35</v>
      </c>
      <c r="K149" s="536" t="s">
        <v>38</v>
      </c>
      <c r="L149" s="536" t="s">
        <v>42</v>
      </c>
      <c r="M149" s="100" t="s">
        <v>44</v>
      </c>
      <c r="O149" s="1"/>
      <c r="P149" s="1"/>
      <c r="Q149" s="1"/>
      <c r="R149" s="1"/>
      <c r="S149" s="111"/>
    </row>
    <row r="150" spans="1:19">
      <c r="A150" s="409">
        <v>43773</v>
      </c>
      <c r="B150" s="161" t="s">
        <v>29</v>
      </c>
      <c r="C150" s="98">
        <v>113.8</v>
      </c>
      <c r="D150" s="98">
        <v>113.8</v>
      </c>
      <c r="E150" s="160"/>
      <c r="F150" s="162" t="str">
        <f t="shared" ref="F150:F166" si="10">IF(C150=0,"",IF(C150-D150=0,"оплачено",""))</f>
        <v>оплачено</v>
      </c>
      <c r="G150" s="356"/>
      <c r="H150" s="43"/>
      <c r="I150" s="536" t="s">
        <v>39</v>
      </c>
      <c r="J150" s="543">
        <v>1780.71</v>
      </c>
      <c r="K150" s="543">
        <v>1780.71</v>
      </c>
      <c r="L150" s="160">
        <f>J150-K150</f>
        <v>0</v>
      </c>
      <c r="M150" s="101">
        <v>43791</v>
      </c>
      <c r="O150" s="1"/>
      <c r="P150" s="1"/>
      <c r="Q150" s="1"/>
      <c r="R150" s="1"/>
      <c r="S150" s="111"/>
    </row>
    <row r="151" spans="1:19">
      <c r="A151" s="409">
        <v>43773</v>
      </c>
      <c r="B151" s="161" t="s">
        <v>101</v>
      </c>
      <c r="C151" s="98">
        <v>283.68</v>
      </c>
      <c r="D151" s="98">
        <v>283.68</v>
      </c>
      <c r="E151" s="160"/>
      <c r="F151" s="162" t="str">
        <f t="shared" si="10"/>
        <v>оплачено</v>
      </c>
      <c r="G151" s="356"/>
      <c r="H151" s="43"/>
      <c r="I151" s="536" t="s">
        <v>40</v>
      </c>
      <c r="J151" s="281">
        <v>1147.08</v>
      </c>
      <c r="K151" s="281">
        <v>1147.08</v>
      </c>
      <c r="L151" s="160">
        <f>J151-K151</f>
        <v>0</v>
      </c>
      <c r="M151" s="101">
        <v>43791</v>
      </c>
      <c r="O151" s="1"/>
      <c r="P151" s="1"/>
      <c r="Q151" s="1"/>
      <c r="R151" s="1"/>
      <c r="S151" s="111"/>
    </row>
    <row r="152" spans="1:19">
      <c r="A152" s="409">
        <v>43775</v>
      </c>
      <c r="B152" s="161" t="s">
        <v>175</v>
      </c>
      <c r="C152" s="98">
        <v>252.6</v>
      </c>
      <c r="D152" s="98">
        <v>252.6</v>
      </c>
      <c r="E152" s="160"/>
      <c r="F152" s="162" t="str">
        <f t="shared" si="10"/>
        <v>оплачено</v>
      </c>
      <c r="G152" s="356"/>
      <c r="H152" s="43"/>
      <c r="I152" s="1"/>
      <c r="J152" s="296">
        <f>SUM(J150:J151)</f>
        <v>2927.79</v>
      </c>
      <c r="K152" s="1"/>
      <c r="L152" s="1"/>
      <c r="M152" s="44"/>
      <c r="O152" s="1"/>
      <c r="P152" s="1"/>
      <c r="Q152" s="1"/>
      <c r="R152" s="1"/>
      <c r="S152" s="111"/>
    </row>
    <row r="153" spans="1:19">
      <c r="A153" s="409">
        <v>43796</v>
      </c>
      <c r="B153" s="161" t="s">
        <v>183</v>
      </c>
      <c r="C153" s="98">
        <v>422.22</v>
      </c>
      <c r="D153" s="98">
        <v>422.22</v>
      </c>
      <c r="E153" s="160"/>
      <c r="F153" s="162" t="str">
        <f t="shared" si="10"/>
        <v>оплачено</v>
      </c>
      <c r="G153" s="356"/>
      <c r="H153" s="43"/>
      <c r="I153" s="1"/>
      <c r="J153" s="366"/>
      <c r="K153" s="1"/>
      <c r="L153" s="1"/>
      <c r="M153" s="44"/>
      <c r="O153" s="1"/>
      <c r="P153" s="1"/>
      <c r="Q153" s="1"/>
      <c r="R153" s="1"/>
      <c r="S153" s="111"/>
    </row>
    <row r="154" spans="1:19">
      <c r="A154" s="409">
        <v>43795</v>
      </c>
      <c r="B154" s="161" t="s">
        <v>29</v>
      </c>
      <c r="C154" s="98">
        <v>313.76</v>
      </c>
      <c r="D154" s="98">
        <v>313.76</v>
      </c>
      <c r="E154" s="160"/>
      <c r="F154" s="162" t="str">
        <f t="shared" si="10"/>
        <v>оплачено</v>
      </c>
      <c r="G154" s="356"/>
      <c r="H154" s="43"/>
      <c r="I154" s="1"/>
      <c r="J154" s="366"/>
      <c r="K154" s="1"/>
      <c r="L154" s="1"/>
      <c r="M154" s="44"/>
      <c r="O154" s="1"/>
      <c r="P154" s="1"/>
      <c r="Q154" s="1"/>
      <c r="R154" s="1"/>
      <c r="S154" s="111"/>
    </row>
    <row r="155" spans="1:19">
      <c r="A155" s="409">
        <v>43794</v>
      </c>
      <c r="B155" s="161" t="s">
        <v>119</v>
      </c>
      <c r="C155" s="275">
        <v>116.9</v>
      </c>
      <c r="D155" s="275">
        <v>116.9</v>
      </c>
      <c r="E155" s="160"/>
      <c r="F155" s="162" t="str">
        <f t="shared" si="10"/>
        <v>оплачено</v>
      </c>
      <c r="G155" s="356"/>
      <c r="H155" s="43"/>
      <c r="I155" s="1"/>
      <c r="J155" s="366"/>
      <c r="K155" s="1"/>
      <c r="L155" s="1"/>
      <c r="M155" s="44"/>
      <c r="O155" s="1"/>
      <c r="P155" s="1"/>
      <c r="Q155" s="1"/>
      <c r="R155" s="1"/>
      <c r="S155" s="111"/>
    </row>
    <row r="156" spans="1:19">
      <c r="A156" s="409"/>
      <c r="B156" s="161"/>
      <c r="C156" s="275"/>
      <c r="D156" s="161"/>
      <c r="E156" s="160" t="str">
        <f t="shared" ref="E156:E166" si="11">IF(C156-D156=0,"",C156-D156)</f>
        <v/>
      </c>
      <c r="F156" s="162" t="str">
        <f t="shared" si="10"/>
        <v/>
      </c>
      <c r="G156" s="356"/>
      <c r="H156" s="43"/>
      <c r="I156" s="1"/>
      <c r="J156" s="366"/>
      <c r="K156" s="1"/>
      <c r="L156" s="1"/>
      <c r="M156" s="44"/>
      <c r="O156" s="1"/>
      <c r="P156" s="1"/>
      <c r="Q156" s="1"/>
      <c r="R156" s="1"/>
      <c r="S156" s="111"/>
    </row>
    <row r="157" spans="1:19">
      <c r="A157" s="409"/>
      <c r="B157" s="161"/>
      <c r="C157" s="275"/>
      <c r="D157" s="161"/>
      <c r="E157" s="160" t="str">
        <f t="shared" si="11"/>
        <v/>
      </c>
      <c r="F157" s="162" t="str">
        <f t="shared" si="10"/>
        <v/>
      </c>
      <c r="G157" s="356"/>
      <c r="H157" s="43"/>
      <c r="I157" s="1"/>
      <c r="J157" s="366"/>
      <c r="K157" s="1"/>
      <c r="L157" s="1"/>
      <c r="M157" s="44"/>
      <c r="O157" s="1"/>
      <c r="P157" s="1"/>
      <c r="Q157" s="1"/>
      <c r="R157" s="1"/>
      <c r="S157" s="111"/>
    </row>
    <row r="158" spans="1:19">
      <c r="A158" s="409"/>
      <c r="B158" s="161"/>
      <c r="C158" s="275"/>
      <c r="D158" s="161"/>
      <c r="E158" s="160" t="str">
        <f t="shared" si="11"/>
        <v/>
      </c>
      <c r="F158" s="162" t="str">
        <f t="shared" si="10"/>
        <v/>
      </c>
      <c r="G158" s="356"/>
      <c r="H158" s="43"/>
      <c r="I158" s="1"/>
      <c r="J158" s="366"/>
      <c r="K158" s="1"/>
      <c r="L158" s="1"/>
      <c r="M158" s="44"/>
      <c r="O158" s="1"/>
      <c r="P158" s="1"/>
      <c r="Q158" s="1"/>
      <c r="R158" s="1"/>
      <c r="S158" s="111"/>
    </row>
    <row r="159" spans="1:19">
      <c r="A159" s="409"/>
      <c r="B159" s="161"/>
      <c r="C159" s="275"/>
      <c r="D159" s="161"/>
      <c r="E159" s="160" t="str">
        <f t="shared" si="11"/>
        <v/>
      </c>
      <c r="F159" s="162" t="str">
        <f t="shared" si="10"/>
        <v/>
      </c>
      <c r="G159" s="356"/>
      <c r="H159" s="43"/>
      <c r="I159" s="1"/>
      <c r="J159" s="366"/>
      <c r="K159" s="1"/>
      <c r="L159" s="1"/>
      <c r="M159" s="44"/>
      <c r="O159" s="1"/>
      <c r="P159" s="1"/>
      <c r="Q159" s="1"/>
      <c r="R159" s="1"/>
      <c r="S159" s="111"/>
    </row>
    <row r="160" spans="1:19">
      <c r="A160" s="409"/>
      <c r="B160" s="161"/>
      <c r="C160" s="275"/>
      <c r="D160" s="161"/>
      <c r="E160" s="160" t="str">
        <f t="shared" si="11"/>
        <v/>
      </c>
      <c r="F160" s="162" t="str">
        <f t="shared" si="10"/>
        <v/>
      </c>
      <c r="G160" s="356"/>
      <c r="H160" s="43"/>
      <c r="I160" s="1"/>
      <c r="J160" s="366"/>
      <c r="K160" s="1"/>
      <c r="L160" s="1"/>
      <c r="M160" s="44"/>
      <c r="O160" s="1"/>
      <c r="P160" s="1"/>
      <c r="Q160" s="1"/>
      <c r="R160" s="1"/>
      <c r="S160" s="111"/>
    </row>
    <row r="161" spans="1:19">
      <c r="A161" s="409"/>
      <c r="B161" s="161"/>
      <c r="C161" s="275"/>
      <c r="D161" s="161"/>
      <c r="E161" s="160" t="str">
        <f t="shared" si="11"/>
        <v/>
      </c>
      <c r="F161" s="162" t="str">
        <f t="shared" si="10"/>
        <v/>
      </c>
      <c r="G161" s="356"/>
      <c r="H161" s="43"/>
      <c r="I161" s="1"/>
      <c r="J161" s="366"/>
      <c r="K161" s="1"/>
      <c r="L161" s="1"/>
      <c r="M161" s="44"/>
      <c r="O161" s="1"/>
      <c r="P161" s="1"/>
      <c r="Q161" s="1"/>
      <c r="R161" s="1"/>
      <c r="S161" s="111"/>
    </row>
    <row r="162" spans="1:19">
      <c r="A162" s="410"/>
      <c r="B162" s="161"/>
      <c r="C162" s="161"/>
      <c r="D162" s="161"/>
      <c r="E162" s="160" t="str">
        <f t="shared" si="11"/>
        <v/>
      </c>
      <c r="F162" s="162" t="str">
        <f t="shared" si="10"/>
        <v/>
      </c>
      <c r="G162" s="356"/>
      <c r="H162" s="43"/>
      <c r="I162" s="1"/>
      <c r="J162" s="366"/>
      <c r="K162" s="1"/>
      <c r="L162" s="1"/>
      <c r="M162" s="44"/>
      <c r="O162" s="1"/>
      <c r="P162" s="1"/>
      <c r="Q162" s="1"/>
      <c r="R162" s="1"/>
      <c r="S162" s="111"/>
    </row>
    <row r="163" spans="1:19">
      <c r="A163" s="411"/>
      <c r="B163" s="161"/>
      <c r="C163" s="161"/>
      <c r="D163" s="161"/>
      <c r="E163" s="160" t="str">
        <f t="shared" si="11"/>
        <v/>
      </c>
      <c r="F163" s="162" t="str">
        <f t="shared" si="10"/>
        <v/>
      </c>
      <c r="G163" s="356"/>
      <c r="H163" s="43"/>
      <c r="I163" s="1"/>
      <c r="J163" s="366"/>
      <c r="K163" s="1"/>
      <c r="L163" s="1"/>
      <c r="M163" s="44"/>
      <c r="O163" s="1"/>
      <c r="P163" s="1019" t="s">
        <v>264</v>
      </c>
      <c r="Q163" s="1019"/>
      <c r="R163" s="1019"/>
      <c r="S163" s="111"/>
    </row>
    <row r="164" spans="1:19">
      <c r="A164" s="411"/>
      <c r="B164" s="161"/>
      <c r="C164" s="161"/>
      <c r="D164" s="161"/>
      <c r="E164" s="160" t="str">
        <f t="shared" si="11"/>
        <v/>
      </c>
      <c r="F164" s="162" t="str">
        <f t="shared" si="10"/>
        <v/>
      </c>
      <c r="G164" s="356"/>
      <c r="H164" s="43"/>
      <c r="I164" s="1"/>
      <c r="J164" s="366"/>
      <c r="K164" s="1"/>
      <c r="L164" s="1"/>
      <c r="M164" s="44"/>
      <c r="O164" s="1"/>
      <c r="P164" s="1019"/>
      <c r="Q164" s="1019"/>
      <c r="R164" s="1019"/>
      <c r="S164" s="111"/>
    </row>
    <row r="165" spans="1:19">
      <c r="A165" s="410"/>
      <c r="B165" s="161"/>
      <c r="C165" s="161"/>
      <c r="D165" s="161"/>
      <c r="E165" s="160" t="str">
        <f t="shared" si="11"/>
        <v/>
      </c>
      <c r="F165" s="162" t="str">
        <f t="shared" si="10"/>
        <v/>
      </c>
      <c r="G165" s="356"/>
      <c r="H165" s="43"/>
      <c r="I165" s="1"/>
      <c r="J165" s="366"/>
      <c r="K165" s="1"/>
      <c r="L165" s="1"/>
      <c r="M165" s="44"/>
      <c r="O165" s="1"/>
      <c r="P165" s="1019"/>
      <c r="Q165" s="1019"/>
      <c r="R165" s="1019"/>
      <c r="S165" s="111"/>
    </row>
    <row r="166" spans="1:19" ht="15.75" thickBot="1">
      <c r="A166" s="426"/>
      <c r="B166" s="357"/>
      <c r="C166" s="358"/>
      <c r="D166" s="358"/>
      <c r="E166" s="160" t="str">
        <f t="shared" si="11"/>
        <v/>
      </c>
      <c r="F166" s="162" t="str">
        <f t="shared" si="10"/>
        <v/>
      </c>
      <c r="G166" s="359"/>
      <c r="H166" s="43"/>
      <c r="I166" s="1"/>
      <c r="J166" s="366"/>
      <c r="K166" s="1"/>
      <c r="L166" s="1"/>
      <c r="M166" s="44"/>
      <c r="O166" s="1"/>
      <c r="P166" s="1"/>
      <c r="Q166" s="1"/>
      <c r="R166" s="1"/>
      <c r="S166" s="111"/>
    </row>
    <row r="167" spans="1:19" ht="15.75" thickTop="1">
      <c r="A167" s="554"/>
      <c r="B167" s="352"/>
      <c r="C167" s="353"/>
      <c r="D167" s="353"/>
      <c r="E167" s="354"/>
      <c r="F167" s="352"/>
      <c r="G167" s="376"/>
      <c r="H167" s="1039" t="s">
        <v>16</v>
      </c>
      <c r="I167" s="1041" t="s">
        <v>17</v>
      </c>
      <c r="J167" s="1041" t="s">
        <v>21</v>
      </c>
      <c r="K167" s="1041"/>
      <c r="L167" s="1043" t="s">
        <v>93</v>
      </c>
      <c r="M167" s="1045" t="s">
        <v>95</v>
      </c>
      <c r="O167" s="1"/>
      <c r="P167" s="1"/>
      <c r="Q167" s="1"/>
      <c r="R167" s="1"/>
      <c r="S167" s="111"/>
    </row>
    <row r="168" spans="1:19" ht="24">
      <c r="A168" s="413"/>
      <c r="B168" s="201"/>
      <c r="C168" s="201"/>
      <c r="D168" s="201"/>
      <c r="E168" s="216"/>
      <c r="F168" s="201"/>
      <c r="G168" s="201"/>
      <c r="H168" s="1040"/>
      <c r="I168" s="1042"/>
      <c r="J168" s="537" t="s">
        <v>21</v>
      </c>
      <c r="K168" s="537" t="s">
        <v>25</v>
      </c>
      <c r="L168" s="1044"/>
      <c r="M168" s="1046"/>
      <c r="O168" s="1"/>
      <c r="P168" s="1"/>
      <c r="Q168" s="1"/>
      <c r="R168" s="1"/>
      <c r="S168" s="111"/>
    </row>
    <row r="169" spans="1:19">
      <c r="A169" s="415"/>
      <c r="B169" s="199"/>
      <c r="C169" s="288"/>
      <c r="D169" s="232"/>
      <c r="E169" s="84"/>
      <c r="F169" s="199"/>
      <c r="G169" s="199"/>
      <c r="H169" s="347" t="s">
        <v>18</v>
      </c>
      <c r="I169" s="94">
        <v>32809.9</v>
      </c>
      <c r="J169" s="94">
        <v>1675.7199999999998</v>
      </c>
      <c r="K169" s="297">
        <v>1047.01</v>
      </c>
      <c r="L169" s="96">
        <v>52152</v>
      </c>
      <c r="M169" s="104">
        <f>82159.79-I169-J169-K169+L169</f>
        <v>98779.159999999989</v>
      </c>
      <c r="O169" s="1"/>
      <c r="P169" s="1"/>
      <c r="Q169" s="1"/>
      <c r="R169" s="1"/>
      <c r="S169" s="111"/>
    </row>
    <row r="170" spans="1:19">
      <c r="A170" s="428"/>
      <c r="B170" s="199"/>
      <c r="C170" s="199"/>
      <c r="D170" s="273"/>
      <c r="E170" s="366"/>
      <c r="F170" s="84"/>
      <c r="G170" s="366"/>
      <c r="H170" s="347" t="s">
        <v>19</v>
      </c>
      <c r="I170" s="94">
        <v>35259.58</v>
      </c>
      <c r="J170" s="94">
        <v>1363.3000000000002</v>
      </c>
      <c r="K170" s="94">
        <v>1176.05</v>
      </c>
      <c r="L170" s="96">
        <v>40465.950000000004</v>
      </c>
      <c r="M170" s="104">
        <f>M169-I170-J170-K170+L170</f>
        <v>101446.18</v>
      </c>
      <c r="O170" s="1"/>
      <c r="P170" s="1"/>
      <c r="Q170" s="1"/>
      <c r="R170" s="1"/>
      <c r="S170" s="111"/>
    </row>
    <row r="171" spans="1:19">
      <c r="A171" s="428"/>
      <c r="B171" s="366"/>
      <c r="C171" s="199"/>
      <c r="D171" s="273"/>
      <c r="E171" s="366"/>
      <c r="F171" s="366"/>
      <c r="G171" s="366"/>
      <c r="H171" s="347" t="s">
        <v>20</v>
      </c>
      <c r="I171" s="298">
        <v>34690.219999999994</v>
      </c>
      <c r="J171" s="94">
        <v>1209.3000000000002</v>
      </c>
      <c r="K171" s="299">
        <v>1213.33</v>
      </c>
      <c r="L171" s="299">
        <v>19306</v>
      </c>
      <c r="M171" s="104">
        <f>M170-I171-J171-K171+L171</f>
        <v>83639.329999999987</v>
      </c>
      <c r="O171" s="1"/>
      <c r="P171" s="1"/>
      <c r="Q171" s="1"/>
      <c r="R171" s="1"/>
      <c r="S171" s="111"/>
    </row>
    <row r="172" spans="1:19">
      <c r="A172" s="428"/>
      <c r="B172" s="1"/>
      <c r="C172" s="284"/>
      <c r="D172" s="273"/>
      <c r="E172" s="366"/>
      <c r="F172" s="366"/>
      <c r="G172" s="84"/>
      <c r="H172" s="347" t="s">
        <v>148</v>
      </c>
      <c r="I172" s="299">
        <v>30955.479999999996</v>
      </c>
      <c r="J172" s="300"/>
      <c r="K172" s="300">
        <v>1035.6600000000001</v>
      </c>
      <c r="L172" s="299">
        <v>59195.5</v>
      </c>
      <c r="M172" s="104">
        <f>M171-I172-J172-K172+L172</f>
        <v>110843.68999999999</v>
      </c>
      <c r="O172" s="1"/>
      <c r="P172" s="1"/>
      <c r="Q172" s="1"/>
      <c r="R172" s="1"/>
      <c r="S172" s="111"/>
    </row>
    <row r="173" spans="1:19">
      <c r="A173" s="428"/>
      <c r="B173" s="199"/>
      <c r="C173" s="1"/>
      <c r="D173" s="273"/>
      <c r="E173" s="366"/>
      <c r="F173" s="366"/>
      <c r="G173" s="366"/>
      <c r="H173" s="348" t="s">
        <v>162</v>
      </c>
      <c r="I173" s="300">
        <v>31239.439999999995</v>
      </c>
      <c r="J173" s="299">
        <v>2443.4</v>
      </c>
      <c r="K173" s="300">
        <v>1496.52</v>
      </c>
      <c r="L173" s="299">
        <v>40132</v>
      </c>
      <c r="M173" s="104">
        <f>M172-I173-J173-K173+L173</f>
        <v>115796.33</v>
      </c>
      <c r="O173" s="1"/>
      <c r="P173" s="1"/>
      <c r="Q173" s="1"/>
      <c r="R173" s="1"/>
      <c r="S173" s="111"/>
    </row>
    <row r="174" spans="1:19" ht="15.75" thickBot="1">
      <c r="A174" s="428"/>
      <c r="B174" s="199"/>
      <c r="C174" s="1"/>
      <c r="D174" s="273"/>
      <c r="E174" s="366"/>
      <c r="F174" s="366"/>
      <c r="G174" s="366"/>
      <c r="H174" s="379" t="s">
        <v>163</v>
      </c>
      <c r="I174" s="380">
        <v>28986.99</v>
      </c>
      <c r="J174" s="432">
        <v>6271.4999999999991</v>
      </c>
      <c r="K174" s="433">
        <v>1179.17</v>
      </c>
      <c r="L174" s="433">
        <v>22678.1</v>
      </c>
      <c r="M174" s="382">
        <f>M173-I174-J174-K174+L174</f>
        <v>102036.76999999999</v>
      </c>
      <c r="O174" s="1"/>
      <c r="P174" s="1"/>
      <c r="Q174" s="1"/>
      <c r="R174" s="1"/>
      <c r="S174" s="111"/>
    </row>
    <row r="175" spans="1:19" ht="15.75" thickTop="1">
      <c r="A175" s="428"/>
      <c r="B175" s="199"/>
      <c r="C175" s="1"/>
      <c r="D175" s="273"/>
      <c r="E175" s="84"/>
      <c r="F175" s="366"/>
      <c r="G175" s="366"/>
      <c r="H175" s="1023" t="s">
        <v>36</v>
      </c>
      <c r="I175" s="1025" t="s">
        <v>178</v>
      </c>
      <c r="J175" s="1026"/>
      <c r="K175" s="1027"/>
      <c r="L175" s="1031" t="s">
        <v>159</v>
      </c>
      <c r="M175" s="1032"/>
      <c r="O175" s="1"/>
      <c r="P175" s="1"/>
      <c r="Q175" s="1"/>
      <c r="R175" s="1"/>
      <c r="S175" s="111"/>
    </row>
    <row r="176" spans="1:19">
      <c r="A176" s="428"/>
      <c r="B176" s="199"/>
      <c r="C176" s="284"/>
      <c r="D176" s="273"/>
      <c r="E176" s="284"/>
      <c r="F176" s="366"/>
      <c r="G176" s="378"/>
      <c r="H176" s="1024"/>
      <c r="I176" s="1028"/>
      <c r="J176" s="1029"/>
      <c r="K176" s="1030"/>
      <c r="L176" s="1033"/>
      <c r="M176" s="1034"/>
      <c r="O176" s="1"/>
      <c r="P176" s="1"/>
      <c r="Q176" s="1"/>
      <c r="R176" s="1"/>
      <c r="S176" s="111"/>
    </row>
    <row r="177" spans="1:19">
      <c r="A177" s="428"/>
      <c r="B177" s="199"/>
      <c r="C177" s="199"/>
      <c r="D177" s="273"/>
      <c r="E177" s="199"/>
      <c r="F177" s="366"/>
      <c r="G177" s="378"/>
      <c r="H177" s="377" t="s">
        <v>91</v>
      </c>
      <c r="I177" s="1035" t="s">
        <v>47</v>
      </c>
      <c r="J177" s="1035"/>
      <c r="K177" s="546">
        <v>288.75</v>
      </c>
      <c r="L177" s="282">
        <v>43783</v>
      </c>
      <c r="M177" s="44" t="s">
        <v>170</v>
      </c>
      <c r="N177" s="366"/>
      <c r="O177" s="1"/>
      <c r="P177" s="1"/>
      <c r="Q177" s="1"/>
      <c r="R177" s="1" t="s">
        <v>159</v>
      </c>
      <c r="S177" s="111"/>
    </row>
    <row r="178" spans="1:19">
      <c r="A178" s="428"/>
      <c r="B178" s="366"/>
      <c r="C178" s="274"/>
      <c r="D178" s="273"/>
      <c r="E178" s="274"/>
      <c r="F178" s="366"/>
      <c r="G178" s="366"/>
      <c r="H178" s="349" t="s">
        <v>91</v>
      </c>
      <c r="I178" s="1020" t="s">
        <v>51</v>
      </c>
      <c r="J178" s="1020"/>
      <c r="K178" s="536">
        <v>60.19</v>
      </c>
      <c r="L178" s="282">
        <v>43783</v>
      </c>
      <c r="M178" s="44" t="s">
        <v>170</v>
      </c>
      <c r="N178" s="362" t="s">
        <v>56</v>
      </c>
      <c r="O178" s="1020" t="s">
        <v>47</v>
      </c>
      <c r="P178" s="1020"/>
      <c r="Q178" s="536">
        <v>28.88</v>
      </c>
      <c r="R178" s="282">
        <v>43783</v>
      </c>
      <c r="S178" s="111" t="s">
        <v>170</v>
      </c>
    </row>
    <row r="179" spans="1:19">
      <c r="A179" s="406"/>
      <c r="B179" s="366"/>
      <c r="C179" s="366"/>
      <c r="D179" s="273"/>
      <c r="E179" s="199"/>
      <c r="F179" s="366"/>
      <c r="G179" s="366"/>
      <c r="H179" s="349" t="s">
        <v>91</v>
      </c>
      <c r="I179" s="1020" t="s">
        <v>52</v>
      </c>
      <c r="J179" s="1020"/>
      <c r="K179" s="536">
        <v>4.95</v>
      </c>
      <c r="L179" s="282">
        <v>43783</v>
      </c>
      <c r="M179" s="44" t="s">
        <v>170</v>
      </c>
      <c r="O179" s="1020" t="s">
        <v>51</v>
      </c>
      <c r="P179" s="1020"/>
      <c r="Q179" s="536"/>
      <c r="R179" s="282">
        <v>43783</v>
      </c>
      <c r="S179" s="111" t="s">
        <v>170</v>
      </c>
    </row>
    <row r="180" spans="1:19">
      <c r="A180" s="406"/>
      <c r="B180" s="366"/>
      <c r="C180" s="366"/>
      <c r="D180" s="273"/>
      <c r="E180" s="366"/>
      <c r="F180" s="366"/>
      <c r="G180" s="366"/>
      <c r="H180" s="349" t="s">
        <v>91</v>
      </c>
      <c r="I180" s="1020" t="s">
        <v>49</v>
      </c>
      <c r="J180" s="1020"/>
      <c r="K180" s="536">
        <v>234.75</v>
      </c>
      <c r="L180" s="282">
        <v>43791</v>
      </c>
      <c r="M180" s="44" t="s">
        <v>171</v>
      </c>
      <c r="N180" s="344" t="s">
        <v>56</v>
      </c>
      <c r="O180" s="1020" t="s">
        <v>52</v>
      </c>
      <c r="P180" s="1020"/>
      <c r="Q180" s="536">
        <v>0.5</v>
      </c>
      <c r="R180" s="282">
        <v>43783</v>
      </c>
      <c r="S180" s="111" t="s">
        <v>170</v>
      </c>
    </row>
    <row r="181" spans="1:19">
      <c r="A181" s="406"/>
      <c r="B181" s="366"/>
      <c r="C181" s="366"/>
      <c r="D181" s="273"/>
      <c r="E181" s="366"/>
      <c r="F181" s="366"/>
      <c r="G181" s="366"/>
      <c r="H181" s="349" t="s">
        <v>91</v>
      </c>
      <c r="I181" s="1017" t="s">
        <v>59</v>
      </c>
      <c r="J181" s="1017"/>
      <c r="K181" s="540">
        <v>1147.99</v>
      </c>
      <c r="L181" s="302" t="s">
        <v>177</v>
      </c>
      <c r="M181" s="44" t="s">
        <v>170</v>
      </c>
      <c r="N181" s="344" t="s">
        <v>56</v>
      </c>
      <c r="O181" s="1020" t="s">
        <v>49</v>
      </c>
      <c r="P181" s="1020"/>
      <c r="Q181" s="536">
        <v>66.75</v>
      </c>
      <c r="R181" s="282">
        <v>43796</v>
      </c>
      <c r="S181" s="111" t="s">
        <v>171</v>
      </c>
    </row>
    <row r="182" spans="1:19">
      <c r="A182" s="406"/>
      <c r="B182" s="199"/>
      <c r="C182" s="199"/>
      <c r="D182" s="273"/>
      <c r="E182" s="199"/>
      <c r="F182" s="366"/>
      <c r="G182" s="366"/>
      <c r="H182" s="350" t="s">
        <v>91</v>
      </c>
      <c r="I182" s="1021" t="s">
        <v>68</v>
      </c>
      <c r="J182" s="1022"/>
      <c r="K182" s="536">
        <v>176.72</v>
      </c>
      <c r="L182" s="282">
        <v>43791</v>
      </c>
      <c r="M182" s="44" t="s">
        <v>170</v>
      </c>
      <c r="N182" s="344"/>
      <c r="O182" s="1017" t="s">
        <v>59</v>
      </c>
      <c r="P182" s="1017"/>
      <c r="Q182" s="540"/>
      <c r="R182" s="302" t="s">
        <v>177</v>
      </c>
      <c r="S182" s="111" t="s">
        <v>170</v>
      </c>
    </row>
    <row r="183" spans="1:19">
      <c r="A183" s="406"/>
      <c r="B183" s="199"/>
      <c r="C183" s="366"/>
      <c r="D183" s="273"/>
      <c r="E183" s="199"/>
      <c r="F183" s="366"/>
      <c r="G183" s="366"/>
      <c r="H183" s="349" t="s">
        <v>91</v>
      </c>
      <c r="I183" s="538" t="s">
        <v>174</v>
      </c>
      <c r="J183" s="539"/>
      <c r="K183" s="536">
        <f>298.1+160.36</f>
        <v>458.46000000000004</v>
      </c>
      <c r="L183" s="282">
        <v>43783</v>
      </c>
      <c r="M183" s="314" t="s">
        <v>170</v>
      </c>
      <c r="N183" s="344"/>
      <c r="O183" s="1021" t="s">
        <v>68</v>
      </c>
      <c r="P183" s="1022"/>
      <c r="Q183" s="536"/>
      <c r="R183" s="282">
        <v>43790</v>
      </c>
      <c r="S183" s="111" t="s">
        <v>170</v>
      </c>
    </row>
    <row r="184" spans="1:19">
      <c r="A184" s="406"/>
      <c r="B184" s="199"/>
      <c r="C184" s="366"/>
      <c r="D184" s="273"/>
      <c r="E184" s="199"/>
      <c r="F184" s="366"/>
      <c r="G184" s="366"/>
      <c r="H184" s="349" t="s">
        <v>91</v>
      </c>
      <c r="I184" s="538" t="s">
        <v>176</v>
      </c>
      <c r="J184" s="539"/>
      <c r="K184" s="536">
        <v>113.15</v>
      </c>
      <c r="L184" s="282">
        <v>43789</v>
      </c>
      <c r="M184" s="314" t="s">
        <v>170</v>
      </c>
      <c r="O184" s="538" t="s">
        <v>174</v>
      </c>
      <c r="P184" s="539"/>
      <c r="Q184" s="536"/>
      <c r="R184" s="282">
        <v>43783</v>
      </c>
      <c r="S184" s="405" t="s">
        <v>170</v>
      </c>
    </row>
    <row r="185" spans="1:19">
      <c r="A185" s="406"/>
      <c r="B185" s="199"/>
      <c r="C185" s="366"/>
      <c r="D185" s="273"/>
      <c r="E185" s="232"/>
      <c r="F185" s="366"/>
      <c r="G185" s="366"/>
      <c r="H185" s="349" t="s">
        <v>91</v>
      </c>
      <c r="I185" s="1021" t="s">
        <v>81</v>
      </c>
      <c r="J185" s="1022"/>
      <c r="K185" s="549">
        <v>1446.11</v>
      </c>
      <c r="L185" s="282">
        <v>43783</v>
      </c>
      <c r="M185" s="44" t="s">
        <v>170</v>
      </c>
      <c r="O185" s="538" t="s">
        <v>176</v>
      </c>
      <c r="P185" s="539"/>
      <c r="Q185" s="536"/>
      <c r="R185" s="282">
        <v>43789</v>
      </c>
      <c r="S185" s="405" t="s">
        <v>170</v>
      </c>
    </row>
    <row r="186" spans="1:19">
      <c r="A186" s="406"/>
      <c r="B186" s="199"/>
      <c r="C186" s="366"/>
      <c r="D186" s="273"/>
      <c r="E186" s="232"/>
      <c r="F186" s="366"/>
      <c r="G186" s="366"/>
      <c r="H186" s="349" t="s">
        <v>193</v>
      </c>
      <c r="I186" s="1015" t="s">
        <v>181</v>
      </c>
      <c r="J186" s="1016"/>
      <c r="K186" s="549"/>
      <c r="L186" s="282" t="s">
        <v>182</v>
      </c>
      <c r="M186" s="44"/>
      <c r="N186" s="366"/>
      <c r="O186" s="1021" t="s">
        <v>81</v>
      </c>
      <c r="P186" s="1022"/>
      <c r="Q186" s="549"/>
      <c r="R186" s="282">
        <v>43783</v>
      </c>
      <c r="S186" s="111" t="s">
        <v>170</v>
      </c>
    </row>
    <row r="187" spans="1:19">
      <c r="A187" s="406"/>
      <c r="B187" s="199"/>
      <c r="C187" s="366"/>
      <c r="D187" s="273"/>
      <c r="E187" s="232"/>
      <c r="F187" s="366"/>
      <c r="G187" s="366"/>
      <c r="H187" s="350" t="s">
        <v>91</v>
      </c>
      <c r="I187" s="1017" t="s">
        <v>61</v>
      </c>
      <c r="J187" s="1017"/>
      <c r="K187" s="549">
        <f>J152</f>
        <v>2927.79</v>
      </c>
      <c r="L187" s="282">
        <v>43791</v>
      </c>
      <c r="M187" s="44" t="s">
        <v>170</v>
      </c>
      <c r="N187" s="366"/>
      <c r="O187" s="211" t="s">
        <v>181</v>
      </c>
      <c r="P187" s="211"/>
      <c r="Q187" s="366"/>
      <c r="R187" s="282" t="s">
        <v>188</v>
      </c>
      <c r="S187" s="111"/>
    </row>
    <row r="188" spans="1:19" ht="15.75" thickBot="1">
      <c r="A188" s="429"/>
      <c r="B188" s="330"/>
      <c r="C188" s="331"/>
      <c r="D188" s="342"/>
      <c r="E188" s="330"/>
      <c r="F188" s="331"/>
      <c r="G188" s="331"/>
      <c r="H188" s="346"/>
      <c r="I188" s="361" t="s">
        <v>179</v>
      </c>
      <c r="J188" s="361">
        <f>SUM(K177:K187)</f>
        <v>6858.8600000000006</v>
      </c>
      <c r="K188" s="1018" t="s">
        <v>180</v>
      </c>
      <c r="L188" s="1018"/>
      <c r="M188" s="360">
        <v>0</v>
      </c>
      <c r="N188" s="366"/>
      <c r="O188" s="211"/>
      <c r="P188" s="211"/>
      <c r="Q188" s="366"/>
      <c r="R188" s="282"/>
      <c r="S188" s="111"/>
    </row>
    <row r="189" spans="1:19" ht="16.5" thickTop="1" thickBot="1">
      <c r="A189" s="129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O189" s="1" t="s">
        <v>50</v>
      </c>
      <c r="P189" s="1"/>
      <c r="Q189" s="296">
        <f>SUM(Q178:Q186)</f>
        <v>96.13</v>
      </c>
      <c r="R189" s="1"/>
      <c r="S189" s="111"/>
    </row>
    <row r="190" spans="1:19">
      <c r="A190" s="11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1"/>
    </row>
    <row r="191" spans="1:19">
      <c r="A191" s="11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1"/>
    </row>
    <row r="192" spans="1:19">
      <c r="A192" s="11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4" t="s">
        <v>2</v>
      </c>
      <c r="P192" s="541" t="s">
        <v>34</v>
      </c>
      <c r="Q192" s="36" t="s">
        <v>35</v>
      </c>
      <c r="R192" s="1"/>
      <c r="S192" s="111"/>
    </row>
    <row r="193" spans="1:19">
      <c r="A193" s="11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5">
        <v>43791</v>
      </c>
      <c r="P193" s="161" t="s">
        <v>186</v>
      </c>
      <c r="Q193" s="98">
        <v>343.12</v>
      </c>
      <c r="R193" s="1"/>
      <c r="S193" s="111"/>
    </row>
    <row r="194" spans="1:19">
      <c r="A194" s="11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5">
        <v>43789</v>
      </c>
      <c r="P194" s="161" t="s">
        <v>187</v>
      </c>
      <c r="Q194" s="98">
        <v>269.26</v>
      </c>
      <c r="R194" s="1"/>
      <c r="S194" s="111"/>
    </row>
    <row r="195" spans="1:19">
      <c r="A195" s="11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1"/>
    </row>
    <row r="196" spans="1:19">
      <c r="A196" s="11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1"/>
    </row>
    <row r="197" spans="1:19">
      <c r="A197" s="11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1"/>
    </row>
    <row r="198" spans="1:19" ht="15.75" thickBot="1">
      <c r="A198" s="11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1"/>
    </row>
    <row r="199" spans="1:19">
      <c r="A199" s="1074" t="s">
        <v>28</v>
      </c>
      <c r="B199" s="1075"/>
      <c r="C199" s="1075"/>
      <c r="D199" s="1075"/>
      <c r="E199" s="1075"/>
      <c r="F199" s="1075"/>
      <c r="G199" s="1076"/>
      <c r="H199" s="1077" t="s">
        <v>220</v>
      </c>
      <c r="I199" s="1048"/>
      <c r="J199" s="1048"/>
      <c r="K199" s="1048"/>
      <c r="L199" s="1048"/>
      <c r="M199" s="1049"/>
      <c r="N199" s="108"/>
      <c r="O199" s="108"/>
      <c r="P199" s="108"/>
      <c r="Q199" s="108"/>
      <c r="R199" s="108"/>
      <c r="S199" s="109"/>
    </row>
    <row r="200" spans="1:19">
      <c r="A200" s="395" t="s">
        <v>2</v>
      </c>
      <c r="B200" s="583" t="s">
        <v>34</v>
      </c>
      <c r="C200" s="36" t="s">
        <v>35</v>
      </c>
      <c r="D200" s="36" t="s">
        <v>38</v>
      </c>
      <c r="E200" s="36" t="s">
        <v>42</v>
      </c>
      <c r="F200" s="583" t="s">
        <v>36</v>
      </c>
      <c r="G200" s="100" t="s">
        <v>173</v>
      </c>
      <c r="H200" s="1078"/>
      <c r="I200" s="1079"/>
      <c r="J200" s="586" t="s">
        <v>35</v>
      </c>
      <c r="K200" s="586" t="s">
        <v>38</v>
      </c>
      <c r="L200" s="586" t="s">
        <v>42</v>
      </c>
      <c r="M200" s="100" t="s">
        <v>44</v>
      </c>
      <c r="O200" s="1"/>
      <c r="P200" s="1"/>
      <c r="Q200" s="1"/>
      <c r="R200" s="1"/>
      <c r="S200" s="111"/>
    </row>
    <row r="201" spans="1:19">
      <c r="A201" s="409">
        <v>43798</v>
      </c>
      <c r="B201" s="161" t="s">
        <v>217</v>
      </c>
      <c r="C201" s="98">
        <v>309.82</v>
      </c>
      <c r="D201" s="98">
        <v>309.82</v>
      </c>
      <c r="E201" s="160" t="str">
        <f>IF(C201-D201=0,"",C201-D201)</f>
        <v/>
      </c>
      <c r="F201" s="162" t="str">
        <f>IF(C201=0,"",IF(C201-D201=0,"оплачено","ожидается оплата"))</f>
        <v>оплачено</v>
      </c>
      <c r="G201" s="450"/>
      <c r="H201" s="1080" t="s">
        <v>39</v>
      </c>
      <c r="I201" s="1055"/>
      <c r="J201" s="588">
        <v>1458.67</v>
      </c>
      <c r="K201" s="588">
        <v>1458.67</v>
      </c>
      <c r="L201" s="160">
        <f>J201-K201</f>
        <v>0</v>
      </c>
      <c r="M201" s="101">
        <v>43822</v>
      </c>
      <c r="O201" s="1"/>
      <c r="P201" s="1"/>
      <c r="Q201" s="1"/>
      <c r="R201" s="1"/>
      <c r="S201" s="111"/>
    </row>
    <row r="202" spans="1:19">
      <c r="A202" s="409">
        <v>43810</v>
      </c>
      <c r="B202" s="161" t="s">
        <v>212</v>
      </c>
      <c r="C202" s="98">
        <v>294.48</v>
      </c>
      <c r="D202" s="98">
        <v>294.48</v>
      </c>
      <c r="E202" s="160" t="str">
        <f t="shared" ref="E202:E217" si="12">IF(C202-D202=0,"",C202-D202)</f>
        <v/>
      </c>
      <c r="F202" s="162" t="str">
        <f t="shared" ref="F202:F217" si="13">IF(C202=0,"",IF(C202-D202=0,"оплачено","ожидается оплата"))</f>
        <v>оплачено</v>
      </c>
      <c r="G202" s="450"/>
      <c r="H202" s="1080" t="s">
        <v>40</v>
      </c>
      <c r="I202" s="1055"/>
      <c r="J202" s="281">
        <v>1035.6500000000001</v>
      </c>
      <c r="K202" s="281">
        <v>1035.6500000000001</v>
      </c>
      <c r="L202" s="160">
        <f>J202-K202</f>
        <v>0</v>
      </c>
      <c r="M202" s="101">
        <v>43822</v>
      </c>
      <c r="O202" s="1"/>
      <c r="P202" s="1"/>
      <c r="Q202" s="1"/>
      <c r="R202" s="1"/>
      <c r="S202" s="111"/>
    </row>
    <row r="203" spans="1:19">
      <c r="A203" s="409">
        <v>43808</v>
      </c>
      <c r="B203" s="161" t="s">
        <v>213</v>
      </c>
      <c r="C203" s="98">
        <v>56.7</v>
      </c>
      <c r="D203" s="98">
        <v>56.7</v>
      </c>
      <c r="E203" s="160" t="str">
        <f t="shared" si="12"/>
        <v/>
      </c>
      <c r="F203" s="162" t="str">
        <f t="shared" si="13"/>
        <v>оплачено</v>
      </c>
      <c r="G203" s="450"/>
      <c r="H203" s="43"/>
      <c r="I203" s="1"/>
      <c r="J203" s="296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1"/>
    </row>
    <row r="204" spans="1:19">
      <c r="A204" s="409">
        <v>43803</v>
      </c>
      <c r="B204" s="161" t="s">
        <v>213</v>
      </c>
      <c r="C204" s="98">
        <v>187.25</v>
      </c>
      <c r="D204" s="98">
        <v>187.25</v>
      </c>
      <c r="E204" s="160" t="str">
        <f t="shared" si="12"/>
        <v/>
      </c>
      <c r="F204" s="162" t="str">
        <f t="shared" si="13"/>
        <v>оплачено</v>
      </c>
      <c r="G204" s="450"/>
      <c r="H204" s="43"/>
      <c r="I204" s="1"/>
      <c r="J204" s="366"/>
      <c r="K204" s="1"/>
      <c r="L204" s="1"/>
      <c r="M204" s="44"/>
      <c r="O204" s="1"/>
      <c r="P204" s="1"/>
      <c r="Q204" s="1"/>
      <c r="R204" s="1"/>
      <c r="S204" s="111"/>
    </row>
    <row r="205" spans="1:19">
      <c r="A205" s="409">
        <v>43802</v>
      </c>
      <c r="B205" s="161" t="s">
        <v>155</v>
      </c>
      <c r="C205" s="98">
        <v>280.98</v>
      </c>
      <c r="D205" s="98">
        <v>280.98</v>
      </c>
      <c r="E205" s="160" t="str">
        <f t="shared" si="12"/>
        <v/>
      </c>
      <c r="F205" s="162" t="str">
        <f t="shared" si="13"/>
        <v>оплачено</v>
      </c>
      <c r="G205" s="450"/>
      <c r="H205" s="43"/>
      <c r="I205" s="1"/>
      <c r="J205" s="366"/>
      <c r="K205" s="1"/>
      <c r="L205" s="1"/>
      <c r="M205" s="44"/>
      <c r="O205" s="1"/>
      <c r="P205" s="1"/>
      <c r="Q205" s="1"/>
      <c r="R205" s="1"/>
      <c r="S205" s="111"/>
    </row>
    <row r="206" spans="1:19">
      <c r="A206" s="409">
        <v>43804</v>
      </c>
      <c r="B206" s="161" t="s">
        <v>214</v>
      </c>
      <c r="C206" s="275">
        <v>1754</v>
      </c>
      <c r="D206" s="275">
        <v>1754</v>
      </c>
      <c r="E206" s="160" t="str">
        <f t="shared" si="12"/>
        <v/>
      </c>
      <c r="F206" s="162" t="str">
        <f t="shared" si="13"/>
        <v>оплачено</v>
      </c>
      <c r="G206" s="450"/>
      <c r="H206" s="43"/>
      <c r="I206" s="1"/>
      <c r="J206" s="366"/>
      <c r="K206" s="1"/>
      <c r="L206" s="1"/>
      <c r="M206" s="44"/>
      <c r="O206" s="1"/>
      <c r="P206" s="1"/>
      <c r="Q206" s="1"/>
      <c r="R206" s="1"/>
      <c r="S206" s="111"/>
    </row>
    <row r="207" spans="1:19">
      <c r="A207" s="409">
        <v>43797</v>
      </c>
      <c r="B207" s="161" t="s">
        <v>216</v>
      </c>
      <c r="C207" s="275">
        <v>469.32</v>
      </c>
      <c r="D207" s="275">
        <v>469.32</v>
      </c>
      <c r="E207" s="160"/>
      <c r="F207" s="162" t="str">
        <f t="shared" si="13"/>
        <v>оплачено</v>
      </c>
      <c r="G207" s="450"/>
      <c r="H207" s="43"/>
      <c r="I207" s="1"/>
      <c r="J207" s="366"/>
      <c r="K207" s="1"/>
      <c r="L207" s="1"/>
      <c r="M207" s="44"/>
      <c r="O207" s="1"/>
      <c r="P207" s="1"/>
      <c r="Q207" s="1"/>
      <c r="R207" s="1"/>
      <c r="S207" s="111"/>
    </row>
    <row r="208" spans="1:19">
      <c r="A208" s="409">
        <v>43808</v>
      </c>
      <c r="B208" s="161" t="s">
        <v>29</v>
      </c>
      <c r="C208" s="275">
        <v>101.7</v>
      </c>
      <c r="D208" s="275">
        <v>101.7</v>
      </c>
      <c r="E208" s="160" t="str">
        <f t="shared" si="12"/>
        <v/>
      </c>
      <c r="F208" s="162" t="str">
        <f t="shared" si="13"/>
        <v>оплачено</v>
      </c>
      <c r="G208" s="450"/>
      <c r="H208" s="43"/>
      <c r="I208" s="1"/>
      <c r="J208" s="366"/>
      <c r="K208" s="1"/>
      <c r="L208" s="1"/>
      <c r="M208" s="44"/>
      <c r="O208" s="1"/>
      <c r="P208" s="1"/>
      <c r="Q208" s="1"/>
      <c r="R208" s="1"/>
      <c r="S208" s="111"/>
    </row>
    <row r="209" spans="1:19">
      <c r="A209" s="409">
        <v>43825</v>
      </c>
      <c r="B209" s="161" t="s">
        <v>205</v>
      </c>
      <c r="C209" s="275">
        <v>444.15</v>
      </c>
      <c r="D209" s="275">
        <v>444.15</v>
      </c>
      <c r="E209" s="160" t="str">
        <f t="shared" si="12"/>
        <v/>
      </c>
      <c r="F209" s="162" t="str">
        <f t="shared" si="13"/>
        <v>оплачено</v>
      </c>
      <c r="G209" s="450"/>
      <c r="H209" s="43"/>
      <c r="I209" s="1"/>
      <c r="J209" s="366"/>
      <c r="K209" s="1"/>
      <c r="L209" s="1"/>
      <c r="M209" s="44"/>
      <c r="O209" s="1"/>
      <c r="P209" s="1"/>
      <c r="Q209" s="1"/>
      <c r="R209" s="1"/>
      <c r="S209" s="111"/>
    </row>
    <row r="210" spans="1:19">
      <c r="A210" s="409">
        <v>43823</v>
      </c>
      <c r="B210" s="161" t="s">
        <v>222</v>
      </c>
      <c r="C210" s="275">
        <v>329.46</v>
      </c>
      <c r="D210" s="275">
        <v>329.46</v>
      </c>
      <c r="E210" s="160" t="str">
        <f t="shared" si="12"/>
        <v/>
      </c>
      <c r="F210" s="162" t="str">
        <f t="shared" si="13"/>
        <v>оплачено</v>
      </c>
      <c r="G210" s="450"/>
      <c r="H210" s="43"/>
      <c r="I210" s="1"/>
      <c r="J210" s="366"/>
      <c r="K210" s="1"/>
      <c r="L210" s="1"/>
      <c r="M210" s="44"/>
      <c r="O210" s="1"/>
      <c r="P210" s="1"/>
      <c r="Q210" s="1"/>
      <c r="R210" s="1"/>
      <c r="S210" s="111"/>
    </row>
    <row r="211" spans="1:19">
      <c r="A211" s="409"/>
      <c r="B211" s="161"/>
      <c r="C211" s="275"/>
      <c r="D211" s="161"/>
      <c r="E211" s="160"/>
      <c r="F211" s="162"/>
      <c r="G211" s="450"/>
      <c r="H211" s="43"/>
      <c r="I211" s="1"/>
      <c r="J211" s="366"/>
      <c r="K211" s="1"/>
      <c r="L211" s="1"/>
      <c r="M211" s="44"/>
      <c r="O211" s="1"/>
      <c r="P211" s="1"/>
      <c r="Q211" s="1"/>
      <c r="R211" s="1"/>
      <c r="S211" s="111"/>
    </row>
    <row r="212" spans="1:19">
      <c r="A212" s="409"/>
      <c r="B212" s="161"/>
      <c r="C212" s="275"/>
      <c r="D212" s="161"/>
      <c r="E212" s="160" t="str">
        <f t="shared" si="12"/>
        <v/>
      </c>
      <c r="F212" s="162"/>
      <c r="G212" s="450"/>
      <c r="H212" s="43"/>
      <c r="I212" s="1"/>
      <c r="J212" s="366"/>
      <c r="K212" s="1"/>
      <c r="L212" s="1"/>
      <c r="M212" s="44"/>
      <c r="O212" s="1"/>
      <c r="P212" s="1"/>
      <c r="Q212" s="1"/>
      <c r="R212" s="1"/>
      <c r="S212" s="111"/>
    </row>
    <row r="213" spans="1:19">
      <c r="A213" s="410"/>
      <c r="B213" s="161"/>
      <c r="C213" s="161"/>
      <c r="D213" s="161"/>
      <c r="E213" s="160" t="str">
        <f t="shared" si="12"/>
        <v/>
      </c>
      <c r="F213" s="162" t="str">
        <f t="shared" si="13"/>
        <v/>
      </c>
      <c r="G213" s="450"/>
      <c r="H213" s="43"/>
      <c r="I213" s="1"/>
      <c r="J213" s="366"/>
      <c r="K213" s="1"/>
      <c r="L213" s="1"/>
      <c r="M213" s="44"/>
      <c r="O213" s="1"/>
      <c r="P213" s="1"/>
      <c r="Q213" s="1"/>
      <c r="R213" s="1"/>
      <c r="S213" s="111"/>
    </row>
    <row r="214" spans="1:19">
      <c r="A214" s="411"/>
      <c r="B214" s="161"/>
      <c r="C214" s="161"/>
      <c r="D214" s="161"/>
      <c r="E214" s="160" t="str">
        <f t="shared" si="12"/>
        <v/>
      </c>
      <c r="F214" s="162" t="str">
        <f t="shared" si="13"/>
        <v/>
      </c>
      <c r="G214" s="450"/>
      <c r="H214" s="43"/>
      <c r="I214" s="1"/>
      <c r="J214" s="366"/>
      <c r="K214" s="1"/>
      <c r="L214" s="1"/>
      <c r="M214" s="44"/>
      <c r="O214" s="1"/>
      <c r="P214" s="1"/>
      <c r="Q214" s="1"/>
      <c r="R214" s="1"/>
      <c r="S214" s="111"/>
    </row>
    <row r="215" spans="1:19">
      <c r="A215" s="411"/>
      <c r="B215" s="161"/>
      <c r="C215" s="161"/>
      <c r="D215" s="161"/>
      <c r="E215" s="160" t="str">
        <f t="shared" si="12"/>
        <v/>
      </c>
      <c r="F215" s="162" t="str">
        <f t="shared" si="13"/>
        <v/>
      </c>
      <c r="G215" s="450"/>
      <c r="H215" s="43"/>
      <c r="I215" s="1"/>
      <c r="J215" s="366"/>
      <c r="K215" s="1"/>
      <c r="L215" s="1"/>
      <c r="M215" s="44"/>
      <c r="O215" s="1"/>
      <c r="P215" s="1"/>
      <c r="Q215" s="1"/>
      <c r="R215" s="1"/>
      <c r="S215" s="111"/>
    </row>
    <row r="216" spans="1:19">
      <c r="A216" s="410"/>
      <c r="B216" s="161"/>
      <c r="C216" s="161"/>
      <c r="D216" s="161"/>
      <c r="E216" s="160" t="str">
        <f t="shared" si="12"/>
        <v/>
      </c>
      <c r="F216" s="162" t="str">
        <f t="shared" si="13"/>
        <v/>
      </c>
      <c r="G216" s="450"/>
      <c r="H216" s="43"/>
      <c r="I216" s="1"/>
      <c r="J216" s="366"/>
      <c r="K216" s="1"/>
      <c r="L216" s="1"/>
      <c r="M216" s="44"/>
      <c r="O216" s="1"/>
      <c r="P216" s="1"/>
      <c r="Q216" s="1"/>
      <c r="R216" s="1"/>
      <c r="S216" s="111"/>
    </row>
    <row r="217" spans="1:19" ht="15.75" thickBot="1">
      <c r="A217" s="426"/>
      <c r="B217" s="357"/>
      <c r="C217" s="358"/>
      <c r="D217" s="358"/>
      <c r="E217" s="160" t="str">
        <f t="shared" si="12"/>
        <v/>
      </c>
      <c r="F217" s="162" t="str">
        <f t="shared" si="13"/>
        <v/>
      </c>
      <c r="G217" s="451"/>
      <c r="H217" s="43"/>
      <c r="I217" s="1"/>
      <c r="J217" s="366"/>
      <c r="K217" s="1"/>
      <c r="L217" s="1"/>
      <c r="M217" s="44"/>
      <c r="O217" s="1"/>
      <c r="P217" s="1"/>
      <c r="Q217" s="1"/>
      <c r="R217" s="1"/>
      <c r="S217" s="111"/>
    </row>
    <row r="218" spans="1:19" ht="15.75" thickTop="1">
      <c r="A218" s="554"/>
      <c r="B218" s="352"/>
      <c r="C218" s="353"/>
      <c r="D218" s="353"/>
      <c r="E218" s="354"/>
      <c r="F218" s="352"/>
      <c r="G218" s="376"/>
      <c r="H218" s="1039" t="s">
        <v>16</v>
      </c>
      <c r="I218" s="1041" t="s">
        <v>17</v>
      </c>
      <c r="J218" s="1041" t="s">
        <v>21</v>
      </c>
      <c r="K218" s="1041"/>
      <c r="L218" s="1043" t="s">
        <v>93</v>
      </c>
      <c r="M218" s="1045" t="s">
        <v>95</v>
      </c>
      <c r="O218" s="1"/>
      <c r="P218" s="1"/>
      <c r="Q218" s="1"/>
      <c r="R218" s="1"/>
      <c r="S218" s="111"/>
    </row>
    <row r="219" spans="1:19" ht="24">
      <c r="A219" s="413"/>
      <c r="B219" s="201"/>
      <c r="C219" s="201"/>
      <c r="D219" s="201"/>
      <c r="E219" s="216"/>
      <c r="F219" s="201"/>
      <c r="G219" s="201"/>
      <c r="H219" s="1040"/>
      <c r="I219" s="1042"/>
      <c r="J219" s="587" t="s">
        <v>21</v>
      </c>
      <c r="K219" s="587" t="s">
        <v>25</v>
      </c>
      <c r="L219" s="1044"/>
      <c r="M219" s="1046"/>
      <c r="O219" s="1"/>
      <c r="P219" s="1"/>
      <c r="Q219" s="1"/>
      <c r="R219" s="1"/>
      <c r="S219" s="111"/>
    </row>
    <row r="220" spans="1:19">
      <c r="A220" s="415"/>
      <c r="B220" s="199"/>
      <c r="C220" s="288"/>
      <c r="D220" s="232"/>
      <c r="E220" s="84"/>
      <c r="F220" s="199"/>
      <c r="G220" s="199"/>
      <c r="H220" s="347" t="s">
        <v>18</v>
      </c>
      <c r="I220" s="94">
        <v>32809.9</v>
      </c>
      <c r="J220" s="94">
        <v>1675.7199999999998</v>
      </c>
      <c r="K220" s="297">
        <v>1047.01</v>
      </c>
      <c r="L220" s="96">
        <v>52152</v>
      </c>
      <c r="M220" s="104">
        <f>82159.79-I220-J220-K220+L220</f>
        <v>98779.159999999989</v>
      </c>
      <c r="O220" s="1"/>
      <c r="P220" s="1"/>
      <c r="Q220" s="1"/>
      <c r="R220" s="1"/>
      <c r="S220" s="111"/>
    </row>
    <row r="221" spans="1:19">
      <c r="A221" s="428"/>
      <c r="B221" s="199"/>
      <c r="C221" s="199"/>
      <c r="D221" s="273"/>
      <c r="E221" s="366"/>
      <c r="F221" s="84"/>
      <c r="G221" s="366"/>
      <c r="H221" s="347" t="s">
        <v>19</v>
      </c>
      <c r="I221" s="94">
        <v>35259.58</v>
      </c>
      <c r="J221" s="94">
        <v>1363.3000000000002</v>
      </c>
      <c r="K221" s="94">
        <v>1176.05</v>
      </c>
      <c r="L221" s="96">
        <v>40465.950000000004</v>
      </c>
      <c r="M221" s="104">
        <f>M220-I221-J221-K221+L221</f>
        <v>101446.18</v>
      </c>
      <c r="O221" s="1"/>
      <c r="P221" s="1"/>
      <c r="Q221" s="1"/>
      <c r="R221" s="1"/>
      <c r="S221" s="111"/>
    </row>
    <row r="222" spans="1:19">
      <c r="A222" s="428"/>
      <c r="B222" s="366"/>
      <c r="C222" s="199"/>
      <c r="D222" s="273"/>
      <c r="E222" s="366"/>
      <c r="F222" s="366"/>
      <c r="G222" s="366"/>
      <c r="H222" s="347" t="s">
        <v>20</v>
      </c>
      <c r="I222" s="298">
        <v>34690.219999999994</v>
      </c>
      <c r="J222" s="94">
        <v>1209.3000000000002</v>
      </c>
      <c r="K222" s="299">
        <v>1213.33</v>
      </c>
      <c r="L222" s="299">
        <v>19306</v>
      </c>
      <c r="M222" s="104">
        <f>M221-I222-J222-K222+L222</f>
        <v>83639.329999999987</v>
      </c>
      <c r="O222" s="1"/>
      <c r="P222" s="1"/>
      <c r="Q222" s="1"/>
      <c r="R222" s="1"/>
      <c r="S222" s="111"/>
    </row>
    <row r="223" spans="1:19">
      <c r="A223" s="428"/>
      <c r="B223" s="1"/>
      <c r="C223" s="284"/>
      <c r="D223" s="273"/>
      <c r="E223" s="366"/>
      <c r="F223" s="366"/>
      <c r="G223" s="84"/>
      <c r="H223" s="347" t="s">
        <v>148</v>
      </c>
      <c r="I223" s="299">
        <v>30955.479999999996</v>
      </c>
      <c r="J223" s="300"/>
      <c r="K223" s="300">
        <v>1035.6600000000001</v>
      </c>
      <c r="L223" s="299">
        <v>59195.5</v>
      </c>
      <c r="M223" s="104">
        <f>M222-I223-J223-K223+L223</f>
        <v>110843.68999999999</v>
      </c>
      <c r="O223" s="1"/>
      <c r="P223" s="1"/>
      <c r="Q223" s="1"/>
      <c r="R223" s="1"/>
      <c r="S223" s="111"/>
    </row>
    <row r="224" spans="1:19">
      <c r="A224" s="428"/>
      <c r="B224" s="199"/>
      <c r="C224" s="1"/>
      <c r="D224" s="273"/>
      <c r="E224" s="366"/>
      <c r="F224" s="366"/>
      <c r="G224" s="366"/>
      <c r="H224" s="348" t="s">
        <v>162</v>
      </c>
      <c r="I224" s="300">
        <v>31239.439999999995</v>
      </c>
      <c r="J224" s="299">
        <v>2443.4</v>
      </c>
      <c r="K224" s="300">
        <v>1496.52</v>
      </c>
      <c r="L224" s="299">
        <v>40132</v>
      </c>
      <c r="M224" s="104">
        <f>M223-I224-J224-K224+L224</f>
        <v>115796.33</v>
      </c>
      <c r="O224" s="1"/>
      <c r="P224" s="1"/>
      <c r="Q224" s="1"/>
      <c r="R224" s="1"/>
      <c r="S224" s="111"/>
    </row>
    <row r="225" spans="1:19" ht="15.75" thickBot="1">
      <c r="A225" s="428"/>
      <c r="B225" s="199"/>
      <c r="C225" s="1"/>
      <c r="D225" s="273"/>
      <c r="E225" s="366"/>
      <c r="F225" s="366"/>
      <c r="G225" s="366"/>
      <c r="H225" s="379" t="s">
        <v>163</v>
      </c>
      <c r="I225" s="380">
        <v>28986.99</v>
      </c>
      <c r="J225" s="432">
        <v>6271.4999999999991</v>
      </c>
      <c r="K225" s="433">
        <v>1179.17</v>
      </c>
      <c r="L225" s="433">
        <v>22678.1</v>
      </c>
      <c r="M225" s="382">
        <f>M224-I225-J225-K225+L225</f>
        <v>102036.76999999999</v>
      </c>
      <c r="O225" s="1019" t="s">
        <v>309</v>
      </c>
      <c r="P225" s="1019"/>
      <c r="Q225" s="1019"/>
      <c r="R225" s="1"/>
      <c r="S225" s="111"/>
    </row>
    <row r="226" spans="1:19" ht="15.75" thickTop="1">
      <c r="A226" s="428"/>
      <c r="B226" s="199"/>
      <c r="C226" s="1"/>
      <c r="D226" s="273"/>
      <c r="E226" s="84"/>
      <c r="F226" s="366"/>
      <c r="G226" s="366"/>
      <c r="H226" s="1023" t="s">
        <v>36</v>
      </c>
      <c r="I226" s="1025" t="s">
        <v>178</v>
      </c>
      <c r="J226" s="1026"/>
      <c r="K226" s="1027"/>
      <c r="L226" s="1031" t="s">
        <v>159</v>
      </c>
      <c r="M226" s="1032"/>
      <c r="O226" s="1019"/>
      <c r="P226" s="1019"/>
      <c r="Q226" s="1019"/>
      <c r="R226" s="1"/>
      <c r="S226" s="111"/>
    </row>
    <row r="227" spans="1:19">
      <c r="A227" s="428"/>
      <c r="B227" s="199"/>
      <c r="C227" s="284"/>
      <c r="D227" s="273"/>
      <c r="E227" s="284"/>
      <c r="F227" s="366"/>
      <c r="G227" s="378"/>
      <c r="H227" s="1024"/>
      <c r="I227" s="1028"/>
      <c r="J227" s="1029"/>
      <c r="K227" s="1030"/>
      <c r="L227" s="1033"/>
      <c r="M227" s="1034"/>
      <c r="O227" s="1019"/>
      <c r="P227" s="1019"/>
      <c r="Q227" s="1019"/>
      <c r="R227" s="1"/>
      <c r="S227" s="111"/>
    </row>
    <row r="228" spans="1:19">
      <c r="A228" s="428"/>
      <c r="B228" s="199"/>
      <c r="C228" s="199"/>
      <c r="D228" s="273"/>
      <c r="E228" s="199"/>
      <c r="F228" s="366"/>
      <c r="G228" s="378"/>
      <c r="H228" s="377" t="s">
        <v>193</v>
      </c>
      <c r="I228" s="1035" t="s">
        <v>47</v>
      </c>
      <c r="J228" s="1035"/>
      <c r="K228" s="594">
        <v>288.75</v>
      </c>
      <c r="L228" s="282">
        <v>43813</v>
      </c>
      <c r="M228" s="44" t="s">
        <v>200</v>
      </c>
      <c r="O228" s="1"/>
      <c r="P228" s="1"/>
      <c r="Q228" s="1"/>
      <c r="R228" s="1"/>
      <c r="S228" s="111"/>
    </row>
    <row r="229" spans="1:19">
      <c r="A229" s="428"/>
      <c r="B229" s="366"/>
      <c r="C229" s="274"/>
      <c r="D229" s="273"/>
      <c r="E229" s="274"/>
      <c r="F229" s="366"/>
      <c r="G229" s="366"/>
      <c r="H229" s="377" t="s">
        <v>193</v>
      </c>
      <c r="I229" s="1020" t="s">
        <v>51</v>
      </c>
      <c r="J229" s="1020"/>
      <c r="K229" s="595">
        <v>60.19</v>
      </c>
      <c r="L229" s="282">
        <v>43813</v>
      </c>
      <c r="M229" s="44" t="s">
        <v>200</v>
      </c>
      <c r="O229" s="1"/>
      <c r="P229" s="1"/>
      <c r="Q229" s="1"/>
      <c r="R229" s="1"/>
      <c r="S229" s="111"/>
    </row>
    <row r="230" spans="1:19">
      <c r="A230" s="406"/>
      <c r="B230" s="366"/>
      <c r="C230" s="366"/>
      <c r="D230" s="273"/>
      <c r="E230" s="199"/>
      <c r="F230" s="366"/>
      <c r="G230" s="366"/>
      <c r="H230" s="377" t="s">
        <v>193</v>
      </c>
      <c r="I230" s="1020" t="s">
        <v>52</v>
      </c>
      <c r="J230" s="1020"/>
      <c r="K230" s="595">
        <v>4.95</v>
      </c>
      <c r="L230" s="282">
        <v>43813</v>
      </c>
      <c r="M230" s="44" t="s">
        <v>200</v>
      </c>
      <c r="O230" s="1"/>
      <c r="P230" s="1"/>
      <c r="Q230" s="1"/>
      <c r="R230" s="1"/>
      <c r="S230" s="111"/>
    </row>
    <row r="231" spans="1:19">
      <c r="A231" s="406"/>
      <c r="B231" s="366"/>
      <c r="C231" s="366"/>
      <c r="D231" s="273"/>
      <c r="E231" s="366"/>
      <c r="F231" s="366"/>
      <c r="G231" s="366"/>
      <c r="H231" s="377" t="s">
        <v>193</v>
      </c>
      <c r="I231" s="1020" t="s">
        <v>49</v>
      </c>
      <c r="J231" s="1020"/>
      <c r="K231" s="595">
        <v>257</v>
      </c>
      <c r="L231" s="282">
        <v>43821</v>
      </c>
      <c r="M231" s="44" t="s">
        <v>207</v>
      </c>
      <c r="O231" s="1"/>
      <c r="P231" s="1"/>
      <c r="Q231" s="1"/>
      <c r="R231" s="1"/>
      <c r="S231" s="111"/>
    </row>
    <row r="232" spans="1:19">
      <c r="A232" s="406"/>
      <c r="B232" s="366"/>
      <c r="C232" s="366"/>
      <c r="D232" s="273"/>
      <c r="E232" s="366"/>
      <c r="F232" s="366"/>
      <c r="G232" s="366"/>
      <c r="H232" s="377" t="s">
        <v>193</v>
      </c>
      <c r="I232" s="1017" t="s">
        <v>59</v>
      </c>
      <c r="J232" s="1017"/>
      <c r="K232" s="457">
        <v>922.03</v>
      </c>
      <c r="L232" s="302" t="s">
        <v>177</v>
      </c>
      <c r="M232" s="44" t="s">
        <v>200</v>
      </c>
      <c r="O232" s="1"/>
      <c r="P232" s="1"/>
      <c r="Q232" s="1"/>
      <c r="R232" s="1"/>
      <c r="S232" s="111"/>
    </row>
    <row r="233" spans="1:19">
      <c r="A233" s="406"/>
      <c r="B233" s="199"/>
      <c r="C233" s="199"/>
      <c r="D233" s="273"/>
      <c r="E233" s="199"/>
      <c r="F233" s="366"/>
      <c r="G233" s="366"/>
      <c r="H233" s="377" t="s">
        <v>193</v>
      </c>
      <c r="I233" s="1021" t="s">
        <v>68</v>
      </c>
      <c r="J233" s="1022"/>
      <c r="K233" s="595">
        <v>315.07</v>
      </c>
      <c r="L233" s="282">
        <v>43825</v>
      </c>
      <c r="M233" s="44" t="s">
        <v>200</v>
      </c>
      <c r="O233" s="1"/>
      <c r="P233" s="1"/>
      <c r="Q233" s="1"/>
      <c r="R233" s="1"/>
      <c r="S233" s="111"/>
    </row>
    <row r="234" spans="1:19">
      <c r="A234" s="406"/>
      <c r="B234" s="199"/>
      <c r="C234" s="366"/>
      <c r="D234" s="273"/>
      <c r="E234" s="199"/>
      <c r="F234" s="366"/>
      <c r="G234" s="366"/>
      <c r="H234" s="377" t="s">
        <v>193</v>
      </c>
      <c r="I234" s="584" t="s">
        <v>174</v>
      </c>
      <c r="J234" s="585"/>
      <c r="K234" s="595">
        <f>298.1+160.36</f>
        <v>458.46000000000004</v>
      </c>
      <c r="L234" s="282">
        <v>43813</v>
      </c>
      <c r="M234" s="44" t="s">
        <v>200</v>
      </c>
      <c r="O234" s="1"/>
      <c r="P234" s="1"/>
      <c r="Q234" s="1"/>
      <c r="R234" s="1"/>
      <c r="S234" s="111"/>
    </row>
    <row r="235" spans="1:19">
      <c r="A235" s="406"/>
      <c r="B235" s="199"/>
      <c r="C235" s="366"/>
      <c r="D235" s="273"/>
      <c r="E235" s="199"/>
      <c r="F235" s="366"/>
      <c r="G235" s="366"/>
      <c r="H235" s="350" t="str">
        <f>IF(K235="","не нужно","оплачено")</f>
        <v>не нужно</v>
      </c>
      <c r="I235" s="584" t="s">
        <v>176</v>
      </c>
      <c r="J235" s="585"/>
      <c r="K235" s="595"/>
      <c r="L235" s="282"/>
      <c r="M235" s="44"/>
      <c r="O235" s="1"/>
      <c r="P235" s="1"/>
      <c r="Q235" s="1"/>
      <c r="R235" s="1"/>
      <c r="S235" s="111"/>
    </row>
    <row r="236" spans="1:19">
      <c r="A236" s="406"/>
      <c r="B236" s="199"/>
      <c r="C236" s="366"/>
      <c r="D236" s="273"/>
      <c r="E236" s="232"/>
      <c r="F236" s="366"/>
      <c r="G236" s="366"/>
      <c r="H236" s="377" t="s">
        <v>193</v>
      </c>
      <c r="I236" s="1021" t="s">
        <v>81</v>
      </c>
      <c r="J236" s="1022"/>
      <c r="K236" s="595">
        <v>1483.76</v>
      </c>
      <c r="L236" s="282">
        <v>43813</v>
      </c>
      <c r="M236" s="44" t="s">
        <v>200</v>
      </c>
      <c r="O236" s="1"/>
      <c r="P236" s="1"/>
      <c r="Q236" s="1"/>
      <c r="R236" s="1"/>
      <c r="S236" s="111"/>
    </row>
    <row r="237" spans="1:19">
      <c r="A237" s="406"/>
      <c r="B237" s="199"/>
      <c r="C237" s="366"/>
      <c r="D237" s="273"/>
      <c r="E237" s="232"/>
      <c r="F237" s="366"/>
      <c r="G237" s="366"/>
      <c r="H237" s="377" t="s">
        <v>193</v>
      </c>
      <c r="I237" s="1021" t="s">
        <v>181</v>
      </c>
      <c r="J237" s="1022"/>
      <c r="K237" s="595">
        <v>10</v>
      </c>
      <c r="L237" s="282" t="s">
        <v>182</v>
      </c>
      <c r="M237" s="44"/>
      <c r="O237" s="1"/>
      <c r="P237" s="1"/>
      <c r="Q237" s="1"/>
      <c r="R237" s="1"/>
      <c r="S237" s="111"/>
    </row>
    <row r="238" spans="1:19">
      <c r="A238" s="406"/>
      <c r="B238" s="199"/>
      <c r="C238" s="366"/>
      <c r="D238" s="273"/>
      <c r="E238" s="232"/>
      <c r="F238" s="366"/>
      <c r="G238" s="366"/>
      <c r="H238" s="377" t="s">
        <v>193</v>
      </c>
      <c r="I238" s="1017" t="s">
        <v>61</v>
      </c>
      <c r="J238" s="1017"/>
      <c r="K238" s="595">
        <f>J203</f>
        <v>2494.3200000000002</v>
      </c>
      <c r="L238" s="282">
        <v>43821</v>
      </c>
      <c r="M238" s="44" t="s">
        <v>200</v>
      </c>
      <c r="O238" s="1"/>
      <c r="P238" s="1"/>
      <c r="Q238" s="1"/>
      <c r="R238" s="1"/>
      <c r="S238" s="111"/>
    </row>
    <row r="239" spans="1:19" ht="15.75" thickBot="1">
      <c r="A239" s="429"/>
      <c r="B239" s="330"/>
      <c r="C239" s="331"/>
      <c r="D239" s="342"/>
      <c r="E239" s="330"/>
      <c r="F239" s="331"/>
      <c r="G239" s="331"/>
      <c r="H239" s="346"/>
      <c r="I239" s="361" t="s">
        <v>179</v>
      </c>
      <c r="J239" s="361">
        <f>SUM(K228:K238)</f>
        <v>6294.5300000000007</v>
      </c>
      <c r="K239" s="1018" t="s">
        <v>180</v>
      </c>
      <c r="L239" s="1018"/>
      <c r="M239" s="360">
        <v>0</v>
      </c>
      <c r="O239" s="1"/>
      <c r="P239" s="1"/>
      <c r="Q239" s="1"/>
      <c r="R239" s="1"/>
      <c r="S239" s="111"/>
    </row>
    <row r="240" spans="1:19" ht="15.75" thickTop="1">
      <c r="A240" s="406"/>
      <c r="B240" s="366"/>
      <c r="C240" s="366"/>
      <c r="D240" s="366"/>
      <c r="E240" s="366"/>
      <c r="F240" s="366"/>
      <c r="G240" s="366"/>
      <c r="H240" s="1081"/>
      <c r="I240" s="1081"/>
      <c r="J240" s="1081"/>
      <c r="K240" s="1081"/>
      <c r="L240" s="366"/>
      <c r="M240" s="442"/>
      <c r="O240" s="1"/>
      <c r="P240" s="1"/>
      <c r="Q240" s="1"/>
      <c r="R240" s="1"/>
      <c r="S240" s="111"/>
    </row>
    <row r="241" spans="1:19">
      <c r="A241" s="406"/>
      <c r="B241" s="1082" t="s">
        <v>208</v>
      </c>
      <c r="C241" s="1082"/>
      <c r="D241" s="1082"/>
      <c r="E241" s="1082"/>
      <c r="F241" s="1082"/>
      <c r="G241" s="1082"/>
      <c r="H241" s="1082"/>
      <c r="I241" s="1082"/>
      <c r="J241" s="1082"/>
      <c r="K241" s="1082"/>
      <c r="L241" s="366"/>
      <c r="M241" s="442"/>
      <c r="O241" s="1"/>
      <c r="P241" s="1"/>
      <c r="Q241" s="1"/>
      <c r="R241" s="1"/>
      <c r="S241" s="111"/>
    </row>
    <row r="242" spans="1:19" ht="15.75" thickBot="1">
      <c r="A242" s="110"/>
      <c r="B242" s="1083"/>
      <c r="C242" s="1083"/>
      <c r="D242" s="1083"/>
      <c r="E242" s="1083"/>
      <c r="F242" s="1083"/>
      <c r="G242" s="1083"/>
      <c r="H242" s="1083"/>
      <c r="I242" s="1083"/>
      <c r="J242" s="1083"/>
      <c r="K242" s="1083"/>
      <c r="L242" s="1"/>
      <c r="M242" s="1"/>
      <c r="O242" s="1"/>
      <c r="P242" s="1"/>
      <c r="Q242" s="1"/>
      <c r="R242" s="1"/>
      <c r="S242" s="111"/>
    </row>
    <row r="243" spans="1:19" ht="15.75" thickTop="1">
      <c r="A243" s="1036" t="s">
        <v>28</v>
      </c>
      <c r="B243" s="1037"/>
      <c r="C243" s="1037"/>
      <c r="D243" s="1037"/>
      <c r="E243" s="1037"/>
      <c r="F243" s="1037"/>
      <c r="G243" s="1038"/>
      <c r="H243" s="1084" t="s">
        <v>202</v>
      </c>
      <c r="I243" s="1085"/>
      <c r="J243" s="1085"/>
      <c r="K243" s="1085"/>
      <c r="L243" s="1085"/>
      <c r="M243" s="1086"/>
      <c r="O243" s="1"/>
      <c r="P243" s="1"/>
      <c r="Q243" s="1"/>
      <c r="R243" s="1"/>
      <c r="S243" s="111"/>
    </row>
    <row r="244" spans="1:19">
      <c r="A244" s="395" t="s">
        <v>2</v>
      </c>
      <c r="B244" s="583" t="s">
        <v>34</v>
      </c>
      <c r="C244" s="36" t="s">
        <v>35</v>
      </c>
      <c r="D244" s="36" t="s">
        <v>38</v>
      </c>
      <c r="E244" s="36" t="s">
        <v>42</v>
      </c>
      <c r="F244" s="583" t="s">
        <v>36</v>
      </c>
      <c r="G244" s="100" t="s">
        <v>173</v>
      </c>
      <c r="H244" s="43"/>
      <c r="I244" s="586" t="s">
        <v>35</v>
      </c>
      <c r="J244" s="586" t="s">
        <v>38</v>
      </c>
      <c r="K244" s="586" t="s">
        <v>42</v>
      </c>
      <c r="L244" s="263" t="s">
        <v>44</v>
      </c>
      <c r="M244" s="443"/>
      <c r="O244" s="1"/>
      <c r="P244" s="1"/>
      <c r="Q244" s="1"/>
      <c r="R244" s="1"/>
      <c r="S244" s="111"/>
    </row>
    <row r="245" spans="1:19">
      <c r="A245" s="409">
        <v>43781</v>
      </c>
      <c r="B245" s="161" t="s">
        <v>205</v>
      </c>
      <c r="C245" s="98">
        <v>1403.06</v>
      </c>
      <c r="D245" s="98">
        <v>1403.06</v>
      </c>
      <c r="E245" s="160" t="str">
        <f>IF(C245-D245=0,"",C245-D245)</f>
        <v/>
      </c>
      <c r="F245" s="162" t="str">
        <f>IF(C245=0,"",IF(C245-D245=0,"оплачено","ожидается оплата"))</f>
        <v>оплачено</v>
      </c>
      <c r="G245" s="450"/>
      <c r="H245" s="43"/>
      <c r="I245" s="588">
        <v>199.36</v>
      </c>
      <c r="J245" s="588">
        <v>199.36</v>
      </c>
      <c r="K245" s="160">
        <f>I245-J245</f>
        <v>0</v>
      </c>
      <c r="L245" s="3">
        <v>43819</v>
      </c>
      <c r="M245" s="434"/>
      <c r="O245" s="1"/>
      <c r="P245" s="1"/>
      <c r="Q245" s="1"/>
      <c r="R245" s="1"/>
      <c r="S245" s="111"/>
    </row>
    <row r="246" spans="1:19">
      <c r="A246" s="409">
        <v>43789</v>
      </c>
      <c r="B246" s="161" t="s">
        <v>205</v>
      </c>
      <c r="C246" s="98">
        <v>269.26</v>
      </c>
      <c r="D246" s="98">
        <v>269.26</v>
      </c>
      <c r="E246" s="160" t="str">
        <f t="shared" ref="E246:E261" si="14">IF(C246-D246=0,"",C246-D246)</f>
        <v/>
      </c>
      <c r="F246" s="162" t="str">
        <f>IF(C246=0,"",IF(C246-D246=0,"оплачено","ожидается оплата"))</f>
        <v>оплачено</v>
      </c>
      <c r="G246" s="450"/>
      <c r="H246" s="43"/>
      <c r="I246" s="293"/>
      <c r="J246" s="293"/>
      <c r="K246" s="444"/>
      <c r="L246" s="144"/>
      <c r="M246" s="434"/>
      <c r="O246" s="1"/>
      <c r="P246" s="1"/>
      <c r="Q246" s="1"/>
      <c r="R246" s="1"/>
      <c r="S246" s="111"/>
    </row>
    <row r="247" spans="1:19">
      <c r="A247" s="409">
        <v>43787</v>
      </c>
      <c r="B247" s="595" t="s">
        <v>63</v>
      </c>
      <c r="C247" s="98">
        <v>395.55</v>
      </c>
      <c r="D247" s="98">
        <v>395.55</v>
      </c>
      <c r="E247" s="160" t="str">
        <f t="shared" si="14"/>
        <v/>
      </c>
      <c r="F247" s="162" t="str">
        <f t="shared" ref="F247:F261" si="15">IF(C247=0,"",IF(C247-D247=0,"оплачено","ожидается оплата"))</f>
        <v>оплачено</v>
      </c>
      <c r="G247" s="450"/>
      <c r="H247" s="43"/>
      <c r="I247" s="1"/>
      <c r="J247" s="366"/>
      <c r="K247" s="1"/>
      <c r="L247" s="1"/>
      <c r="M247" s="44"/>
      <c r="O247" s="1"/>
      <c r="P247" s="1"/>
      <c r="Q247" s="1"/>
      <c r="R247" s="1"/>
      <c r="S247" s="111"/>
    </row>
    <row r="248" spans="1:19">
      <c r="A248" s="409">
        <v>43788</v>
      </c>
      <c r="B248" s="595" t="s">
        <v>64</v>
      </c>
      <c r="C248" s="98">
        <v>597.02</v>
      </c>
      <c r="D248" s="98">
        <v>597.02</v>
      </c>
      <c r="E248" s="160" t="str">
        <f t="shared" si="14"/>
        <v/>
      </c>
      <c r="F248" s="162" t="str">
        <f t="shared" si="15"/>
        <v>оплачено</v>
      </c>
      <c r="G248" s="450"/>
      <c r="H248" s="43"/>
      <c r="I248" s="1"/>
      <c r="J248" s="366"/>
      <c r="K248" s="1"/>
      <c r="L248" s="1"/>
      <c r="M248" s="44"/>
      <c r="O248" s="1"/>
      <c r="P248" s="1"/>
      <c r="Q248" s="1"/>
      <c r="R248" s="1"/>
      <c r="S248" s="111"/>
    </row>
    <row r="249" spans="1:19">
      <c r="A249" s="409">
        <v>43791</v>
      </c>
      <c r="B249" s="161" t="s">
        <v>155</v>
      </c>
      <c r="C249" s="98">
        <v>343.12</v>
      </c>
      <c r="D249" s="98">
        <v>343.12</v>
      </c>
      <c r="E249" s="160" t="str">
        <f t="shared" si="14"/>
        <v/>
      </c>
      <c r="F249" s="162" t="str">
        <f t="shared" si="15"/>
        <v>оплачено</v>
      </c>
      <c r="G249" s="450"/>
      <c r="H249" s="43"/>
      <c r="I249" s="1"/>
      <c r="J249" s="366"/>
      <c r="K249" s="1"/>
      <c r="L249" s="1"/>
      <c r="M249" s="44"/>
      <c r="O249" s="1"/>
      <c r="P249" s="1"/>
      <c r="Q249" s="1"/>
      <c r="R249" s="1"/>
      <c r="S249" s="111"/>
    </row>
    <row r="250" spans="1:19">
      <c r="A250" s="409">
        <v>43802</v>
      </c>
      <c r="B250" s="161" t="s">
        <v>155</v>
      </c>
      <c r="C250" s="275">
        <v>130.5</v>
      </c>
      <c r="D250" s="275">
        <v>130.5</v>
      </c>
      <c r="E250" s="160" t="str">
        <f t="shared" si="14"/>
        <v/>
      </c>
      <c r="F250" s="162" t="str">
        <f t="shared" si="15"/>
        <v>оплачено</v>
      </c>
      <c r="G250" s="450"/>
      <c r="H250" s="43"/>
      <c r="I250" s="1"/>
      <c r="J250" s="366"/>
      <c r="K250" s="1"/>
      <c r="L250" s="1"/>
      <c r="M250" s="44"/>
      <c r="O250" s="1"/>
      <c r="P250" s="1"/>
      <c r="Q250" s="1"/>
      <c r="R250" s="1"/>
      <c r="S250" s="111"/>
    </row>
    <row r="251" spans="1:19">
      <c r="A251" s="409">
        <v>43803</v>
      </c>
      <c r="B251" s="161" t="s">
        <v>133</v>
      </c>
      <c r="C251" s="275">
        <v>327.60000000000002</v>
      </c>
      <c r="D251" s="275">
        <v>327.60000000000002</v>
      </c>
      <c r="E251" s="160" t="str">
        <f t="shared" si="14"/>
        <v/>
      </c>
      <c r="F251" s="162" t="str">
        <f t="shared" si="15"/>
        <v>оплачено</v>
      </c>
      <c r="G251" s="450"/>
      <c r="H251" s="43"/>
      <c r="I251" s="1"/>
      <c r="J251" s="366"/>
      <c r="K251" s="1"/>
      <c r="L251" s="1"/>
      <c r="M251" s="44"/>
      <c r="O251" s="1"/>
      <c r="P251" s="1"/>
      <c r="Q251" s="1"/>
      <c r="R251" s="1"/>
      <c r="S251" s="111"/>
    </row>
    <row r="252" spans="1:19">
      <c r="A252" s="409">
        <v>43774</v>
      </c>
      <c r="B252" s="161" t="s">
        <v>215</v>
      </c>
      <c r="C252" s="275">
        <v>1439.29</v>
      </c>
      <c r="D252" s="275">
        <v>1439.29</v>
      </c>
      <c r="E252" s="160" t="str">
        <f t="shared" si="14"/>
        <v/>
      </c>
      <c r="F252" s="162" t="str">
        <f t="shared" si="15"/>
        <v>оплачено</v>
      </c>
      <c r="G252" s="450"/>
      <c r="H252" s="43"/>
      <c r="I252" s="1"/>
      <c r="J252" s="366"/>
      <c r="K252" s="1"/>
      <c r="L252" s="1"/>
      <c r="M252" s="44"/>
      <c r="O252" s="1"/>
      <c r="P252" s="1"/>
      <c r="Q252" s="1"/>
      <c r="R252" s="1"/>
      <c r="S252" s="111"/>
    </row>
    <row r="253" spans="1:19">
      <c r="A253" s="409">
        <v>43815</v>
      </c>
      <c r="B253" s="161" t="s">
        <v>221</v>
      </c>
      <c r="C253" s="275">
        <v>170.14</v>
      </c>
      <c r="D253" s="275">
        <v>170.14</v>
      </c>
      <c r="E253" s="160" t="str">
        <f t="shared" si="14"/>
        <v/>
      </c>
      <c r="F253" s="162" t="str">
        <f t="shared" si="15"/>
        <v>оплачено</v>
      </c>
      <c r="G253" s="450"/>
      <c r="H253" s="43"/>
      <c r="I253" s="1"/>
      <c r="J253" s="366"/>
      <c r="K253" s="1"/>
      <c r="L253" s="1"/>
      <c r="M253" s="44"/>
      <c r="O253" s="1"/>
      <c r="P253" s="1"/>
      <c r="Q253" s="1"/>
      <c r="R253" s="1"/>
      <c r="S253" s="111"/>
    </row>
    <row r="254" spans="1:19">
      <c r="A254" s="409">
        <v>43823</v>
      </c>
      <c r="B254" s="161" t="s">
        <v>205</v>
      </c>
      <c r="C254" s="275">
        <v>170.83</v>
      </c>
      <c r="D254" s="161"/>
      <c r="E254" s="160">
        <f t="shared" si="14"/>
        <v>170.83</v>
      </c>
      <c r="F254" s="162" t="str">
        <f t="shared" si="15"/>
        <v>ожидается оплата</v>
      </c>
      <c r="G254" s="450" t="s">
        <v>218</v>
      </c>
      <c r="H254" s="43"/>
      <c r="I254" s="1"/>
      <c r="J254" s="366"/>
      <c r="K254" s="1"/>
      <c r="L254" s="1"/>
      <c r="M254" s="44"/>
      <c r="O254" s="1"/>
      <c r="P254" s="1"/>
      <c r="Q254" s="1"/>
      <c r="R254" s="1"/>
      <c r="S254" s="111"/>
    </row>
    <row r="255" spans="1:19">
      <c r="A255" s="409">
        <v>43810</v>
      </c>
      <c r="B255" s="161" t="s">
        <v>224</v>
      </c>
      <c r="C255" s="275">
        <v>65</v>
      </c>
      <c r="D255" s="161">
        <v>65</v>
      </c>
      <c r="E255" s="160" t="str">
        <f t="shared" si="14"/>
        <v/>
      </c>
      <c r="F255" s="162" t="str">
        <f t="shared" si="15"/>
        <v>оплачено</v>
      </c>
      <c r="G255" s="450"/>
      <c r="H255" s="43"/>
      <c r="I255" s="1"/>
      <c r="J255" s="366"/>
      <c r="K255" s="1"/>
      <c r="L255" s="1"/>
      <c r="M255" s="44"/>
      <c r="O255" s="1"/>
      <c r="P255" s="1"/>
      <c r="Q255" s="1"/>
      <c r="R255" s="1"/>
      <c r="S255" s="111"/>
    </row>
    <row r="256" spans="1:19">
      <c r="A256" s="409">
        <v>43825</v>
      </c>
      <c r="B256" s="161" t="s">
        <v>205</v>
      </c>
      <c r="C256" s="275">
        <v>159.16999999999999</v>
      </c>
      <c r="D256" s="275">
        <v>159.16999999999999</v>
      </c>
      <c r="E256" s="160" t="str">
        <f t="shared" si="14"/>
        <v/>
      </c>
      <c r="F256" s="162" t="str">
        <f t="shared" si="15"/>
        <v>оплачено</v>
      </c>
      <c r="G256" s="450"/>
      <c r="H256" s="43"/>
      <c r="I256" s="1"/>
      <c r="J256" s="366"/>
      <c r="K256" s="1"/>
      <c r="L256" s="1"/>
      <c r="M256" s="44"/>
      <c r="O256" s="1"/>
      <c r="P256" s="1"/>
      <c r="Q256" s="1"/>
      <c r="R256" s="1"/>
      <c r="S256" s="111"/>
    </row>
    <row r="257" spans="1:19">
      <c r="A257" s="410"/>
      <c r="B257" s="161"/>
      <c r="C257" s="161"/>
      <c r="D257" s="161"/>
      <c r="E257" s="160" t="str">
        <f t="shared" si="14"/>
        <v/>
      </c>
      <c r="F257" s="162" t="str">
        <f t="shared" si="15"/>
        <v/>
      </c>
      <c r="G257" s="450"/>
      <c r="H257" s="43"/>
      <c r="I257" s="1"/>
      <c r="J257" s="366"/>
      <c r="K257" s="1"/>
      <c r="L257" s="1"/>
      <c r="M257" s="44"/>
      <c r="O257" s="1"/>
      <c r="P257" s="1"/>
      <c r="Q257" s="1"/>
      <c r="R257" s="1"/>
      <c r="S257" s="111"/>
    </row>
    <row r="258" spans="1:19">
      <c r="A258" s="411"/>
      <c r="B258" s="161"/>
      <c r="C258" s="161"/>
      <c r="D258" s="161"/>
      <c r="E258" s="160" t="str">
        <f t="shared" si="14"/>
        <v/>
      </c>
      <c r="F258" s="162" t="str">
        <f t="shared" si="15"/>
        <v/>
      </c>
      <c r="G258" s="450"/>
      <c r="H258" s="43"/>
      <c r="I258" s="1"/>
      <c r="J258" s="366"/>
      <c r="K258" s="1"/>
      <c r="L258" s="1"/>
      <c r="M258" s="44"/>
      <c r="O258" s="1"/>
      <c r="P258" s="1"/>
      <c r="Q258" s="1"/>
      <c r="R258" s="1"/>
      <c r="S258" s="111"/>
    </row>
    <row r="259" spans="1:19">
      <c r="A259" s="411"/>
      <c r="B259" s="161"/>
      <c r="C259" s="161"/>
      <c r="D259" s="161"/>
      <c r="E259" s="160" t="str">
        <f t="shared" si="14"/>
        <v/>
      </c>
      <c r="F259" s="162" t="str">
        <f t="shared" si="15"/>
        <v/>
      </c>
      <c r="G259" s="450"/>
      <c r="H259" s="43"/>
      <c r="I259" s="1"/>
      <c r="J259" s="366"/>
      <c r="K259" s="1"/>
      <c r="L259" s="1"/>
      <c r="M259" s="44"/>
      <c r="O259" s="1"/>
      <c r="P259" s="1"/>
      <c r="Q259" s="1"/>
      <c r="R259" s="1"/>
      <c r="S259" s="111"/>
    </row>
    <row r="260" spans="1:19">
      <c r="A260" s="410"/>
      <c r="B260" s="161"/>
      <c r="C260" s="161"/>
      <c r="D260" s="161"/>
      <c r="E260" s="160" t="str">
        <f t="shared" si="14"/>
        <v/>
      </c>
      <c r="F260" s="162" t="str">
        <f t="shared" si="15"/>
        <v/>
      </c>
      <c r="G260" s="450"/>
      <c r="H260" s="43"/>
      <c r="I260" s="1"/>
      <c r="J260" s="366"/>
      <c r="K260" s="1"/>
      <c r="L260" s="1"/>
      <c r="M260" s="44"/>
      <c r="O260" s="1"/>
      <c r="P260" s="1"/>
      <c r="Q260" s="1"/>
      <c r="R260" s="1"/>
      <c r="S260" s="111"/>
    </row>
    <row r="261" spans="1:19" ht="15.75" thickBot="1">
      <c r="A261" s="426"/>
      <c r="B261" s="357"/>
      <c r="C261" s="358"/>
      <c r="D261" s="358"/>
      <c r="E261" s="160" t="str">
        <f t="shared" si="14"/>
        <v/>
      </c>
      <c r="F261" s="162" t="str">
        <f t="shared" si="15"/>
        <v/>
      </c>
      <c r="G261" s="451"/>
      <c r="H261" s="43"/>
      <c r="I261" s="1"/>
      <c r="J261" s="366"/>
      <c r="K261" s="1"/>
      <c r="L261" s="1"/>
      <c r="M261" s="44"/>
      <c r="O261" s="1"/>
      <c r="P261" s="1"/>
      <c r="Q261" s="1"/>
      <c r="R261" s="1"/>
      <c r="S261" s="111"/>
    </row>
    <row r="262" spans="1:19" ht="15.75" thickTop="1">
      <c r="A262" s="554"/>
      <c r="B262" s="352"/>
      <c r="C262" s="353"/>
      <c r="D262" s="353"/>
      <c r="E262" s="354"/>
      <c r="F262" s="352"/>
      <c r="G262" s="376"/>
      <c r="H262" s="1039" t="s">
        <v>16</v>
      </c>
      <c r="I262" s="1041" t="s">
        <v>17</v>
      </c>
      <c r="J262" s="1041" t="s">
        <v>21</v>
      </c>
      <c r="K262" s="1041"/>
      <c r="L262" s="1043" t="s">
        <v>93</v>
      </c>
      <c r="M262" s="1045" t="s">
        <v>95</v>
      </c>
      <c r="O262" s="1"/>
      <c r="P262" s="1"/>
      <c r="Q262" s="1"/>
      <c r="R262" s="1"/>
      <c r="S262" s="111"/>
    </row>
    <row r="263" spans="1:19" ht="24">
      <c r="A263" s="413"/>
      <c r="B263" s="201"/>
      <c r="C263" s="201"/>
      <c r="D263" s="201"/>
      <c r="E263" s="216"/>
      <c r="F263" s="201"/>
      <c r="G263" s="201"/>
      <c r="H263" s="1040"/>
      <c r="I263" s="1042"/>
      <c r="J263" s="587" t="s">
        <v>21</v>
      </c>
      <c r="K263" s="587" t="s">
        <v>25</v>
      </c>
      <c r="L263" s="1044"/>
      <c r="M263" s="1046"/>
      <c r="O263" s="1"/>
      <c r="P263" s="1"/>
      <c r="Q263" s="1"/>
      <c r="R263" s="1"/>
      <c r="S263" s="111"/>
    </row>
    <row r="264" spans="1:19">
      <c r="A264" s="415"/>
      <c r="B264" s="199"/>
      <c r="C264" s="288"/>
      <c r="D264" s="232"/>
      <c r="E264" s="84"/>
      <c r="F264" s="199"/>
      <c r="G264" s="199"/>
      <c r="H264" s="347" t="s">
        <v>163</v>
      </c>
      <c r="I264" s="94">
        <v>2420.3999999999996</v>
      </c>
      <c r="J264" s="94"/>
      <c r="K264" s="297"/>
      <c r="L264" s="96"/>
      <c r="M264" s="104"/>
      <c r="O264" s="1"/>
      <c r="P264" s="1"/>
      <c r="Q264" s="1"/>
      <c r="R264" s="1"/>
      <c r="S264" s="111"/>
    </row>
    <row r="265" spans="1:19">
      <c r="A265" s="428"/>
      <c r="B265" s="199"/>
      <c r="C265" s="199"/>
      <c r="D265" s="273"/>
      <c r="E265" s="366"/>
      <c r="F265" s="84"/>
      <c r="G265" s="366"/>
      <c r="H265" s="347" t="s">
        <v>192</v>
      </c>
      <c r="I265" s="94"/>
      <c r="J265" s="94"/>
      <c r="K265" s="94"/>
      <c r="L265" s="96"/>
      <c r="M265" s="104"/>
      <c r="O265" s="1"/>
      <c r="P265" s="1"/>
      <c r="Q265" s="1"/>
      <c r="R265" s="1"/>
      <c r="S265" s="111"/>
    </row>
    <row r="266" spans="1:19">
      <c r="A266" s="428"/>
      <c r="B266" s="366"/>
      <c r="C266" s="199"/>
      <c r="D266" s="273"/>
      <c r="E266" s="366"/>
      <c r="F266" s="366"/>
      <c r="G266" s="366"/>
      <c r="H266" s="347" t="s">
        <v>199</v>
      </c>
      <c r="I266" s="298"/>
      <c r="J266" s="94"/>
      <c r="K266" s="299"/>
      <c r="L266" s="299"/>
      <c r="M266" s="104"/>
      <c r="O266" s="1"/>
      <c r="P266" s="1"/>
      <c r="Q266" s="1"/>
      <c r="R266" s="1"/>
      <c r="S266" s="111"/>
    </row>
    <row r="267" spans="1:19">
      <c r="A267" s="428"/>
      <c r="B267" s="1"/>
      <c r="C267" s="284"/>
      <c r="D267" s="273"/>
      <c r="E267" s="366"/>
      <c r="F267" s="366"/>
      <c r="G267" s="84"/>
      <c r="H267" s="347" t="s">
        <v>209</v>
      </c>
      <c r="I267" s="299"/>
      <c r="J267" s="300"/>
      <c r="K267" s="300"/>
      <c r="L267" s="299"/>
      <c r="M267" s="104"/>
      <c r="O267" s="1"/>
      <c r="P267" s="1"/>
      <c r="Q267" s="1"/>
      <c r="R267" s="1"/>
      <c r="S267" s="111"/>
    </row>
    <row r="268" spans="1:19">
      <c r="A268" s="428"/>
      <c r="B268" s="199"/>
      <c r="C268" s="1"/>
      <c r="D268" s="273"/>
      <c r="E268" s="366"/>
      <c r="F268" s="366"/>
      <c r="G268" s="366"/>
      <c r="H268" s="348" t="s">
        <v>210</v>
      </c>
      <c r="I268" s="300"/>
      <c r="J268" s="299"/>
      <c r="K268" s="300"/>
      <c r="L268" s="299"/>
      <c r="M268" s="104"/>
      <c r="O268" s="1"/>
      <c r="P268" s="1"/>
      <c r="Q268" s="1"/>
      <c r="R268" s="1"/>
      <c r="S268" s="111"/>
    </row>
    <row r="269" spans="1:19" ht="15.75" thickBot="1">
      <c r="A269" s="428"/>
      <c r="B269" s="199"/>
      <c r="C269" s="1"/>
      <c r="D269" s="273"/>
      <c r="E269" s="366"/>
      <c r="F269" s="366"/>
      <c r="G269" s="366"/>
      <c r="H269" s="379" t="s">
        <v>211</v>
      </c>
      <c r="I269" s="380"/>
      <c r="J269" s="432"/>
      <c r="K269" s="381"/>
      <c r="L269" s="433"/>
      <c r="M269" s="382"/>
      <c r="O269" s="1"/>
      <c r="P269" s="1"/>
      <c r="Q269" s="1"/>
      <c r="R269" s="1"/>
      <c r="S269" s="111"/>
    </row>
    <row r="270" spans="1:19" ht="15.75" thickTop="1">
      <c r="A270" s="428"/>
      <c r="B270" s="199"/>
      <c r="C270" s="1"/>
      <c r="D270" s="273"/>
      <c r="E270" s="84"/>
      <c r="F270" s="366"/>
      <c r="G270" s="366"/>
      <c r="H270" s="1023" t="s">
        <v>36</v>
      </c>
      <c r="I270" s="1025" t="s">
        <v>178</v>
      </c>
      <c r="J270" s="1026"/>
      <c r="K270" s="1027"/>
      <c r="L270" s="1031" t="s">
        <v>159</v>
      </c>
      <c r="M270" s="1032"/>
      <c r="O270" s="1"/>
      <c r="P270" s="1"/>
      <c r="Q270" s="1"/>
      <c r="R270" s="1"/>
      <c r="S270" s="111"/>
    </row>
    <row r="271" spans="1:19">
      <c r="A271" s="428"/>
      <c r="B271" s="199"/>
      <c r="C271" s="284"/>
      <c r="D271" s="273"/>
      <c r="E271" s="284"/>
      <c r="F271" s="366"/>
      <c r="G271" s="378"/>
      <c r="H271" s="1024"/>
      <c r="I271" s="1028"/>
      <c r="J271" s="1029"/>
      <c r="K271" s="1030"/>
      <c r="L271" s="1033"/>
      <c r="M271" s="1034"/>
      <c r="O271" s="1"/>
      <c r="P271" s="1"/>
      <c r="Q271" s="1"/>
      <c r="R271" s="1"/>
      <c r="S271" s="111"/>
    </row>
    <row r="272" spans="1:19">
      <c r="A272" s="428"/>
      <c r="B272" s="199"/>
      <c r="C272" s="199"/>
      <c r="D272" s="273"/>
      <c r="E272" s="199"/>
      <c r="F272" s="366"/>
      <c r="G272" s="378"/>
      <c r="H272" s="350" t="str">
        <f>IF(K272="","не нужно","оплачено")</f>
        <v>оплачено</v>
      </c>
      <c r="I272" s="1035" t="s">
        <v>47</v>
      </c>
      <c r="J272" s="1035"/>
      <c r="K272" s="594">
        <v>28.88</v>
      </c>
      <c r="L272" s="282">
        <v>43814</v>
      </c>
      <c r="M272" s="44" t="s">
        <v>200</v>
      </c>
      <c r="O272" s="1"/>
      <c r="P272" s="1"/>
      <c r="Q272" s="1"/>
      <c r="R272" s="1"/>
      <c r="S272" s="111"/>
    </row>
    <row r="273" spans="1:19">
      <c r="A273" s="428"/>
      <c r="B273" s="366"/>
      <c r="C273" s="274"/>
      <c r="D273" s="273"/>
      <c r="E273" s="274"/>
      <c r="F273" s="366"/>
      <c r="G273" s="366"/>
      <c r="H273" s="350" t="str">
        <f t="shared" ref="H273:H282" si="16">IF(K273="","не нужно","оплачено")</f>
        <v>не нужно</v>
      </c>
      <c r="I273" s="1020" t="s">
        <v>51</v>
      </c>
      <c r="J273" s="1020"/>
      <c r="K273" s="595"/>
      <c r="L273" s="282">
        <v>43814</v>
      </c>
      <c r="M273" s="44" t="s">
        <v>200</v>
      </c>
      <c r="O273" s="1"/>
      <c r="P273" s="1"/>
      <c r="Q273" s="1"/>
      <c r="R273" s="1"/>
      <c r="S273" s="111"/>
    </row>
    <row r="274" spans="1:19">
      <c r="A274" s="406"/>
      <c r="B274" s="366"/>
      <c r="C274" s="366"/>
      <c r="D274" s="273"/>
      <c r="E274" s="199"/>
      <c r="F274" s="366"/>
      <c r="G274" s="366"/>
      <c r="H274" s="350" t="str">
        <f t="shared" si="16"/>
        <v>оплачено</v>
      </c>
      <c r="I274" s="1020" t="s">
        <v>52</v>
      </c>
      <c r="J274" s="1020"/>
      <c r="K274" s="595">
        <v>0.5</v>
      </c>
      <c r="L274" s="282">
        <v>43814</v>
      </c>
      <c r="M274" s="44" t="s">
        <v>200</v>
      </c>
      <c r="O274" s="1"/>
      <c r="P274" s="1"/>
      <c r="Q274" s="1"/>
      <c r="R274" s="1"/>
      <c r="S274" s="111"/>
    </row>
    <row r="275" spans="1:19">
      <c r="A275" s="406"/>
      <c r="B275" s="366"/>
      <c r="C275" s="366"/>
      <c r="D275" s="273"/>
      <c r="E275" s="366"/>
      <c r="F275" s="366"/>
      <c r="G275" s="366"/>
      <c r="H275" s="350" t="str">
        <f t="shared" si="16"/>
        <v>оплачено</v>
      </c>
      <c r="I275" s="1020" t="s">
        <v>49</v>
      </c>
      <c r="J275" s="1020"/>
      <c r="K275" s="595">
        <v>66.75</v>
      </c>
      <c r="L275" s="282">
        <v>43819</v>
      </c>
      <c r="M275" s="44" t="s">
        <v>201</v>
      </c>
      <c r="O275" s="1"/>
      <c r="P275" s="1"/>
      <c r="Q275" s="1"/>
      <c r="R275" s="1"/>
      <c r="S275" s="111"/>
    </row>
    <row r="276" spans="1:19">
      <c r="A276" s="406"/>
      <c r="B276" s="366"/>
      <c r="C276" s="366"/>
      <c r="D276" s="273"/>
      <c r="E276" s="366"/>
      <c r="F276" s="366"/>
      <c r="G276" s="366"/>
      <c r="H276" s="350" t="str">
        <f t="shared" si="16"/>
        <v>не нужно</v>
      </c>
      <c r="I276" s="1017" t="s">
        <v>59</v>
      </c>
      <c r="J276" s="1017"/>
      <c r="K276" s="457"/>
      <c r="L276" s="302" t="s">
        <v>177</v>
      </c>
      <c r="M276" s="44" t="s">
        <v>200</v>
      </c>
      <c r="O276" s="1"/>
      <c r="P276" s="1"/>
      <c r="Q276" s="1"/>
      <c r="R276" s="1"/>
      <c r="S276" s="111"/>
    </row>
    <row r="277" spans="1:19">
      <c r="A277" s="406"/>
      <c r="B277" s="199"/>
      <c r="C277" s="199"/>
      <c r="D277" s="273"/>
      <c r="E277" s="199"/>
      <c r="F277" s="366"/>
      <c r="G277" s="366"/>
      <c r="H277" s="350" t="str">
        <f t="shared" si="16"/>
        <v>оплачено</v>
      </c>
      <c r="I277" s="1021" t="s">
        <v>68</v>
      </c>
      <c r="J277" s="1022"/>
      <c r="K277" s="595">
        <v>7.75</v>
      </c>
      <c r="L277" s="282">
        <v>43819</v>
      </c>
      <c r="M277" s="44" t="s">
        <v>200</v>
      </c>
      <c r="O277" s="1"/>
      <c r="P277" s="1"/>
      <c r="Q277" s="1"/>
      <c r="R277" s="1"/>
      <c r="S277" s="111"/>
    </row>
    <row r="278" spans="1:19">
      <c r="A278" s="406"/>
      <c r="B278" s="199"/>
      <c r="C278" s="366"/>
      <c r="D278" s="273"/>
      <c r="E278" s="199"/>
      <c r="F278" s="366"/>
      <c r="G278" s="366"/>
      <c r="H278" s="350" t="str">
        <f t="shared" si="16"/>
        <v>не нужно</v>
      </c>
      <c r="I278" s="584" t="s">
        <v>174</v>
      </c>
      <c r="J278" s="585"/>
      <c r="K278" s="595"/>
      <c r="L278" s="282">
        <v>43813</v>
      </c>
      <c r="M278" s="44" t="s">
        <v>200</v>
      </c>
      <c r="O278" s="1"/>
      <c r="P278" s="1"/>
      <c r="Q278" s="1"/>
      <c r="R278" s="1"/>
      <c r="S278" s="111"/>
    </row>
    <row r="279" spans="1:19">
      <c r="A279" s="406"/>
      <c r="B279" s="199"/>
      <c r="C279" s="366"/>
      <c r="D279" s="273"/>
      <c r="E279" s="199"/>
      <c r="F279" s="366"/>
      <c r="G279" s="366"/>
      <c r="H279" s="350" t="str">
        <f t="shared" si="16"/>
        <v>оплачено</v>
      </c>
      <c r="I279" s="584" t="s">
        <v>176</v>
      </c>
      <c r="J279" s="585"/>
      <c r="K279" s="595">
        <v>286.97000000000003</v>
      </c>
      <c r="L279" s="282">
        <v>43819</v>
      </c>
      <c r="M279" s="44" t="s">
        <v>200</v>
      </c>
      <c r="O279" s="1"/>
      <c r="P279" s="1"/>
      <c r="Q279" s="1"/>
      <c r="R279" s="1"/>
      <c r="S279" s="111"/>
    </row>
    <row r="280" spans="1:19">
      <c r="A280" s="406"/>
      <c r="B280" s="199"/>
      <c r="C280" s="366"/>
      <c r="D280" s="273"/>
      <c r="E280" s="232"/>
      <c r="F280" s="366"/>
      <c r="G280" s="366"/>
      <c r="H280" s="350" t="str">
        <f t="shared" si="16"/>
        <v>оплачено</v>
      </c>
      <c r="I280" s="1021" t="s">
        <v>81</v>
      </c>
      <c r="J280" s="1022"/>
      <c r="K280" s="595">
        <v>386.79</v>
      </c>
      <c r="L280" s="282" t="s">
        <v>206</v>
      </c>
      <c r="M280" s="44" t="s">
        <v>200</v>
      </c>
      <c r="O280" s="1"/>
      <c r="P280" s="1"/>
      <c r="Q280" s="1"/>
      <c r="R280" s="1"/>
      <c r="S280" s="111"/>
    </row>
    <row r="281" spans="1:19">
      <c r="A281" s="406"/>
      <c r="B281" s="199"/>
      <c r="C281" s="366"/>
      <c r="D281" s="273"/>
      <c r="E281" s="232"/>
      <c r="F281" s="366"/>
      <c r="G281" s="366"/>
      <c r="H281" s="350" t="str">
        <f t="shared" si="16"/>
        <v>оплачено</v>
      </c>
      <c r="I281" s="1021" t="s">
        <v>53</v>
      </c>
      <c r="J281" s="1022"/>
      <c r="K281" s="455">
        <v>10</v>
      </c>
      <c r="L281" s="282" t="s">
        <v>182</v>
      </c>
      <c r="M281" s="44"/>
      <c r="O281" s="1"/>
      <c r="P281" s="1"/>
      <c r="Q281" s="1"/>
      <c r="R281" s="1"/>
      <c r="S281" s="111"/>
    </row>
    <row r="282" spans="1:19">
      <c r="A282" s="406"/>
      <c r="B282" s="199"/>
      <c r="C282" s="366"/>
      <c r="D282" s="273"/>
      <c r="E282" s="232"/>
      <c r="F282" s="366"/>
      <c r="G282" s="366"/>
      <c r="H282" s="350" t="str">
        <f t="shared" si="16"/>
        <v>оплачено</v>
      </c>
      <c r="I282" s="1017" t="s">
        <v>61</v>
      </c>
      <c r="J282" s="1017"/>
      <c r="K282" s="595">
        <v>199.36</v>
      </c>
      <c r="L282" s="282">
        <v>43819</v>
      </c>
      <c r="M282" s="44" t="s">
        <v>200</v>
      </c>
      <c r="O282" s="1"/>
      <c r="P282" s="1"/>
      <c r="Q282" s="1"/>
      <c r="R282" s="1"/>
      <c r="S282" s="111"/>
    </row>
    <row r="283" spans="1:19" ht="15.75" thickBot="1">
      <c r="A283" s="429"/>
      <c r="B283" s="330"/>
      <c r="C283" s="331"/>
      <c r="D283" s="342"/>
      <c r="E283" s="330"/>
      <c r="F283" s="331"/>
      <c r="G283" s="331"/>
      <c r="H283" s="346"/>
      <c r="I283" s="361" t="s">
        <v>179</v>
      </c>
      <c r="J283" s="361">
        <f>SUM(K272:K282)</f>
        <v>987.00000000000011</v>
      </c>
      <c r="K283" s="1018" t="s">
        <v>180</v>
      </c>
      <c r="L283" s="1018"/>
      <c r="M283" s="360">
        <v>0</v>
      </c>
      <c r="O283" s="1"/>
      <c r="P283" s="1"/>
      <c r="Q283" s="1"/>
      <c r="R283" s="1"/>
      <c r="S283" s="111"/>
    </row>
    <row r="284" spans="1:19" ht="16.5" thickTop="1" thickBot="1">
      <c r="A284" s="11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O284" s="1"/>
      <c r="P284" s="1"/>
      <c r="Q284" s="1"/>
      <c r="R284" s="1"/>
      <c r="S284" s="111"/>
    </row>
    <row r="285" spans="1:19">
      <c r="A285" s="1005" t="s">
        <v>28</v>
      </c>
      <c r="B285" s="1006"/>
      <c r="C285" s="1006"/>
      <c r="D285" s="1006"/>
      <c r="E285" s="1006"/>
      <c r="F285" s="1006"/>
      <c r="G285" s="1007"/>
      <c r="H285" s="1008" t="s">
        <v>236</v>
      </c>
      <c r="I285" s="1009"/>
      <c r="J285" s="1009"/>
      <c r="K285" s="1009"/>
      <c r="L285" s="1009"/>
      <c r="M285" s="1010"/>
      <c r="N285" s="811"/>
      <c r="O285" s="811"/>
      <c r="P285" s="811"/>
      <c r="Q285" s="811"/>
      <c r="R285" s="811"/>
      <c r="S285" s="812"/>
    </row>
    <row r="286" spans="1:19">
      <c r="A286" s="813" t="s">
        <v>2</v>
      </c>
      <c r="B286" s="814" t="s">
        <v>34</v>
      </c>
      <c r="C286" s="815" t="s">
        <v>35</v>
      </c>
      <c r="D286" s="815" t="s">
        <v>38</v>
      </c>
      <c r="E286" s="815" t="s">
        <v>42</v>
      </c>
      <c r="F286" s="814" t="s">
        <v>36</v>
      </c>
      <c r="G286" s="816" t="s">
        <v>173</v>
      </c>
      <c r="H286" s="1011"/>
      <c r="I286" s="1012"/>
      <c r="J286" s="817" t="s">
        <v>35</v>
      </c>
      <c r="K286" s="817" t="s">
        <v>38</v>
      </c>
      <c r="L286" s="817" t="s">
        <v>42</v>
      </c>
      <c r="M286" s="816" t="s">
        <v>44</v>
      </c>
      <c r="N286" s="818"/>
      <c r="O286" s="818"/>
      <c r="P286" s="818"/>
      <c r="Q286" s="818"/>
      <c r="R286" s="818"/>
      <c r="S286" s="819"/>
    </row>
    <row r="287" spans="1:19">
      <c r="A287" s="820">
        <v>43835</v>
      </c>
      <c r="B287" s="821" t="s">
        <v>235</v>
      </c>
      <c r="C287" s="822">
        <v>679.7</v>
      </c>
      <c r="D287" s="822">
        <v>679.7</v>
      </c>
      <c r="E287" s="823" t="str">
        <f>IF(C287-D287=0,"",C287-D287)</f>
        <v/>
      </c>
      <c r="F287" s="821" t="str">
        <f>IF(C287=0,"",IF(C287-D287=0,"оплачено","ожидается оплата"))</f>
        <v>оплачено</v>
      </c>
      <c r="G287" s="824"/>
      <c r="H287" s="1013" t="s">
        <v>39</v>
      </c>
      <c r="I287" s="1014"/>
      <c r="J287" s="825">
        <v>2039.02</v>
      </c>
      <c r="K287" s="825">
        <f>1000+1039.02</f>
        <v>2039.02</v>
      </c>
      <c r="L287" s="823">
        <f>J287-K287</f>
        <v>0</v>
      </c>
      <c r="M287" s="826">
        <v>43850</v>
      </c>
      <c r="N287" s="818"/>
      <c r="O287" s="818"/>
      <c r="P287" s="818"/>
      <c r="Q287" s="818"/>
      <c r="R287" s="818"/>
      <c r="S287" s="819"/>
    </row>
    <row r="288" spans="1:19">
      <c r="A288" s="820">
        <v>43839</v>
      </c>
      <c r="B288" s="821" t="s">
        <v>205</v>
      </c>
      <c r="C288" s="822">
        <v>139.15</v>
      </c>
      <c r="D288" s="822">
        <v>139.15</v>
      </c>
      <c r="E288" s="823" t="str">
        <f t="shared" ref="E288:E303" si="17">IF(C288-D288=0,"",C288-D288)</f>
        <v/>
      </c>
      <c r="F288" s="821" t="str">
        <f t="shared" ref="F288:F303" si="18">IF(C288=0,"",IF(C288-D288=0,"оплачено","ожидается оплата"))</f>
        <v>оплачено</v>
      </c>
      <c r="G288" s="824"/>
      <c r="H288" s="1013" t="s">
        <v>40</v>
      </c>
      <c r="I288" s="1014"/>
      <c r="J288" s="827">
        <v>918.57</v>
      </c>
      <c r="K288" s="827">
        <v>918.57</v>
      </c>
      <c r="L288" s="823">
        <f>J288-K288</f>
        <v>0</v>
      </c>
      <c r="M288" s="826">
        <v>43857</v>
      </c>
      <c r="N288" s="818"/>
      <c r="O288" s="818"/>
      <c r="P288" s="818"/>
      <c r="Q288" s="818"/>
      <c r="R288" s="818"/>
      <c r="S288" s="819"/>
    </row>
    <row r="289" spans="1:19">
      <c r="A289" s="820">
        <v>43839</v>
      </c>
      <c r="B289" s="821" t="s">
        <v>239</v>
      </c>
      <c r="C289" s="822">
        <v>189</v>
      </c>
      <c r="D289" s="822">
        <v>189</v>
      </c>
      <c r="E289" s="823" t="str">
        <f t="shared" si="17"/>
        <v/>
      </c>
      <c r="F289" s="821" t="str">
        <f t="shared" si="18"/>
        <v>оплачено</v>
      </c>
      <c r="G289" s="824"/>
      <c r="H289" s="828"/>
      <c r="I289" s="818"/>
      <c r="J289" s="818">
        <f>SUM(J287:J288)</f>
        <v>2957.59</v>
      </c>
      <c r="K289" s="818"/>
      <c r="L289" s="829"/>
      <c r="M289" s="830"/>
      <c r="N289" s="818"/>
      <c r="O289" s="818"/>
      <c r="P289" s="818"/>
      <c r="Q289" s="818"/>
      <c r="R289" s="818"/>
      <c r="S289" s="819"/>
    </row>
    <row r="290" spans="1:19">
      <c r="A290" s="820">
        <v>43838</v>
      </c>
      <c r="B290" s="821" t="s">
        <v>213</v>
      </c>
      <c r="C290" s="822">
        <v>239.4</v>
      </c>
      <c r="D290" s="822">
        <v>239.4</v>
      </c>
      <c r="E290" s="823" t="str">
        <f t="shared" si="17"/>
        <v/>
      </c>
      <c r="F290" s="821" t="str">
        <f t="shared" si="18"/>
        <v>оплачено</v>
      </c>
      <c r="G290" s="824"/>
      <c r="H290" s="828"/>
      <c r="I290" s="818"/>
      <c r="J290" s="818"/>
      <c r="K290" s="818"/>
      <c r="L290" s="818"/>
      <c r="M290" s="830"/>
      <c r="N290" s="818"/>
      <c r="O290" s="818"/>
      <c r="P290" s="818"/>
      <c r="Q290" s="818"/>
      <c r="R290" s="818"/>
      <c r="S290" s="819"/>
    </row>
    <row r="291" spans="1:19">
      <c r="A291" s="820">
        <v>43844</v>
      </c>
      <c r="B291" s="821" t="s">
        <v>242</v>
      </c>
      <c r="C291" s="721">
        <v>529.29999999999995</v>
      </c>
      <c r="D291" s="721">
        <v>529.29999999999995</v>
      </c>
      <c r="E291" s="823" t="str">
        <f t="shared" si="17"/>
        <v/>
      </c>
      <c r="F291" s="821" t="str">
        <f t="shared" si="18"/>
        <v>оплачено</v>
      </c>
      <c r="G291" s="824"/>
      <c r="H291" s="828"/>
      <c r="I291" s="818"/>
      <c r="J291" s="818"/>
      <c r="K291" s="818"/>
      <c r="L291" s="818"/>
      <c r="M291" s="830"/>
      <c r="N291" s="818"/>
      <c r="O291" s="818"/>
      <c r="P291" s="818"/>
      <c r="Q291" s="818"/>
      <c r="R291" s="818"/>
      <c r="S291" s="819"/>
    </row>
    <row r="292" spans="1:19">
      <c r="A292" s="820">
        <v>43847</v>
      </c>
      <c r="B292" s="821" t="s">
        <v>205</v>
      </c>
      <c r="C292" s="721">
        <v>267.52999999999997</v>
      </c>
      <c r="D292" s="721">
        <v>267.52999999999997</v>
      </c>
      <c r="E292" s="823" t="str">
        <f t="shared" si="17"/>
        <v/>
      </c>
      <c r="F292" s="821" t="str">
        <f t="shared" si="18"/>
        <v>оплачено</v>
      </c>
      <c r="G292" s="824"/>
      <c r="H292" s="828"/>
      <c r="I292" s="818"/>
      <c r="J292" s="818"/>
      <c r="K292" s="818"/>
      <c r="L292" s="818"/>
      <c r="M292" s="830"/>
      <c r="N292" s="818"/>
      <c r="O292" s="818"/>
      <c r="P292" s="818"/>
      <c r="Q292" s="818"/>
      <c r="R292" s="818"/>
      <c r="S292" s="819"/>
    </row>
    <row r="293" spans="1:19">
      <c r="A293" s="820">
        <v>43844</v>
      </c>
      <c r="B293" s="821" t="s">
        <v>29</v>
      </c>
      <c r="C293" s="721">
        <v>152.30000000000001</v>
      </c>
      <c r="D293" s="721">
        <v>152.30000000000001</v>
      </c>
      <c r="E293" s="823" t="str">
        <f t="shared" si="17"/>
        <v/>
      </c>
      <c r="F293" s="821" t="str">
        <f t="shared" si="18"/>
        <v>оплачено</v>
      </c>
      <c r="G293" s="824"/>
      <c r="H293" s="828"/>
      <c r="I293" s="818"/>
      <c r="J293" s="818"/>
      <c r="K293" s="818"/>
      <c r="L293" s="818"/>
      <c r="M293" s="830"/>
      <c r="N293" s="818"/>
      <c r="O293" s="818"/>
      <c r="P293" s="818"/>
      <c r="Q293" s="818"/>
      <c r="R293" s="818"/>
      <c r="S293" s="819"/>
    </row>
    <row r="294" spans="1:19">
      <c r="A294" s="820">
        <v>43844</v>
      </c>
      <c r="B294" s="821" t="s">
        <v>243</v>
      </c>
      <c r="C294" s="721">
        <v>164.25</v>
      </c>
      <c r="D294" s="721">
        <v>164.25</v>
      </c>
      <c r="E294" s="823" t="str">
        <f t="shared" si="17"/>
        <v/>
      </c>
      <c r="F294" s="821" t="str">
        <f t="shared" si="18"/>
        <v>оплачено</v>
      </c>
      <c r="G294" s="824"/>
      <c r="H294" s="828"/>
      <c r="I294" s="818"/>
      <c r="J294" s="818"/>
      <c r="K294" s="818"/>
      <c r="L294" s="818"/>
      <c r="M294" s="830"/>
      <c r="N294" s="818"/>
      <c r="O294" s="818"/>
      <c r="P294" s="818"/>
      <c r="Q294" s="818"/>
      <c r="R294" s="818"/>
      <c r="S294" s="819"/>
    </row>
    <row r="295" spans="1:19">
      <c r="A295" s="820">
        <v>43845</v>
      </c>
      <c r="B295" s="821" t="s">
        <v>212</v>
      </c>
      <c r="C295" s="721">
        <v>43.2</v>
      </c>
      <c r="D295" s="721">
        <v>43.2</v>
      </c>
      <c r="E295" s="823" t="str">
        <f t="shared" si="17"/>
        <v/>
      </c>
      <c r="F295" s="821" t="str">
        <f t="shared" si="18"/>
        <v>оплачено</v>
      </c>
      <c r="G295" s="824"/>
      <c r="H295" s="828"/>
      <c r="I295" s="818"/>
      <c r="J295" s="818"/>
      <c r="K295" s="818"/>
      <c r="L295" s="818"/>
      <c r="M295" s="830"/>
      <c r="N295" s="818"/>
      <c r="O295" s="818"/>
      <c r="P295" s="818"/>
      <c r="Q295" s="818"/>
      <c r="R295" s="818"/>
      <c r="S295" s="819"/>
    </row>
    <row r="296" spans="1:19">
      <c r="A296" s="820"/>
      <c r="B296" s="821"/>
      <c r="C296" s="721"/>
      <c r="D296" s="721"/>
      <c r="E296" s="823" t="str">
        <f t="shared" si="17"/>
        <v/>
      </c>
      <c r="F296" s="821" t="str">
        <f t="shared" si="18"/>
        <v/>
      </c>
      <c r="G296" s="824"/>
      <c r="H296" s="828"/>
      <c r="I296" s="818"/>
      <c r="J296" s="818"/>
      <c r="K296" s="818"/>
      <c r="L296" s="818"/>
      <c r="M296" s="830"/>
      <c r="N296" s="818"/>
      <c r="O296" s="818"/>
      <c r="P296" s="818"/>
      <c r="Q296" s="818"/>
      <c r="R296" s="818"/>
      <c r="S296" s="819"/>
    </row>
    <row r="297" spans="1:19">
      <c r="A297" s="820"/>
      <c r="B297" s="821"/>
      <c r="C297" s="721"/>
      <c r="D297" s="821"/>
      <c r="E297" s="823" t="str">
        <f t="shared" si="17"/>
        <v/>
      </c>
      <c r="F297" s="821" t="str">
        <f t="shared" si="18"/>
        <v/>
      </c>
      <c r="G297" s="824"/>
      <c r="H297" s="828"/>
      <c r="I297" s="818"/>
      <c r="J297" s="818"/>
      <c r="K297" s="818"/>
      <c r="L297" s="818"/>
      <c r="M297" s="830"/>
      <c r="N297" s="818"/>
      <c r="O297" s="818"/>
      <c r="P297" s="818"/>
      <c r="Q297" s="818"/>
      <c r="R297" s="818"/>
      <c r="S297" s="819"/>
    </row>
    <row r="298" spans="1:19">
      <c r="A298" s="820"/>
      <c r="B298" s="821"/>
      <c r="C298" s="721"/>
      <c r="D298" s="821"/>
      <c r="E298" s="823" t="str">
        <f t="shared" si="17"/>
        <v/>
      </c>
      <c r="F298" s="821" t="str">
        <f t="shared" si="18"/>
        <v/>
      </c>
      <c r="G298" s="824"/>
      <c r="H298" s="828"/>
      <c r="I298" s="818"/>
      <c r="J298" s="818"/>
      <c r="K298" s="818"/>
      <c r="L298" s="818"/>
      <c r="M298" s="830"/>
      <c r="N298" s="818"/>
      <c r="O298" s="818"/>
      <c r="P298" s="818"/>
      <c r="Q298" s="818"/>
      <c r="R298" s="818"/>
      <c r="S298" s="819"/>
    </row>
    <row r="299" spans="1:19">
      <c r="A299" s="831"/>
      <c r="B299" s="821"/>
      <c r="C299" s="821"/>
      <c r="D299" s="821"/>
      <c r="E299" s="823" t="str">
        <f t="shared" si="17"/>
        <v/>
      </c>
      <c r="F299" s="821" t="str">
        <f t="shared" si="18"/>
        <v/>
      </c>
      <c r="G299" s="824"/>
      <c r="H299" s="828"/>
      <c r="I299" s="818"/>
      <c r="J299" s="818"/>
      <c r="K299" s="818"/>
      <c r="L299" s="818"/>
      <c r="M299" s="830"/>
      <c r="N299" s="818"/>
      <c r="O299" s="972" t="s">
        <v>376</v>
      </c>
      <c r="P299" s="972"/>
      <c r="Q299" s="972"/>
      <c r="R299" s="818"/>
      <c r="S299" s="819"/>
    </row>
    <row r="300" spans="1:19">
      <c r="A300" s="832"/>
      <c r="B300" s="821"/>
      <c r="C300" s="821"/>
      <c r="D300" s="821"/>
      <c r="E300" s="823" t="str">
        <f t="shared" si="17"/>
        <v/>
      </c>
      <c r="F300" s="821" t="str">
        <f t="shared" si="18"/>
        <v/>
      </c>
      <c r="G300" s="824"/>
      <c r="H300" s="828"/>
      <c r="I300" s="818"/>
      <c r="J300" s="818"/>
      <c r="K300" s="818"/>
      <c r="L300" s="818"/>
      <c r="M300" s="830"/>
      <c r="N300" s="818"/>
      <c r="O300" s="972"/>
      <c r="P300" s="972"/>
      <c r="Q300" s="972"/>
      <c r="R300" s="818"/>
      <c r="S300" s="819"/>
    </row>
    <row r="301" spans="1:19">
      <c r="A301" s="832"/>
      <c r="B301" s="821"/>
      <c r="C301" s="821"/>
      <c r="D301" s="821"/>
      <c r="E301" s="823" t="str">
        <f t="shared" si="17"/>
        <v/>
      </c>
      <c r="F301" s="821" t="str">
        <f t="shared" si="18"/>
        <v/>
      </c>
      <c r="G301" s="824"/>
      <c r="H301" s="828"/>
      <c r="I301" s="818"/>
      <c r="J301" s="818"/>
      <c r="K301" s="818"/>
      <c r="L301" s="818"/>
      <c r="M301" s="830"/>
      <c r="N301" s="818"/>
      <c r="O301" s="972"/>
      <c r="P301" s="972"/>
      <c r="Q301" s="972"/>
      <c r="R301" s="818"/>
      <c r="S301" s="819"/>
    </row>
    <row r="302" spans="1:19">
      <c r="A302" s="831"/>
      <c r="B302" s="821"/>
      <c r="C302" s="821"/>
      <c r="D302" s="821"/>
      <c r="E302" s="823" t="str">
        <f t="shared" si="17"/>
        <v/>
      </c>
      <c r="F302" s="821" t="str">
        <f t="shared" si="18"/>
        <v/>
      </c>
      <c r="G302" s="824"/>
      <c r="H302" s="828"/>
      <c r="I302" s="818"/>
      <c r="J302" s="818"/>
      <c r="K302" s="818"/>
      <c r="L302" s="818"/>
      <c r="M302" s="830"/>
      <c r="N302" s="818"/>
      <c r="O302" s="972"/>
      <c r="P302" s="972"/>
      <c r="Q302" s="972"/>
      <c r="R302" s="818"/>
      <c r="S302" s="819"/>
    </row>
    <row r="303" spans="1:19" ht="15.75" thickBot="1">
      <c r="A303" s="833"/>
      <c r="B303" s="834"/>
      <c r="C303" s="835"/>
      <c r="D303" s="835"/>
      <c r="E303" s="823" t="str">
        <f t="shared" si="17"/>
        <v/>
      </c>
      <c r="F303" s="821" t="str">
        <f t="shared" si="18"/>
        <v/>
      </c>
      <c r="G303" s="836"/>
      <c r="H303" s="828"/>
      <c r="I303" s="818"/>
      <c r="J303" s="818"/>
      <c r="K303" s="818"/>
      <c r="L303" s="818"/>
      <c r="M303" s="830"/>
      <c r="N303" s="818"/>
      <c r="O303" s="972"/>
      <c r="P303" s="972"/>
      <c r="Q303" s="972"/>
      <c r="R303" s="818"/>
      <c r="S303" s="819"/>
    </row>
    <row r="304" spans="1:19" ht="15.75" thickTop="1">
      <c r="A304" s="837"/>
      <c r="B304" s="838"/>
      <c r="C304" s="839"/>
      <c r="D304" s="839"/>
      <c r="E304" s="840"/>
      <c r="F304" s="838"/>
      <c r="G304" s="841"/>
      <c r="H304" s="997" t="s">
        <v>16</v>
      </c>
      <c r="I304" s="999" t="s">
        <v>17</v>
      </c>
      <c r="J304" s="999" t="s">
        <v>21</v>
      </c>
      <c r="K304" s="999"/>
      <c r="L304" s="1001" t="s">
        <v>93</v>
      </c>
      <c r="M304" s="1003" t="s">
        <v>95</v>
      </c>
      <c r="N304" s="818"/>
      <c r="O304" s="972"/>
      <c r="P304" s="972"/>
      <c r="Q304" s="972"/>
      <c r="R304" s="818"/>
      <c r="S304" s="819"/>
    </row>
    <row r="305" spans="1:19" ht="24">
      <c r="A305" s="842"/>
      <c r="B305" s="843"/>
      <c r="C305" s="843"/>
      <c r="D305" s="843"/>
      <c r="E305" s="844"/>
      <c r="F305" s="843"/>
      <c r="G305" s="843"/>
      <c r="H305" s="998"/>
      <c r="I305" s="1000"/>
      <c r="J305" s="845" t="s">
        <v>21</v>
      </c>
      <c r="K305" s="845" t="s">
        <v>25</v>
      </c>
      <c r="L305" s="1002"/>
      <c r="M305" s="1004"/>
      <c r="N305" s="818"/>
      <c r="O305" s="972"/>
      <c r="P305" s="972"/>
      <c r="Q305" s="972"/>
      <c r="R305" s="818"/>
      <c r="S305" s="819"/>
    </row>
    <row r="306" spans="1:19">
      <c r="A306" s="846"/>
      <c r="B306" s="847"/>
      <c r="C306" s="848"/>
      <c r="D306" s="849"/>
      <c r="E306" s="829"/>
      <c r="F306" s="847"/>
      <c r="G306" s="847"/>
      <c r="H306" s="850" t="s">
        <v>18</v>
      </c>
      <c r="I306" s="851">
        <v>32809.9</v>
      </c>
      <c r="J306" s="851">
        <v>1675.7199999999998</v>
      </c>
      <c r="K306" s="852">
        <v>1047.01</v>
      </c>
      <c r="L306" s="853">
        <v>52152</v>
      </c>
      <c r="M306" s="854">
        <f>82159.79-I306-J306-K306+L306</f>
        <v>98779.159999999989</v>
      </c>
      <c r="N306" s="818"/>
      <c r="O306" s="972"/>
      <c r="P306" s="972"/>
      <c r="Q306" s="972"/>
      <c r="R306" s="818"/>
      <c r="S306" s="819"/>
    </row>
    <row r="307" spans="1:19">
      <c r="A307" s="855"/>
      <c r="B307" s="847"/>
      <c r="C307" s="847"/>
      <c r="D307" s="856"/>
      <c r="E307" s="818"/>
      <c r="F307" s="829"/>
      <c r="G307" s="818"/>
      <c r="H307" s="850" t="s">
        <v>19</v>
      </c>
      <c r="I307" s="851">
        <v>35259.58</v>
      </c>
      <c r="J307" s="851">
        <v>1363.3000000000002</v>
      </c>
      <c r="K307" s="851">
        <v>1176.05</v>
      </c>
      <c r="L307" s="853">
        <v>40465.950000000004</v>
      </c>
      <c r="M307" s="854">
        <f t="shared" ref="M307:M313" si="19">M306-I307-J307-K307+L307</f>
        <v>101446.18</v>
      </c>
      <c r="N307" s="818"/>
      <c r="O307" s="972"/>
      <c r="P307" s="972"/>
      <c r="Q307" s="972"/>
      <c r="R307" s="818"/>
      <c r="S307" s="819"/>
    </row>
    <row r="308" spans="1:19">
      <c r="A308" s="855"/>
      <c r="B308" s="818"/>
      <c r="C308" s="847"/>
      <c r="D308" s="856"/>
      <c r="E308" s="818"/>
      <c r="F308" s="818"/>
      <c r="G308" s="818"/>
      <c r="H308" s="850" t="s">
        <v>20</v>
      </c>
      <c r="I308" s="857">
        <v>34690.219999999994</v>
      </c>
      <c r="J308" s="851">
        <v>1209.3000000000002</v>
      </c>
      <c r="K308" s="641">
        <v>1213.33</v>
      </c>
      <c r="L308" s="641">
        <v>19306</v>
      </c>
      <c r="M308" s="854">
        <f t="shared" si="19"/>
        <v>83639.329999999987</v>
      </c>
      <c r="N308" s="818"/>
      <c r="O308" s="972"/>
      <c r="P308" s="972"/>
      <c r="Q308" s="972"/>
      <c r="R308" s="818"/>
      <c r="S308" s="819"/>
    </row>
    <row r="309" spans="1:19">
      <c r="A309" s="855"/>
      <c r="B309" s="818"/>
      <c r="C309" s="858"/>
      <c r="D309" s="856"/>
      <c r="E309" s="818"/>
      <c r="F309" s="818"/>
      <c r="G309" s="829"/>
      <c r="H309" s="850" t="s">
        <v>148</v>
      </c>
      <c r="I309" s="641">
        <v>30955.479999999996</v>
      </c>
      <c r="J309" s="852">
        <v>3184.46</v>
      </c>
      <c r="K309" s="852">
        <v>1035.6600000000001</v>
      </c>
      <c r="L309" s="641">
        <v>59195.5</v>
      </c>
      <c r="M309" s="854">
        <f t="shared" si="19"/>
        <v>107659.22999999998</v>
      </c>
      <c r="N309" s="818"/>
      <c r="O309" s="972"/>
      <c r="P309" s="972"/>
      <c r="Q309" s="972"/>
      <c r="R309" s="818"/>
      <c r="S309" s="819"/>
    </row>
    <row r="310" spans="1:19">
      <c r="A310" s="855"/>
      <c r="B310" s="847"/>
      <c r="C310" s="818"/>
      <c r="D310" s="856"/>
      <c r="E310" s="818"/>
      <c r="F310" s="818"/>
      <c r="G310" s="818"/>
      <c r="H310" s="850" t="s">
        <v>162</v>
      </c>
      <c r="I310" s="852">
        <v>31239.439999999995</v>
      </c>
      <c r="J310" s="641">
        <v>2443.4</v>
      </c>
      <c r="K310" s="852">
        <v>1496.52</v>
      </c>
      <c r="L310" s="641">
        <v>40132</v>
      </c>
      <c r="M310" s="854">
        <f t="shared" si="19"/>
        <v>112611.86999999998</v>
      </c>
      <c r="N310" s="818"/>
      <c r="O310" s="972"/>
      <c r="P310" s="972"/>
      <c r="Q310" s="972"/>
      <c r="R310" s="818"/>
      <c r="S310" s="819"/>
    </row>
    <row r="311" spans="1:19">
      <c r="A311" s="855"/>
      <c r="B311" s="847"/>
      <c r="C311" s="818"/>
      <c r="D311" s="856"/>
      <c r="E311" s="818"/>
      <c r="F311" s="818"/>
      <c r="G311" s="818"/>
      <c r="H311" s="859" t="s">
        <v>163</v>
      </c>
      <c r="I311" s="860">
        <v>28986.99</v>
      </c>
      <c r="J311" s="861">
        <v>6271.4999999999991</v>
      </c>
      <c r="K311" s="862">
        <v>1046.56</v>
      </c>
      <c r="L311" s="862">
        <v>22678.1</v>
      </c>
      <c r="M311" s="854">
        <f t="shared" si="19"/>
        <v>98984.919999999984</v>
      </c>
      <c r="N311" s="818"/>
      <c r="O311" s="972"/>
      <c r="P311" s="972"/>
      <c r="Q311" s="972"/>
      <c r="R311" s="818"/>
      <c r="S311" s="819"/>
    </row>
    <row r="312" spans="1:19">
      <c r="A312" s="855"/>
      <c r="B312" s="847"/>
      <c r="C312" s="818"/>
      <c r="D312" s="856"/>
      <c r="E312" s="818"/>
      <c r="F312" s="818"/>
      <c r="G312" s="818"/>
      <c r="H312" s="859" t="s">
        <v>192</v>
      </c>
      <c r="I312" s="860">
        <v>31654.69</v>
      </c>
      <c r="J312" s="861">
        <v>7124.02</v>
      </c>
      <c r="K312" s="862">
        <v>1268.5600000000002</v>
      </c>
      <c r="L312" s="862">
        <v>32888</v>
      </c>
      <c r="M312" s="854">
        <f t="shared" si="19"/>
        <v>91825.64999999998</v>
      </c>
      <c r="N312" s="818"/>
      <c r="O312" s="972"/>
      <c r="P312" s="972"/>
      <c r="Q312" s="972"/>
      <c r="R312" s="818"/>
      <c r="S312" s="819"/>
    </row>
    <row r="313" spans="1:19" ht="15.75" thickBot="1">
      <c r="A313" s="855"/>
      <c r="B313" s="847"/>
      <c r="C313" s="818"/>
      <c r="D313" s="856"/>
      <c r="E313" s="818"/>
      <c r="F313" s="818"/>
      <c r="G313" s="818"/>
      <c r="H313" s="859" t="s">
        <v>199</v>
      </c>
      <c r="I313" s="860">
        <v>28891.4</v>
      </c>
      <c r="J313" s="861">
        <v>8339.34</v>
      </c>
      <c r="K313" s="862">
        <v>1307.53</v>
      </c>
      <c r="L313" s="862">
        <v>36419</v>
      </c>
      <c r="M313" s="854">
        <f t="shared" si="19"/>
        <v>89706.379999999976</v>
      </c>
      <c r="N313" s="818"/>
      <c r="O313" s="972"/>
      <c r="P313" s="972"/>
      <c r="Q313" s="972"/>
      <c r="R313" s="818"/>
      <c r="S313" s="819"/>
    </row>
    <row r="314" spans="1:19" ht="15.75" thickTop="1">
      <c r="A314" s="855"/>
      <c r="B314" s="847"/>
      <c r="C314" s="818"/>
      <c r="D314" s="856"/>
      <c r="E314" s="829"/>
      <c r="F314" s="818"/>
      <c r="G314" s="818"/>
      <c r="H314" s="973" t="s">
        <v>36</v>
      </c>
      <c r="I314" s="975" t="s">
        <v>178</v>
      </c>
      <c r="J314" s="976"/>
      <c r="K314" s="977"/>
      <c r="L314" s="981" t="s">
        <v>159</v>
      </c>
      <c r="M314" s="982"/>
      <c r="N314" s="818"/>
      <c r="O314" s="972"/>
      <c r="P314" s="972"/>
      <c r="Q314" s="972"/>
      <c r="R314" s="818"/>
      <c r="S314" s="819"/>
    </row>
    <row r="315" spans="1:19">
      <c r="A315" s="855"/>
      <c r="B315" s="847"/>
      <c r="C315" s="858"/>
      <c r="D315" s="856"/>
      <c r="E315" s="858"/>
      <c r="F315" s="818"/>
      <c r="G315" s="863"/>
      <c r="H315" s="974"/>
      <c r="I315" s="978"/>
      <c r="J315" s="979"/>
      <c r="K315" s="980"/>
      <c r="L315" s="983"/>
      <c r="M315" s="984"/>
      <c r="N315" s="818"/>
      <c r="O315" s="818"/>
      <c r="P315" s="818"/>
      <c r="Q315" s="818"/>
      <c r="R315" s="818"/>
      <c r="S315" s="819"/>
    </row>
    <row r="316" spans="1:19">
      <c r="A316" s="855"/>
      <c r="B316" s="847"/>
      <c r="C316" s="847"/>
      <c r="D316" s="856"/>
      <c r="E316" s="847"/>
      <c r="F316" s="818"/>
      <c r="G316" s="863"/>
      <c r="H316" s="864" t="s">
        <v>91</v>
      </c>
      <c r="I316" s="985" t="s">
        <v>47</v>
      </c>
      <c r="J316" s="985"/>
      <c r="K316" s="865">
        <v>288.75</v>
      </c>
      <c r="L316" s="866">
        <v>43845</v>
      </c>
      <c r="M316" s="830" t="s">
        <v>171</v>
      </c>
      <c r="N316" s="818"/>
      <c r="O316" s="818"/>
      <c r="P316" s="818"/>
      <c r="Q316" s="818"/>
      <c r="R316" s="818"/>
      <c r="S316" s="819"/>
    </row>
    <row r="317" spans="1:19">
      <c r="A317" s="855"/>
      <c r="B317" s="818"/>
      <c r="C317" s="867"/>
      <c r="D317" s="856"/>
      <c r="E317" s="867"/>
      <c r="F317" s="818"/>
      <c r="G317" s="818"/>
      <c r="H317" s="864" t="s">
        <v>91</v>
      </c>
      <c r="I317" s="986" t="s">
        <v>51</v>
      </c>
      <c r="J317" s="986"/>
      <c r="K317" s="817">
        <v>60.19</v>
      </c>
      <c r="L317" s="866">
        <v>43845</v>
      </c>
      <c r="M317" s="830" t="s">
        <v>171</v>
      </c>
      <c r="N317" s="818"/>
      <c r="O317" s="818"/>
      <c r="P317" s="818"/>
      <c r="Q317" s="818"/>
      <c r="R317" s="818"/>
      <c r="S317" s="819"/>
    </row>
    <row r="318" spans="1:19">
      <c r="A318" s="868"/>
      <c r="B318" s="818"/>
      <c r="C318" s="818"/>
      <c r="D318" s="856"/>
      <c r="E318" s="847"/>
      <c r="F318" s="818"/>
      <c r="G318" s="818"/>
      <c r="H318" s="864" t="s">
        <v>91</v>
      </c>
      <c r="I318" s="986" t="s">
        <v>52</v>
      </c>
      <c r="J318" s="986"/>
      <c r="K318" s="817">
        <v>4.95</v>
      </c>
      <c r="L318" s="866">
        <v>43845</v>
      </c>
      <c r="M318" s="830" t="s">
        <v>171</v>
      </c>
      <c r="N318" s="818"/>
      <c r="O318" s="818"/>
      <c r="P318" s="818"/>
      <c r="Q318" s="818"/>
      <c r="R318" s="818"/>
      <c r="S318" s="819"/>
    </row>
    <row r="319" spans="1:19">
      <c r="A319" s="868"/>
      <c r="B319" s="818"/>
      <c r="C319" s="818"/>
      <c r="D319" s="856"/>
      <c r="E319" s="818"/>
      <c r="F319" s="818"/>
      <c r="G319" s="818"/>
      <c r="H319" s="864" t="s">
        <v>91</v>
      </c>
      <c r="I319" s="986" t="s">
        <v>49</v>
      </c>
      <c r="J319" s="986"/>
      <c r="K319" s="817">
        <v>257</v>
      </c>
      <c r="L319" s="866">
        <v>43850</v>
      </c>
      <c r="M319" s="830" t="s">
        <v>237</v>
      </c>
      <c r="N319" s="818"/>
      <c r="O319" s="818"/>
      <c r="P319" s="818"/>
      <c r="Q319" s="818"/>
      <c r="R319" s="818"/>
      <c r="S319" s="819"/>
    </row>
    <row r="320" spans="1:19">
      <c r="A320" s="868"/>
      <c r="B320" s="818"/>
      <c r="C320" s="818"/>
      <c r="D320" s="856"/>
      <c r="E320" s="818"/>
      <c r="F320" s="818"/>
      <c r="G320" s="818"/>
      <c r="H320" s="864" t="s">
        <v>91</v>
      </c>
      <c r="I320" s="970" t="s">
        <v>59</v>
      </c>
      <c r="J320" s="970"/>
      <c r="K320" s="869">
        <v>1101.6300000000001</v>
      </c>
      <c r="L320" s="870" t="s">
        <v>177</v>
      </c>
      <c r="M320" s="830" t="s">
        <v>171</v>
      </c>
      <c r="N320" s="818"/>
      <c r="O320" s="818"/>
      <c r="P320" s="818"/>
      <c r="Q320" s="818"/>
      <c r="R320" s="818"/>
      <c r="S320" s="819"/>
    </row>
    <row r="321" spans="1:19">
      <c r="A321" s="868"/>
      <c r="B321" s="847"/>
      <c r="C321" s="847"/>
      <c r="D321" s="856"/>
      <c r="E321" s="847"/>
      <c r="F321" s="818"/>
      <c r="G321" s="818"/>
      <c r="H321" s="864" t="s">
        <v>91</v>
      </c>
      <c r="I321" s="968" t="s">
        <v>68</v>
      </c>
      <c r="J321" s="969"/>
      <c r="K321" s="817">
        <v>338.19</v>
      </c>
      <c r="L321" s="866">
        <v>43850</v>
      </c>
      <c r="M321" s="830" t="s">
        <v>171</v>
      </c>
      <c r="N321" s="818"/>
      <c r="O321" s="818"/>
      <c r="P321" s="818"/>
      <c r="Q321" s="818"/>
      <c r="R321" s="818"/>
      <c r="S321" s="819"/>
    </row>
    <row r="322" spans="1:19">
      <c r="A322" s="868"/>
      <c r="B322" s="847"/>
      <c r="C322" s="818"/>
      <c r="D322" s="856"/>
      <c r="E322" s="847"/>
      <c r="F322" s="818"/>
      <c r="G322" s="818"/>
      <c r="H322" s="864" t="s">
        <v>91</v>
      </c>
      <c r="I322" s="871" t="s">
        <v>174</v>
      </c>
      <c r="J322" s="872"/>
      <c r="K322" s="817">
        <f>298.1+160.36</f>
        <v>458.46000000000004</v>
      </c>
      <c r="L322" s="866">
        <v>43845</v>
      </c>
      <c r="M322" s="830" t="s">
        <v>171</v>
      </c>
      <c r="N322" s="818"/>
      <c r="O322" s="818"/>
      <c r="P322" s="818"/>
      <c r="Q322" s="818"/>
      <c r="R322" s="818"/>
      <c r="S322" s="819"/>
    </row>
    <row r="323" spans="1:19">
      <c r="A323" s="868"/>
      <c r="B323" s="847"/>
      <c r="C323" s="818"/>
      <c r="D323" s="856"/>
      <c r="E323" s="847"/>
      <c r="F323" s="818"/>
      <c r="G323" s="818"/>
      <c r="H323" s="864" t="s">
        <v>91</v>
      </c>
      <c r="I323" s="871" t="s">
        <v>176</v>
      </c>
      <c r="J323" s="872"/>
      <c r="K323" s="817">
        <v>474.46</v>
      </c>
      <c r="L323" s="866">
        <v>43849</v>
      </c>
      <c r="M323" s="830" t="s">
        <v>171</v>
      </c>
      <c r="N323" s="818"/>
      <c r="O323" s="818"/>
      <c r="P323" s="818"/>
      <c r="Q323" s="818"/>
      <c r="R323" s="818"/>
      <c r="S323" s="819"/>
    </row>
    <row r="324" spans="1:19">
      <c r="A324" s="868"/>
      <c r="B324" s="847"/>
      <c r="C324" s="818"/>
      <c r="D324" s="856"/>
      <c r="E324" s="849"/>
      <c r="F324" s="818"/>
      <c r="G324" s="818"/>
      <c r="H324" s="864" t="s">
        <v>91</v>
      </c>
      <c r="I324" s="968" t="s">
        <v>81</v>
      </c>
      <c r="J324" s="969"/>
      <c r="K324" s="817">
        <v>1496.82</v>
      </c>
      <c r="L324" s="866">
        <v>43845</v>
      </c>
      <c r="M324" s="830" t="s">
        <v>171</v>
      </c>
      <c r="N324" s="818"/>
      <c r="O324" s="818"/>
      <c r="P324" s="818"/>
      <c r="Q324" s="818"/>
      <c r="R324" s="818"/>
      <c r="S324" s="819"/>
    </row>
    <row r="325" spans="1:19">
      <c r="A325" s="868"/>
      <c r="B325" s="847"/>
      <c r="C325" s="818"/>
      <c r="D325" s="856"/>
      <c r="E325" s="849"/>
      <c r="F325" s="818"/>
      <c r="G325" s="818"/>
      <c r="H325" s="864" t="s">
        <v>91</v>
      </c>
      <c r="I325" s="968" t="s">
        <v>181</v>
      </c>
      <c r="J325" s="969"/>
      <c r="K325" s="817">
        <v>10</v>
      </c>
      <c r="L325" s="866">
        <v>43845</v>
      </c>
      <c r="M325" s="830" t="s">
        <v>171</v>
      </c>
      <c r="N325" s="818"/>
      <c r="O325" s="818"/>
      <c r="P325" s="818"/>
      <c r="Q325" s="818"/>
      <c r="R325" s="818"/>
      <c r="S325" s="819"/>
    </row>
    <row r="326" spans="1:19">
      <c r="A326" s="868"/>
      <c r="B326" s="847"/>
      <c r="C326" s="818"/>
      <c r="D326" s="856"/>
      <c r="E326" s="849"/>
      <c r="F326" s="818"/>
      <c r="G326" s="818"/>
      <c r="H326" s="864" t="s">
        <v>91</v>
      </c>
      <c r="I326" s="970" t="s">
        <v>61</v>
      </c>
      <c r="J326" s="970"/>
      <c r="K326" s="817">
        <f>J289</f>
        <v>2957.59</v>
      </c>
      <c r="L326" s="866">
        <v>43850</v>
      </c>
      <c r="M326" s="830" t="s">
        <v>171</v>
      </c>
      <c r="N326" s="818"/>
      <c r="O326" s="818"/>
      <c r="P326" s="818"/>
      <c r="Q326" s="818"/>
      <c r="R326" s="818"/>
      <c r="S326" s="819"/>
    </row>
    <row r="327" spans="1:19" ht="15.75" thickBot="1">
      <c r="A327" s="873"/>
      <c r="B327" s="874"/>
      <c r="C327" s="875"/>
      <c r="D327" s="876"/>
      <c r="E327" s="874"/>
      <c r="F327" s="875"/>
      <c r="G327" s="875"/>
      <c r="H327" s="877"/>
      <c r="I327" s="875" t="s">
        <v>179</v>
      </c>
      <c r="J327" s="875">
        <f>SUM(K316:K326)</f>
        <v>7448.04</v>
      </c>
      <c r="K327" s="987" t="s">
        <v>180</v>
      </c>
      <c r="L327" s="987"/>
      <c r="M327" s="878">
        <v>0</v>
      </c>
      <c r="N327" s="818"/>
      <c r="O327" s="818"/>
      <c r="P327" s="818"/>
      <c r="Q327" s="818"/>
      <c r="R327" s="818"/>
      <c r="S327" s="819"/>
    </row>
    <row r="328" spans="1:19" ht="15.75" thickTop="1">
      <c r="A328" s="868"/>
      <c r="B328" s="818"/>
      <c r="C328" s="818"/>
      <c r="D328" s="818"/>
      <c r="E328" s="818"/>
      <c r="F328" s="818"/>
      <c r="G328" s="818"/>
      <c r="H328" s="988"/>
      <c r="I328" s="988"/>
      <c r="J328" s="988"/>
      <c r="K328" s="988"/>
      <c r="L328" s="818"/>
      <c r="M328" s="879"/>
      <c r="N328" s="818"/>
      <c r="O328" s="818"/>
      <c r="P328" s="818"/>
      <c r="Q328" s="818"/>
      <c r="R328" s="818"/>
      <c r="S328" s="819"/>
    </row>
    <row r="329" spans="1:19">
      <c r="A329" s="868"/>
      <c r="B329" s="989" t="s">
        <v>238</v>
      </c>
      <c r="C329" s="989"/>
      <c r="D329" s="989"/>
      <c r="E329" s="989"/>
      <c r="F329" s="989"/>
      <c r="G329" s="989"/>
      <c r="H329" s="989"/>
      <c r="I329" s="989"/>
      <c r="J329" s="989"/>
      <c r="K329" s="989"/>
      <c r="L329" s="818"/>
      <c r="M329" s="879"/>
      <c r="N329" s="818"/>
      <c r="O329" s="818"/>
      <c r="P329" s="818"/>
      <c r="Q329" s="818"/>
      <c r="R329" s="818"/>
      <c r="S329" s="819"/>
    </row>
    <row r="330" spans="1:19" ht="15.75" thickBot="1">
      <c r="A330" s="868"/>
      <c r="B330" s="990"/>
      <c r="C330" s="990"/>
      <c r="D330" s="990"/>
      <c r="E330" s="990"/>
      <c r="F330" s="990"/>
      <c r="G330" s="990"/>
      <c r="H330" s="990"/>
      <c r="I330" s="990"/>
      <c r="J330" s="990"/>
      <c r="K330" s="990"/>
      <c r="L330" s="818"/>
      <c r="M330" s="818"/>
      <c r="N330" s="818"/>
      <c r="O330" s="818"/>
      <c r="P330" s="818"/>
      <c r="Q330" s="818"/>
      <c r="R330" s="818"/>
      <c r="S330" s="819"/>
    </row>
    <row r="331" spans="1:19" ht="15.75" thickTop="1">
      <c r="A331" s="991" t="s">
        <v>28</v>
      </c>
      <c r="B331" s="992"/>
      <c r="C331" s="992"/>
      <c r="D331" s="992"/>
      <c r="E331" s="992"/>
      <c r="F331" s="992"/>
      <c r="G331" s="993"/>
      <c r="H331" s="994" t="s">
        <v>202</v>
      </c>
      <c r="I331" s="995"/>
      <c r="J331" s="995"/>
      <c r="K331" s="995"/>
      <c r="L331" s="995"/>
      <c r="M331" s="996"/>
      <c r="N331" s="818"/>
      <c r="O331" s="818"/>
      <c r="P331" s="818"/>
      <c r="Q331" s="818"/>
      <c r="R331" s="818"/>
      <c r="S331" s="819"/>
    </row>
    <row r="332" spans="1:19">
      <c r="A332" s="813" t="s">
        <v>2</v>
      </c>
      <c r="B332" s="814" t="s">
        <v>34</v>
      </c>
      <c r="C332" s="815" t="s">
        <v>35</v>
      </c>
      <c r="D332" s="815" t="s">
        <v>38</v>
      </c>
      <c r="E332" s="815" t="s">
        <v>42</v>
      </c>
      <c r="F332" s="814" t="s">
        <v>36</v>
      </c>
      <c r="G332" s="816" t="s">
        <v>173</v>
      </c>
      <c r="H332" s="828"/>
      <c r="I332" s="817" t="s">
        <v>35</v>
      </c>
      <c r="J332" s="817" t="s">
        <v>38</v>
      </c>
      <c r="K332" s="817" t="s">
        <v>42</v>
      </c>
      <c r="L332" s="880" t="s">
        <v>44</v>
      </c>
      <c r="M332" s="881"/>
      <c r="N332" s="818"/>
      <c r="O332" s="818"/>
      <c r="P332" s="818"/>
      <c r="Q332" s="818"/>
      <c r="R332" s="818"/>
      <c r="S332" s="819"/>
    </row>
    <row r="333" spans="1:19">
      <c r="A333" s="820">
        <v>43835</v>
      </c>
      <c r="B333" s="821" t="s">
        <v>235</v>
      </c>
      <c r="C333" s="822">
        <v>679.7</v>
      </c>
      <c r="D333" s="822">
        <v>679.7</v>
      </c>
      <c r="E333" s="823" t="str">
        <f>IF(C333-D333=0,"",C333-D333)</f>
        <v/>
      </c>
      <c r="F333" s="821" t="str">
        <f t="shared" ref="F333:F349" si="20">IF(C333=0,"",IF(C333-D333=0,"оплачено","ОЖИДАЕТСЯ оплата"))</f>
        <v>оплачено</v>
      </c>
      <c r="G333" s="824"/>
      <c r="H333" s="828"/>
      <c r="I333" s="825">
        <v>703.01</v>
      </c>
      <c r="J333" s="825">
        <v>703.01</v>
      </c>
      <c r="K333" s="823">
        <f>I333-J333</f>
        <v>0</v>
      </c>
      <c r="L333" s="640">
        <v>43851</v>
      </c>
      <c r="M333" s="882"/>
      <c r="N333" s="818"/>
      <c r="O333" s="818"/>
      <c r="P333" s="818"/>
      <c r="Q333" s="818"/>
      <c r="R333" s="818"/>
      <c r="S333" s="819"/>
    </row>
    <row r="334" spans="1:19">
      <c r="A334" s="820">
        <v>43839</v>
      </c>
      <c r="B334" s="821" t="s">
        <v>205</v>
      </c>
      <c r="C334" s="822">
        <v>412.54</v>
      </c>
      <c r="D334" s="822">
        <v>412.54</v>
      </c>
      <c r="E334" s="823"/>
      <c r="F334" s="821" t="str">
        <f t="shared" si="20"/>
        <v>оплачено</v>
      </c>
      <c r="G334" s="824"/>
      <c r="H334" s="828"/>
      <c r="I334" s="883"/>
      <c r="J334" s="883"/>
      <c r="K334" s="884"/>
      <c r="L334" s="885"/>
      <c r="M334" s="882"/>
      <c r="N334" s="818"/>
      <c r="O334" s="818"/>
      <c r="P334" s="818"/>
      <c r="Q334" s="818"/>
      <c r="R334" s="818"/>
      <c r="S334" s="819"/>
    </row>
    <row r="335" spans="1:19">
      <c r="A335" s="820">
        <v>43844</v>
      </c>
      <c r="B335" s="821" t="s">
        <v>29</v>
      </c>
      <c r="C335" s="721">
        <v>230.2</v>
      </c>
      <c r="D335" s="721">
        <v>230.2</v>
      </c>
      <c r="E335" s="823"/>
      <c r="F335" s="821" t="str">
        <f t="shared" si="20"/>
        <v>оплачено</v>
      </c>
      <c r="G335" s="824"/>
      <c r="H335" s="828"/>
      <c r="I335" s="818"/>
      <c r="J335" s="818"/>
      <c r="K335" s="818"/>
      <c r="L335" s="818"/>
      <c r="M335" s="830"/>
      <c r="N335" s="818"/>
      <c r="O335" s="818"/>
      <c r="P335" s="818"/>
      <c r="Q335" s="818"/>
      <c r="R335" s="818"/>
      <c r="S335" s="819"/>
    </row>
    <row r="336" spans="1:19">
      <c r="A336" s="820">
        <v>43852</v>
      </c>
      <c r="B336" s="821" t="s">
        <v>29</v>
      </c>
      <c r="C336" s="822">
        <v>330.3</v>
      </c>
      <c r="D336" s="822">
        <v>330.3</v>
      </c>
      <c r="E336" s="823"/>
      <c r="F336" s="821" t="str">
        <f t="shared" si="20"/>
        <v>оплачено</v>
      </c>
      <c r="G336" s="824"/>
      <c r="H336" s="828"/>
      <c r="I336" s="818"/>
      <c r="J336" s="818"/>
      <c r="K336" s="818"/>
      <c r="L336" s="818"/>
      <c r="M336" s="830"/>
      <c r="N336" s="818"/>
      <c r="O336" s="818"/>
      <c r="P336" s="818"/>
      <c r="Q336" s="818"/>
      <c r="R336" s="818"/>
      <c r="S336" s="819"/>
    </row>
    <row r="337" spans="1:19">
      <c r="A337" s="820">
        <v>43859</v>
      </c>
      <c r="B337" s="821" t="s">
        <v>212</v>
      </c>
      <c r="C337" s="822">
        <v>445.5</v>
      </c>
      <c r="D337" s="822">
        <v>445.5</v>
      </c>
      <c r="E337" s="823"/>
      <c r="F337" s="821" t="str">
        <f t="shared" si="20"/>
        <v>оплачено</v>
      </c>
      <c r="G337" s="824"/>
      <c r="H337" s="828"/>
      <c r="I337" s="818"/>
      <c r="J337" s="818"/>
      <c r="K337" s="818"/>
      <c r="L337" s="818"/>
      <c r="M337" s="830"/>
      <c r="N337" s="818"/>
      <c r="O337" s="818"/>
      <c r="P337" s="818"/>
      <c r="Q337" s="818"/>
      <c r="R337" s="818"/>
      <c r="S337" s="819"/>
    </row>
    <row r="338" spans="1:19">
      <c r="A338" s="820"/>
      <c r="B338" s="821"/>
      <c r="C338" s="721"/>
      <c r="D338" s="721"/>
      <c r="E338" s="823"/>
      <c r="F338" s="821" t="str">
        <f t="shared" si="20"/>
        <v/>
      </c>
      <c r="G338" s="824"/>
      <c r="H338" s="828"/>
      <c r="I338" s="818"/>
      <c r="J338" s="818"/>
      <c r="K338" s="818"/>
      <c r="L338" s="818"/>
      <c r="M338" s="830"/>
      <c r="N338" s="818"/>
      <c r="O338" s="818"/>
      <c r="P338" s="818"/>
      <c r="Q338" s="818"/>
      <c r="R338" s="818"/>
      <c r="S338" s="819"/>
    </row>
    <row r="339" spans="1:19">
      <c r="A339" s="820"/>
      <c r="B339" s="821"/>
      <c r="C339" s="721"/>
      <c r="D339" s="721"/>
      <c r="E339" s="823"/>
      <c r="F339" s="821" t="str">
        <f t="shared" si="20"/>
        <v/>
      </c>
      <c r="G339" s="824"/>
      <c r="H339" s="828"/>
      <c r="I339" s="818"/>
      <c r="J339" s="818"/>
      <c r="K339" s="818"/>
      <c r="L339" s="818"/>
      <c r="M339" s="830"/>
      <c r="N339" s="818"/>
      <c r="O339" s="818"/>
      <c r="P339" s="818"/>
      <c r="Q339" s="818"/>
      <c r="R339" s="818"/>
      <c r="S339" s="819"/>
    </row>
    <row r="340" spans="1:19">
      <c r="A340" s="820"/>
      <c r="B340" s="821"/>
      <c r="C340" s="721"/>
      <c r="D340" s="721"/>
      <c r="E340" s="823"/>
      <c r="F340" s="821" t="str">
        <f t="shared" si="20"/>
        <v/>
      </c>
      <c r="G340" s="824"/>
      <c r="H340" s="828"/>
      <c r="I340" s="818"/>
      <c r="J340" s="818"/>
      <c r="K340" s="818"/>
      <c r="L340" s="818"/>
      <c r="M340" s="830"/>
      <c r="N340" s="818"/>
      <c r="O340" s="818"/>
      <c r="P340" s="818"/>
      <c r="Q340" s="818"/>
      <c r="R340" s="818"/>
      <c r="S340" s="819"/>
    </row>
    <row r="341" spans="1:19">
      <c r="A341" s="820"/>
      <c r="B341" s="821"/>
      <c r="C341" s="721"/>
      <c r="D341" s="721"/>
      <c r="E341" s="823"/>
      <c r="F341" s="821" t="str">
        <f t="shared" si="20"/>
        <v/>
      </c>
      <c r="G341" s="824"/>
      <c r="H341" s="828"/>
      <c r="I341" s="818"/>
      <c r="J341" s="818"/>
      <c r="K341" s="818"/>
      <c r="L341" s="818"/>
      <c r="M341" s="830"/>
      <c r="N341" s="818"/>
      <c r="O341" s="818"/>
      <c r="P341" s="818"/>
      <c r="Q341" s="818"/>
      <c r="R341" s="818"/>
      <c r="S341" s="819"/>
    </row>
    <row r="342" spans="1:19">
      <c r="A342" s="820"/>
      <c r="B342" s="821"/>
      <c r="C342" s="721"/>
      <c r="D342" s="821"/>
      <c r="E342" s="823"/>
      <c r="F342" s="821" t="str">
        <f t="shared" si="20"/>
        <v/>
      </c>
      <c r="G342" s="824"/>
      <c r="H342" s="828"/>
      <c r="I342" s="818"/>
      <c r="J342" s="818"/>
      <c r="K342" s="818"/>
      <c r="L342" s="818"/>
      <c r="M342" s="830"/>
      <c r="N342" s="818"/>
      <c r="O342" s="818"/>
      <c r="P342" s="818"/>
      <c r="Q342" s="818"/>
      <c r="R342" s="818"/>
      <c r="S342" s="819"/>
    </row>
    <row r="343" spans="1:19">
      <c r="A343" s="820"/>
      <c r="B343" s="821"/>
      <c r="C343" s="721"/>
      <c r="D343" s="821"/>
      <c r="E343" s="823"/>
      <c r="F343" s="821" t="str">
        <f t="shared" si="20"/>
        <v/>
      </c>
      <c r="G343" s="824"/>
      <c r="H343" s="828"/>
      <c r="I343" s="818"/>
      <c r="J343" s="818"/>
      <c r="K343" s="818"/>
      <c r="L343" s="818"/>
      <c r="M343" s="830"/>
      <c r="N343" s="818"/>
      <c r="O343" s="818"/>
      <c r="P343" s="818"/>
      <c r="Q343" s="818"/>
      <c r="R343" s="818"/>
      <c r="S343" s="819"/>
    </row>
    <row r="344" spans="1:19">
      <c r="A344" s="820"/>
      <c r="B344" s="821"/>
      <c r="C344" s="721"/>
      <c r="D344" s="721"/>
      <c r="E344" s="823"/>
      <c r="F344" s="821" t="str">
        <f t="shared" si="20"/>
        <v/>
      </c>
      <c r="G344" s="824"/>
      <c r="H344" s="828"/>
      <c r="I344" s="818"/>
      <c r="J344" s="818"/>
      <c r="K344" s="818"/>
      <c r="L344" s="818"/>
      <c r="M344" s="830"/>
      <c r="N344" s="818"/>
      <c r="O344" s="818"/>
      <c r="P344" s="818"/>
      <c r="Q344" s="818"/>
      <c r="R344" s="818"/>
      <c r="S344" s="819"/>
    </row>
    <row r="345" spans="1:19">
      <c r="A345" s="831"/>
      <c r="B345" s="821"/>
      <c r="C345" s="821"/>
      <c r="D345" s="821"/>
      <c r="E345" s="823"/>
      <c r="F345" s="821" t="str">
        <f t="shared" si="20"/>
        <v/>
      </c>
      <c r="G345" s="824"/>
      <c r="H345" s="828"/>
      <c r="I345" s="818"/>
      <c r="J345" s="818"/>
      <c r="K345" s="818"/>
      <c r="L345" s="818"/>
      <c r="M345" s="830"/>
      <c r="N345" s="818"/>
      <c r="O345" s="818"/>
      <c r="P345" s="818"/>
      <c r="Q345" s="818"/>
      <c r="R345" s="818"/>
      <c r="S345" s="819"/>
    </row>
    <row r="346" spans="1:19">
      <c r="A346" s="832"/>
      <c r="B346" s="821"/>
      <c r="C346" s="821"/>
      <c r="D346" s="821"/>
      <c r="E346" s="823"/>
      <c r="F346" s="821" t="str">
        <f t="shared" si="20"/>
        <v/>
      </c>
      <c r="G346" s="824"/>
      <c r="H346" s="828"/>
      <c r="I346" s="818"/>
      <c r="J346" s="818"/>
      <c r="K346" s="818"/>
      <c r="L346" s="818"/>
      <c r="M346" s="830"/>
      <c r="N346" s="818"/>
      <c r="O346" s="818"/>
      <c r="P346" s="818"/>
      <c r="Q346" s="818"/>
      <c r="R346" s="818"/>
      <c r="S346" s="819"/>
    </row>
    <row r="347" spans="1:19">
      <c r="A347" s="832"/>
      <c r="B347" s="821"/>
      <c r="C347" s="821"/>
      <c r="D347" s="821"/>
      <c r="E347" s="823"/>
      <c r="F347" s="821" t="str">
        <f t="shared" si="20"/>
        <v/>
      </c>
      <c r="G347" s="824"/>
      <c r="H347" s="828"/>
      <c r="I347" s="818"/>
      <c r="J347" s="818"/>
      <c r="K347" s="818"/>
      <c r="L347" s="818"/>
      <c r="M347" s="830"/>
      <c r="N347" s="818"/>
      <c r="O347" s="818"/>
      <c r="P347" s="818"/>
      <c r="Q347" s="818"/>
      <c r="R347" s="818"/>
      <c r="S347" s="819"/>
    </row>
    <row r="348" spans="1:19">
      <c r="A348" s="831"/>
      <c r="B348" s="821"/>
      <c r="C348" s="821"/>
      <c r="D348" s="821"/>
      <c r="E348" s="823"/>
      <c r="F348" s="821" t="str">
        <f t="shared" si="20"/>
        <v/>
      </c>
      <c r="G348" s="824"/>
      <c r="H348" s="828"/>
      <c r="I348" s="818"/>
      <c r="J348" s="818"/>
      <c r="K348" s="818"/>
      <c r="L348" s="818"/>
      <c r="M348" s="830"/>
      <c r="N348" s="818"/>
      <c r="O348" s="818"/>
      <c r="P348" s="818"/>
      <c r="Q348" s="818"/>
      <c r="R348" s="818"/>
      <c r="S348" s="819"/>
    </row>
    <row r="349" spans="1:19" ht="15.75" thickBot="1">
      <c r="A349" s="833"/>
      <c r="B349" s="834"/>
      <c r="C349" s="835"/>
      <c r="D349" s="835"/>
      <c r="E349" s="823" t="str">
        <f>IF(C349-D349=0,"",C349-D349)</f>
        <v/>
      </c>
      <c r="F349" s="821" t="str">
        <f t="shared" si="20"/>
        <v/>
      </c>
      <c r="G349" s="836"/>
      <c r="H349" s="828"/>
      <c r="I349" s="818"/>
      <c r="J349" s="818"/>
      <c r="K349" s="818"/>
      <c r="L349" s="818"/>
      <c r="M349" s="830"/>
      <c r="N349" s="818"/>
      <c r="O349" s="818"/>
      <c r="P349" s="818"/>
      <c r="Q349" s="818"/>
      <c r="R349" s="818"/>
      <c r="S349" s="819"/>
    </row>
    <row r="350" spans="1:19" ht="15.75" thickTop="1">
      <c r="A350" s="837"/>
      <c r="B350" s="838"/>
      <c r="C350" s="839"/>
      <c r="D350" s="839"/>
      <c r="E350" s="840"/>
      <c r="F350" s="838"/>
      <c r="G350" s="841"/>
      <c r="H350" s="997" t="s">
        <v>16</v>
      </c>
      <c r="I350" s="999" t="s">
        <v>17</v>
      </c>
      <c r="J350" s="999" t="s">
        <v>21</v>
      </c>
      <c r="K350" s="999"/>
      <c r="L350" s="1001" t="s">
        <v>93</v>
      </c>
      <c r="M350" s="1003" t="s">
        <v>95</v>
      </c>
      <c r="N350" s="818"/>
      <c r="O350" s="818"/>
      <c r="P350" s="818"/>
      <c r="Q350" s="818"/>
      <c r="R350" s="818"/>
      <c r="S350" s="819"/>
    </row>
    <row r="351" spans="1:19" ht="24">
      <c r="A351" s="842"/>
      <c r="B351" s="843"/>
      <c r="C351" s="843"/>
      <c r="D351" s="843"/>
      <c r="E351" s="844"/>
      <c r="F351" s="843"/>
      <c r="G351" s="843"/>
      <c r="H351" s="998"/>
      <c r="I351" s="1000"/>
      <c r="J351" s="845" t="s">
        <v>21</v>
      </c>
      <c r="K351" s="845" t="s">
        <v>25</v>
      </c>
      <c r="L351" s="1002"/>
      <c r="M351" s="1004"/>
      <c r="N351" s="818"/>
      <c r="O351" s="818"/>
      <c r="P351" s="818"/>
      <c r="Q351" s="818"/>
      <c r="R351" s="818"/>
      <c r="S351" s="819"/>
    </row>
    <row r="352" spans="1:19">
      <c r="A352" s="846"/>
      <c r="B352" s="847"/>
      <c r="C352" s="848"/>
      <c r="D352" s="849"/>
      <c r="E352" s="829"/>
      <c r="F352" s="847"/>
      <c r="G352" s="847"/>
      <c r="H352" s="850" t="s">
        <v>163</v>
      </c>
      <c r="I352" s="851">
        <v>2420.3999999999996</v>
      </c>
      <c r="J352" s="851">
        <v>115.5</v>
      </c>
      <c r="K352" s="886">
        <v>132.61000000000001</v>
      </c>
      <c r="L352" s="853">
        <v>22665.5</v>
      </c>
      <c r="M352" s="854">
        <f>L352-I352-J352-K352</f>
        <v>19996.989999999998</v>
      </c>
      <c r="N352" s="818"/>
      <c r="O352" s="818"/>
      <c r="P352" s="818"/>
      <c r="Q352" s="818"/>
      <c r="R352" s="818"/>
      <c r="S352" s="819"/>
    </row>
    <row r="353" spans="1:19">
      <c r="A353" s="855"/>
      <c r="B353" s="847"/>
      <c r="C353" s="847"/>
      <c r="D353" s="856"/>
      <c r="E353" s="818"/>
      <c r="F353" s="829"/>
      <c r="G353" s="818"/>
      <c r="H353" s="850" t="s">
        <v>192</v>
      </c>
      <c r="I353" s="851">
        <v>7629.69</v>
      </c>
      <c r="J353" s="851">
        <v>352.29</v>
      </c>
      <c r="K353" s="851">
        <v>193.85000000000002</v>
      </c>
      <c r="L353" s="853">
        <v>10342</v>
      </c>
      <c r="M353" s="854">
        <f>M352-I353-J353-K353+L353</f>
        <v>22163.159999999996</v>
      </c>
      <c r="N353" s="818"/>
      <c r="O353" s="818"/>
      <c r="P353" s="818"/>
      <c r="Q353" s="818"/>
      <c r="R353" s="818"/>
      <c r="S353" s="819"/>
    </row>
    <row r="354" spans="1:19">
      <c r="A354" s="855"/>
      <c r="B354" s="818"/>
      <c r="C354" s="847"/>
      <c r="D354" s="856"/>
      <c r="E354" s="818"/>
      <c r="F354" s="818"/>
      <c r="G354" s="818"/>
      <c r="H354" s="850" t="s">
        <v>199</v>
      </c>
      <c r="I354" s="857">
        <v>8423.6400000000012</v>
      </c>
      <c r="J354" s="851">
        <v>921.3</v>
      </c>
      <c r="K354" s="641">
        <v>312.46000000000004</v>
      </c>
      <c r="L354" s="641">
        <v>16668</v>
      </c>
      <c r="M354" s="854">
        <f>M353-I354-J354-K354+L354</f>
        <v>29173.759999999995</v>
      </c>
      <c r="N354" s="818"/>
      <c r="O354" s="818"/>
      <c r="P354" s="818"/>
      <c r="Q354" s="818"/>
      <c r="R354" s="818"/>
      <c r="S354" s="819"/>
    </row>
    <row r="355" spans="1:19">
      <c r="A355" s="855"/>
      <c r="B355" s="818"/>
      <c r="C355" s="858"/>
      <c r="D355" s="856"/>
      <c r="E355" s="818"/>
      <c r="F355" s="818"/>
      <c r="G355" s="829"/>
      <c r="H355" s="850" t="s">
        <v>209</v>
      </c>
      <c r="I355" s="641"/>
      <c r="J355" s="852"/>
      <c r="K355" s="852"/>
      <c r="L355" s="641"/>
      <c r="M355" s="854"/>
      <c r="N355" s="818"/>
      <c r="O355" s="818"/>
      <c r="P355" s="818"/>
      <c r="Q355" s="818"/>
      <c r="R355" s="818"/>
      <c r="S355" s="819"/>
    </row>
    <row r="356" spans="1:19">
      <c r="A356" s="855"/>
      <c r="B356" s="847"/>
      <c r="C356" s="818"/>
      <c r="D356" s="856"/>
      <c r="E356" s="818"/>
      <c r="F356" s="818"/>
      <c r="G356" s="818"/>
      <c r="H356" s="850" t="s">
        <v>210</v>
      </c>
      <c r="I356" s="852"/>
      <c r="J356" s="641"/>
      <c r="K356" s="852"/>
      <c r="L356" s="641"/>
      <c r="M356" s="854"/>
      <c r="N356" s="818"/>
      <c r="O356" s="818"/>
      <c r="P356" s="818"/>
      <c r="Q356" s="818"/>
      <c r="R356" s="818"/>
      <c r="S356" s="819"/>
    </row>
    <row r="357" spans="1:19" ht="15.75" thickBot="1">
      <c r="A357" s="855"/>
      <c r="B357" s="847"/>
      <c r="C357" s="818"/>
      <c r="D357" s="856"/>
      <c r="E357" s="818"/>
      <c r="F357" s="818"/>
      <c r="G357" s="818"/>
      <c r="H357" s="859" t="s">
        <v>211</v>
      </c>
      <c r="I357" s="860"/>
      <c r="J357" s="861"/>
      <c r="K357" s="887"/>
      <c r="L357" s="862"/>
      <c r="M357" s="888"/>
      <c r="N357" s="818"/>
      <c r="O357" s="818"/>
      <c r="P357" s="818"/>
      <c r="Q357" s="818"/>
      <c r="R357" s="818"/>
      <c r="S357" s="819"/>
    </row>
    <row r="358" spans="1:19" ht="15.75" thickTop="1">
      <c r="A358" s="855"/>
      <c r="B358" s="847"/>
      <c r="C358" s="818"/>
      <c r="D358" s="856"/>
      <c r="E358" s="829"/>
      <c r="F358" s="818"/>
      <c r="G358" s="818"/>
      <c r="H358" s="973" t="s">
        <v>36</v>
      </c>
      <c r="I358" s="975" t="s">
        <v>178</v>
      </c>
      <c r="J358" s="976"/>
      <c r="K358" s="977"/>
      <c r="L358" s="981" t="s">
        <v>159</v>
      </c>
      <c r="M358" s="982"/>
      <c r="N358" s="818"/>
      <c r="O358" s="818"/>
      <c r="P358" s="818"/>
      <c r="Q358" s="818"/>
      <c r="R358" s="818"/>
      <c r="S358" s="819"/>
    </row>
    <row r="359" spans="1:19">
      <c r="A359" s="855"/>
      <c r="B359" s="847"/>
      <c r="C359" s="858"/>
      <c r="D359" s="856"/>
      <c r="E359" s="858"/>
      <c r="F359" s="818"/>
      <c r="G359" s="863"/>
      <c r="H359" s="974"/>
      <c r="I359" s="978"/>
      <c r="J359" s="979"/>
      <c r="K359" s="980"/>
      <c r="L359" s="983"/>
      <c r="M359" s="984"/>
      <c r="N359" s="818"/>
      <c r="O359" s="818"/>
      <c r="P359" s="818"/>
      <c r="Q359" s="818"/>
      <c r="R359" s="818"/>
      <c r="S359" s="819"/>
    </row>
    <row r="360" spans="1:19">
      <c r="A360" s="855"/>
      <c r="B360" s="847"/>
      <c r="C360" s="847"/>
      <c r="D360" s="856"/>
      <c r="E360" s="847"/>
      <c r="F360" s="818"/>
      <c r="G360" s="863"/>
      <c r="H360" s="864" t="s">
        <v>91</v>
      </c>
      <c r="I360" s="985" t="s">
        <v>47</v>
      </c>
      <c r="J360" s="985"/>
      <c r="K360" s="865">
        <v>28.88</v>
      </c>
      <c r="L360" s="866">
        <v>15</v>
      </c>
      <c r="M360" s="830" t="s">
        <v>171</v>
      </c>
      <c r="N360" s="818"/>
      <c r="O360" s="818"/>
      <c r="P360" s="818"/>
      <c r="Q360" s="818"/>
      <c r="R360" s="818"/>
      <c r="S360" s="819"/>
    </row>
    <row r="361" spans="1:19">
      <c r="A361" s="855"/>
      <c r="B361" s="818"/>
      <c r="C361" s="867"/>
      <c r="D361" s="856"/>
      <c r="E361" s="867"/>
      <c r="F361" s="818"/>
      <c r="G361" s="818"/>
      <c r="H361" s="889" t="s">
        <v>241</v>
      </c>
      <c r="I361" s="986" t="s">
        <v>51</v>
      </c>
      <c r="J361" s="986"/>
      <c r="K361" s="817">
        <v>0</v>
      </c>
      <c r="L361" s="866">
        <v>15</v>
      </c>
      <c r="M361" s="830" t="s">
        <v>171</v>
      </c>
      <c r="N361" s="818"/>
      <c r="O361" s="818"/>
      <c r="P361" s="818"/>
      <c r="Q361" s="818"/>
      <c r="R361" s="818"/>
      <c r="S361" s="819"/>
    </row>
    <row r="362" spans="1:19">
      <c r="A362" s="868"/>
      <c r="B362" s="818"/>
      <c r="C362" s="818"/>
      <c r="D362" s="856"/>
      <c r="E362" s="847"/>
      <c r="F362" s="818"/>
      <c r="G362" s="818"/>
      <c r="H362" s="864" t="s">
        <v>91</v>
      </c>
      <c r="I362" s="986" t="s">
        <v>52</v>
      </c>
      <c r="J362" s="986"/>
      <c r="K362" s="817">
        <v>0.5</v>
      </c>
      <c r="L362" s="866">
        <v>15</v>
      </c>
      <c r="M362" s="830" t="s">
        <v>171</v>
      </c>
      <c r="N362" s="818"/>
      <c r="O362" s="818"/>
      <c r="P362" s="818"/>
      <c r="Q362" s="818"/>
      <c r="R362" s="818"/>
      <c r="S362" s="819"/>
    </row>
    <row r="363" spans="1:19">
      <c r="A363" s="868"/>
      <c r="B363" s="818"/>
      <c r="C363" s="818"/>
      <c r="D363" s="856"/>
      <c r="E363" s="818"/>
      <c r="F363" s="818"/>
      <c r="G363" s="818"/>
      <c r="H363" s="864" t="s">
        <v>91</v>
      </c>
      <c r="I363" s="986" t="s">
        <v>49</v>
      </c>
      <c r="J363" s="986"/>
      <c r="K363" s="817">
        <v>89</v>
      </c>
      <c r="L363" s="866">
        <v>20</v>
      </c>
      <c r="M363" s="830" t="s">
        <v>237</v>
      </c>
      <c r="N363" s="818"/>
      <c r="O363" s="818"/>
      <c r="P363" s="818"/>
      <c r="Q363" s="818"/>
      <c r="R363" s="818"/>
      <c r="S363" s="819"/>
    </row>
    <row r="364" spans="1:19">
      <c r="A364" s="868"/>
      <c r="B364" s="818"/>
      <c r="C364" s="818"/>
      <c r="D364" s="856"/>
      <c r="E364" s="818"/>
      <c r="F364" s="818"/>
      <c r="G364" s="818"/>
      <c r="H364" s="864" t="s">
        <v>91</v>
      </c>
      <c r="I364" s="970" t="s">
        <v>59</v>
      </c>
      <c r="J364" s="970"/>
      <c r="K364" s="869">
        <v>247.96</v>
      </c>
      <c r="L364" s="870" t="s">
        <v>177</v>
      </c>
      <c r="M364" s="830" t="s">
        <v>171</v>
      </c>
      <c r="N364" s="818"/>
      <c r="O364" s="818"/>
      <c r="P364" s="818"/>
      <c r="Q364" s="818"/>
      <c r="R364" s="818"/>
      <c r="S364" s="819"/>
    </row>
    <row r="365" spans="1:19">
      <c r="A365" s="868"/>
      <c r="B365" s="847"/>
      <c r="C365" s="847"/>
      <c r="D365" s="856"/>
      <c r="E365" s="847"/>
      <c r="F365" s="818"/>
      <c r="G365" s="818"/>
      <c r="H365" s="864" t="s">
        <v>91</v>
      </c>
      <c r="I365" s="968" t="s">
        <v>68</v>
      </c>
      <c r="J365" s="969"/>
      <c r="K365" s="817">
        <v>69.5</v>
      </c>
      <c r="L365" s="866">
        <v>20</v>
      </c>
      <c r="M365" s="830" t="s">
        <v>171</v>
      </c>
      <c r="N365" s="818"/>
      <c r="O365" s="818"/>
      <c r="P365" s="818"/>
      <c r="Q365" s="818"/>
      <c r="R365" s="818"/>
      <c r="S365" s="819"/>
    </row>
    <row r="366" spans="1:19">
      <c r="A366" s="868"/>
      <c r="B366" s="847"/>
      <c r="C366" s="818"/>
      <c r="D366" s="856"/>
      <c r="E366" s="847"/>
      <c r="F366" s="818"/>
      <c r="G366" s="818"/>
      <c r="H366" s="889" t="s">
        <v>241</v>
      </c>
      <c r="I366" s="871" t="s">
        <v>174</v>
      </c>
      <c r="J366" s="872"/>
      <c r="K366" s="817"/>
      <c r="L366" s="866">
        <v>15</v>
      </c>
      <c r="M366" s="830" t="s">
        <v>171</v>
      </c>
      <c r="N366" s="818"/>
      <c r="O366" s="818"/>
      <c r="P366" s="818"/>
      <c r="Q366" s="818"/>
      <c r="R366" s="818"/>
      <c r="S366" s="819"/>
    </row>
    <row r="367" spans="1:19">
      <c r="A367" s="868"/>
      <c r="B367" s="847"/>
      <c r="C367" s="818"/>
      <c r="D367" s="856"/>
      <c r="E367" s="847"/>
      <c r="F367" s="818"/>
      <c r="G367" s="818"/>
      <c r="H367" s="889" t="s">
        <v>241</v>
      </c>
      <c r="I367" s="871" t="s">
        <v>176</v>
      </c>
      <c r="J367" s="872"/>
      <c r="K367" s="817"/>
      <c r="L367" s="866">
        <v>20</v>
      </c>
      <c r="M367" s="830" t="s">
        <v>171</v>
      </c>
      <c r="N367" s="818"/>
      <c r="O367" s="818"/>
      <c r="P367" s="818"/>
      <c r="Q367" s="818"/>
      <c r="R367" s="818"/>
      <c r="S367" s="819"/>
    </row>
    <row r="368" spans="1:19">
      <c r="A368" s="868"/>
      <c r="B368" s="847"/>
      <c r="C368" s="818"/>
      <c r="D368" s="856"/>
      <c r="E368" s="849"/>
      <c r="F368" s="818"/>
      <c r="G368" s="818"/>
      <c r="H368" s="864" t="s">
        <v>91</v>
      </c>
      <c r="I368" s="968" t="s">
        <v>81</v>
      </c>
      <c r="J368" s="969"/>
      <c r="K368" s="817">
        <v>588.1</v>
      </c>
      <c r="L368" s="866">
        <v>43840</v>
      </c>
      <c r="M368" s="830" t="s">
        <v>171</v>
      </c>
      <c r="N368" s="818"/>
      <c r="O368" s="818"/>
      <c r="P368" s="818"/>
      <c r="Q368" s="818"/>
      <c r="R368" s="818"/>
      <c r="S368" s="819"/>
    </row>
    <row r="369" spans="1:19">
      <c r="A369" s="868"/>
      <c r="B369" s="847"/>
      <c r="C369" s="818"/>
      <c r="D369" s="856"/>
      <c r="E369" s="849"/>
      <c r="F369" s="818"/>
      <c r="G369" s="818"/>
      <c r="H369" s="864" t="s">
        <v>91</v>
      </c>
      <c r="I369" s="968" t="s">
        <v>53</v>
      </c>
      <c r="J369" s="969"/>
      <c r="K369" s="890">
        <v>10</v>
      </c>
      <c r="L369" s="866">
        <v>15</v>
      </c>
      <c r="M369" s="830" t="s">
        <v>171</v>
      </c>
      <c r="N369" s="818"/>
      <c r="O369" s="818"/>
      <c r="P369" s="818"/>
      <c r="Q369" s="818"/>
      <c r="R369" s="818"/>
      <c r="S369" s="819"/>
    </row>
    <row r="370" spans="1:19">
      <c r="A370" s="868"/>
      <c r="B370" s="847"/>
      <c r="C370" s="818"/>
      <c r="D370" s="856"/>
      <c r="E370" s="849"/>
      <c r="F370" s="818"/>
      <c r="G370" s="818"/>
      <c r="H370" s="864" t="s">
        <v>91</v>
      </c>
      <c r="I370" s="970" t="s">
        <v>61</v>
      </c>
      <c r="J370" s="970"/>
      <c r="K370" s="817">
        <v>703.01</v>
      </c>
      <c r="L370" s="866">
        <v>20</v>
      </c>
      <c r="M370" s="830" t="s">
        <v>171</v>
      </c>
      <c r="N370" s="818"/>
      <c r="O370" s="818"/>
      <c r="P370" s="818"/>
      <c r="Q370" s="818"/>
      <c r="R370" s="818"/>
      <c r="S370" s="819"/>
    </row>
    <row r="371" spans="1:19" ht="15.75" thickBot="1">
      <c r="A371" s="891"/>
      <c r="B371" s="892"/>
      <c r="C371" s="893"/>
      <c r="D371" s="894"/>
      <c r="E371" s="892"/>
      <c r="F371" s="893"/>
      <c r="G371" s="893"/>
      <c r="H371" s="895"/>
      <c r="I371" s="893" t="s">
        <v>179</v>
      </c>
      <c r="J371" s="893">
        <f>SUM(K360:K370)</f>
        <v>1736.95</v>
      </c>
      <c r="K371" s="971" t="s">
        <v>180</v>
      </c>
      <c r="L371" s="971"/>
      <c r="M371" s="896">
        <v>0</v>
      </c>
      <c r="N371" s="893"/>
      <c r="O371" s="893"/>
      <c r="P371" s="893"/>
      <c r="Q371" s="893"/>
      <c r="R371" s="893"/>
      <c r="S371" s="897"/>
    </row>
  </sheetData>
  <mergeCells count="201"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  <mergeCell ref="A285:G285"/>
    <mergeCell ref="H285:M285"/>
    <mergeCell ref="H286:I286"/>
    <mergeCell ref="H287:I287"/>
    <mergeCell ref="H288:I288"/>
    <mergeCell ref="H304:H305"/>
    <mergeCell ref="I304:I305"/>
    <mergeCell ref="J304:K304"/>
    <mergeCell ref="L304:L305"/>
    <mergeCell ref="M304:M305"/>
    <mergeCell ref="J350:K350"/>
    <mergeCell ref="L350:L351"/>
    <mergeCell ref="M350:M351"/>
    <mergeCell ref="H314:H315"/>
    <mergeCell ref="I314:K315"/>
    <mergeCell ref="L314:M315"/>
    <mergeCell ref="I316:J316"/>
    <mergeCell ref="I317:J317"/>
    <mergeCell ref="I318:J318"/>
    <mergeCell ref="I319:J319"/>
    <mergeCell ref="I320:J320"/>
    <mergeCell ref="I321:J321"/>
    <mergeCell ref="I368:J368"/>
    <mergeCell ref="I369:J369"/>
    <mergeCell ref="I370:J370"/>
    <mergeCell ref="K371:L371"/>
    <mergeCell ref="O299:Q314"/>
    <mergeCell ref="H358:H359"/>
    <mergeCell ref="I358:K359"/>
    <mergeCell ref="L358:M359"/>
    <mergeCell ref="I360:J360"/>
    <mergeCell ref="I361:J361"/>
    <mergeCell ref="I362:J362"/>
    <mergeCell ref="I363:J363"/>
    <mergeCell ref="I364:J364"/>
    <mergeCell ref="I365:J365"/>
    <mergeCell ref="I324:J324"/>
    <mergeCell ref="I325:J325"/>
    <mergeCell ref="I326:J326"/>
    <mergeCell ref="K327:L327"/>
    <mergeCell ref="H328:K328"/>
    <mergeCell ref="B329:K330"/>
    <mergeCell ref="A331:G331"/>
    <mergeCell ref="H331:M331"/>
    <mergeCell ref="H350:H351"/>
    <mergeCell ref="I350:I351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22" zoomScale="85" zoomScaleNormal="85" zoomScaleSheetLayoutView="70" zoomScalePageLayoutView="70" workbookViewId="0">
      <selection activeCell="B11" sqref="B1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1082" t="s">
        <v>262</v>
      </c>
      <c r="B1" s="1082"/>
      <c r="C1" s="1082"/>
      <c r="D1" s="1082"/>
      <c r="E1" s="1082"/>
      <c r="F1" s="1082"/>
      <c r="G1" s="1082"/>
      <c r="H1" s="1082"/>
      <c r="I1" s="1082"/>
      <c r="J1" s="1082"/>
      <c r="K1" s="1082"/>
      <c r="L1" s="1082"/>
      <c r="M1" s="1082"/>
    </row>
    <row r="2" spans="1:20" ht="15.75" thickBot="1">
      <c r="A2" s="1083"/>
      <c r="B2" s="1083"/>
      <c r="C2" s="1083"/>
      <c r="D2" s="1083"/>
      <c r="E2" s="1083"/>
      <c r="F2" s="1083"/>
      <c r="G2" s="1083"/>
      <c r="H2" s="1083"/>
      <c r="I2" s="1083"/>
      <c r="J2" s="1083"/>
      <c r="K2" s="1083"/>
      <c r="L2" s="1083"/>
      <c r="M2" s="1083"/>
    </row>
    <row r="3" spans="1:20" ht="15.75" thickTop="1">
      <c r="A3" s="1091" t="s">
        <v>28</v>
      </c>
      <c r="B3" s="1037"/>
      <c r="C3" s="1037"/>
      <c r="D3" s="1037"/>
      <c r="E3" s="1037"/>
      <c r="F3" s="1037"/>
      <c r="G3" s="1038"/>
      <c r="H3" s="1097" t="s">
        <v>246</v>
      </c>
      <c r="I3" s="1098"/>
      <c r="J3" s="1098"/>
      <c r="K3" s="1098"/>
      <c r="L3" s="1098"/>
      <c r="M3" s="1099"/>
      <c r="N3" s="496"/>
      <c r="O3" s="1064" t="s">
        <v>60</v>
      </c>
      <c r="P3" s="1064"/>
    </row>
    <row r="4" spans="1:20" ht="21.75" customHeight="1">
      <c r="A4" s="324" t="s">
        <v>2</v>
      </c>
      <c r="B4" s="495" t="s">
        <v>34</v>
      </c>
      <c r="C4" s="36" t="s">
        <v>35</v>
      </c>
      <c r="D4" s="36" t="s">
        <v>38</v>
      </c>
      <c r="E4" s="36" t="s">
        <v>42</v>
      </c>
      <c r="F4" s="495" t="s">
        <v>36</v>
      </c>
      <c r="G4" s="100" t="s">
        <v>173</v>
      </c>
      <c r="H4" s="1078"/>
      <c r="I4" s="1079"/>
      <c r="J4" s="491" t="s">
        <v>35</v>
      </c>
      <c r="K4" s="491" t="s">
        <v>38</v>
      </c>
      <c r="L4" s="491" t="s">
        <v>42</v>
      </c>
      <c r="M4" s="100" t="s">
        <v>44</v>
      </c>
      <c r="N4" s="366"/>
      <c r="O4" s="502" t="s">
        <v>2</v>
      </c>
      <c r="P4" s="502" t="s">
        <v>34</v>
      </c>
      <c r="Q4" s="151" t="s">
        <v>38</v>
      </c>
      <c r="R4" s="151" t="s">
        <v>42</v>
      </c>
      <c r="S4" s="502" t="s">
        <v>100</v>
      </c>
      <c r="T4" s="366"/>
    </row>
    <row r="5" spans="1:20">
      <c r="A5" s="325">
        <v>43866</v>
      </c>
      <c r="B5" s="161" t="s">
        <v>254</v>
      </c>
      <c r="C5" s="98">
        <v>294</v>
      </c>
      <c r="D5" s="98">
        <v>294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450"/>
      <c r="H5" s="1080" t="s">
        <v>39</v>
      </c>
      <c r="I5" s="1055"/>
      <c r="J5" s="531">
        <v>1633.61</v>
      </c>
      <c r="K5" s="497">
        <v>1633.61</v>
      </c>
      <c r="L5" s="160">
        <f>J5-K5</f>
        <v>0</v>
      </c>
      <c r="M5" s="101">
        <v>43886</v>
      </c>
      <c r="N5" s="144"/>
      <c r="O5" s="268"/>
      <c r="P5" s="502"/>
      <c r="Q5" s="502"/>
      <c r="R5" s="502"/>
      <c r="S5" s="161"/>
      <c r="T5" s="366"/>
    </row>
    <row r="6" spans="1:20" s="86" customFormat="1" ht="16.5" customHeight="1">
      <c r="A6" s="325">
        <v>43867</v>
      </c>
      <c r="B6" s="161" t="s">
        <v>221</v>
      </c>
      <c r="C6" s="98">
        <v>325.49</v>
      </c>
      <c r="D6" s="98">
        <v>325.49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450"/>
      <c r="H6" s="1094" t="s">
        <v>40</v>
      </c>
      <c r="I6" s="1095"/>
      <c r="J6" s="482">
        <v>899.78</v>
      </c>
      <c r="K6" s="532">
        <f>394.39+260+245.39</f>
        <v>899.78</v>
      </c>
      <c r="L6" s="481">
        <f>J6-K6</f>
        <v>0</v>
      </c>
      <c r="M6" s="483">
        <v>43887</v>
      </c>
      <c r="N6" s="144"/>
      <c r="O6" s="268"/>
      <c r="P6" s="502"/>
      <c r="Q6" s="502"/>
      <c r="R6" s="502"/>
      <c r="S6" s="502"/>
    </row>
    <row r="7" spans="1:20" s="86" customFormat="1">
      <c r="A7" s="325">
        <v>43872</v>
      </c>
      <c r="B7" s="161" t="s">
        <v>155</v>
      </c>
      <c r="C7" s="98">
        <v>108.65</v>
      </c>
      <c r="D7" s="98">
        <v>108.65</v>
      </c>
      <c r="E7" s="160" t="str">
        <f t="shared" si="0"/>
        <v/>
      </c>
      <c r="F7" s="162" t="str">
        <f t="shared" si="1"/>
        <v>оплачено</v>
      </c>
      <c r="G7" s="450"/>
      <c r="H7" s="340"/>
      <c r="I7" s="366"/>
      <c r="J7" s="514">
        <f>SUM(J5:J6)</f>
        <v>2533.39</v>
      </c>
      <c r="K7" s="366"/>
      <c r="L7" s="84"/>
      <c r="M7" s="314"/>
      <c r="N7" s="366"/>
      <c r="O7" s="268"/>
      <c r="P7" s="502"/>
      <c r="Q7" s="502"/>
      <c r="R7" s="502"/>
      <c r="S7" s="502"/>
    </row>
    <row r="8" spans="1:20" s="86" customFormat="1">
      <c r="A8" s="325">
        <v>43872</v>
      </c>
      <c r="B8" s="161" t="s">
        <v>205</v>
      </c>
      <c r="C8" s="275">
        <v>285.2</v>
      </c>
      <c r="D8" s="275">
        <v>285.2</v>
      </c>
      <c r="E8" s="160" t="str">
        <f t="shared" si="0"/>
        <v/>
      </c>
      <c r="F8" s="162" t="str">
        <f t="shared" si="1"/>
        <v>оплачено</v>
      </c>
      <c r="G8" s="450"/>
      <c r="H8" s="340"/>
      <c r="I8" s="366"/>
      <c r="J8" s="366"/>
      <c r="K8" s="366"/>
      <c r="L8" s="366"/>
      <c r="M8" s="314"/>
      <c r="N8" s="366"/>
      <c r="O8" s="268"/>
      <c r="P8" s="502"/>
      <c r="Q8" s="502"/>
      <c r="R8" s="502"/>
      <c r="S8" s="502"/>
    </row>
    <row r="9" spans="1:20" s="86" customFormat="1">
      <c r="A9" s="325">
        <v>43873</v>
      </c>
      <c r="B9" s="161" t="s">
        <v>257</v>
      </c>
      <c r="C9" s="275">
        <v>331.86</v>
      </c>
      <c r="D9" s="275">
        <v>331.86</v>
      </c>
      <c r="E9" s="160" t="str">
        <f t="shared" si="0"/>
        <v/>
      </c>
      <c r="F9" s="162" t="str">
        <f t="shared" si="1"/>
        <v>оплачено</v>
      </c>
      <c r="G9" s="450"/>
      <c r="H9" s="340"/>
      <c r="I9" s="366"/>
      <c r="J9" s="366"/>
      <c r="K9" s="366"/>
      <c r="L9" s="366"/>
      <c r="M9" s="314"/>
      <c r="N9" s="366"/>
      <c r="O9" s="268"/>
      <c r="P9" s="502"/>
      <c r="Q9" s="502"/>
      <c r="R9" s="502"/>
      <c r="S9" s="502"/>
    </row>
    <row r="10" spans="1:20" s="86" customFormat="1" ht="15" customHeight="1">
      <c r="A10" s="325">
        <v>43871</v>
      </c>
      <c r="B10" s="161" t="s">
        <v>256</v>
      </c>
      <c r="C10" s="275">
        <v>280.52999999999997</v>
      </c>
      <c r="D10" s="275">
        <v>280.52999999999997</v>
      </c>
      <c r="E10" s="160" t="str">
        <f t="shared" si="0"/>
        <v/>
      </c>
      <c r="F10" s="162" t="str">
        <f t="shared" si="1"/>
        <v>оплачено</v>
      </c>
      <c r="G10" s="450"/>
      <c r="H10" s="340"/>
      <c r="I10" s="366"/>
      <c r="J10" s="366"/>
      <c r="K10" s="366"/>
      <c r="L10" s="366"/>
      <c r="M10" s="314"/>
      <c r="N10" s="500"/>
      <c r="O10" s="268"/>
      <c r="P10" s="502"/>
      <c r="Q10" s="502"/>
      <c r="R10" s="502"/>
      <c r="S10" s="502"/>
    </row>
    <row r="11" spans="1:20" ht="18.75" customHeight="1">
      <c r="A11" s="325" t="s">
        <v>219</v>
      </c>
      <c r="B11" s="161" t="s">
        <v>222</v>
      </c>
      <c r="C11" s="275">
        <v>342.57</v>
      </c>
      <c r="D11" s="275">
        <f>330+12.57</f>
        <v>342.57</v>
      </c>
      <c r="E11" s="160" t="str">
        <f t="shared" si="0"/>
        <v/>
      </c>
      <c r="F11" s="162" t="str">
        <f t="shared" si="1"/>
        <v>оплачено</v>
      </c>
      <c r="G11" s="450"/>
      <c r="H11" s="43"/>
      <c r="I11" s="1"/>
      <c r="J11" s="366"/>
      <c r="K11" s="1"/>
      <c r="L11" s="1"/>
      <c r="M11" s="44"/>
      <c r="N11" s="500"/>
      <c r="O11" s="267"/>
      <c r="P11" s="366"/>
      <c r="Q11" s="366"/>
      <c r="R11" s="366"/>
      <c r="S11" s="366"/>
      <c r="T11" s="366"/>
    </row>
    <row r="12" spans="1:20" ht="15.75" customHeight="1">
      <c r="A12" s="325" t="s">
        <v>219</v>
      </c>
      <c r="B12" s="161" t="s">
        <v>155</v>
      </c>
      <c r="C12" s="275">
        <v>116.37</v>
      </c>
      <c r="D12" s="275">
        <v>116.37</v>
      </c>
      <c r="E12" s="160" t="str">
        <f t="shared" si="0"/>
        <v/>
      </c>
      <c r="F12" s="162" t="str">
        <f t="shared" si="1"/>
        <v>оплачено</v>
      </c>
      <c r="G12" s="450"/>
      <c r="H12" s="43"/>
      <c r="I12" s="1"/>
      <c r="J12" s="366"/>
      <c r="K12" s="1"/>
      <c r="L12" s="1"/>
      <c r="M12" s="44"/>
      <c r="N12" s="500"/>
      <c r="O12" s="448"/>
      <c r="P12" s="449"/>
      <c r="Q12" s="366"/>
      <c r="R12" s="366"/>
      <c r="S12" s="366"/>
      <c r="T12" s="366"/>
    </row>
    <row r="13" spans="1:20" ht="14.25" customHeight="1">
      <c r="A13" s="325">
        <v>43880</v>
      </c>
      <c r="B13" s="161" t="s">
        <v>307</v>
      </c>
      <c r="C13" s="275">
        <v>384.6</v>
      </c>
      <c r="D13" s="275">
        <v>384.6</v>
      </c>
      <c r="E13" s="160" t="str">
        <f t="shared" si="0"/>
        <v/>
      </c>
      <c r="F13" s="162" t="str">
        <f t="shared" si="1"/>
        <v>оплачено</v>
      </c>
      <c r="G13" s="450"/>
      <c r="H13" s="43"/>
      <c r="I13" s="1"/>
      <c r="J13" s="366"/>
      <c r="K13" s="1"/>
      <c r="L13" s="1"/>
      <c r="M13" s="44"/>
      <c r="N13" s="500"/>
      <c r="O13" s="127"/>
      <c r="P13" s="449"/>
      <c r="Q13" s="366"/>
      <c r="R13" s="366"/>
      <c r="S13" s="366"/>
      <c r="T13" s="366"/>
    </row>
    <row r="14" spans="1:20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450"/>
      <c r="H14" s="43"/>
      <c r="I14" s="1"/>
      <c r="J14" s="366"/>
      <c r="K14" s="1"/>
      <c r="L14" s="1"/>
      <c r="M14" s="44"/>
      <c r="N14" s="500"/>
      <c r="O14" s="448"/>
      <c r="P14" s="366"/>
      <c r="Q14" s="366"/>
      <c r="R14" s="366"/>
      <c r="S14" s="366"/>
      <c r="T14" s="366"/>
    </row>
    <row r="15" spans="1:20" ht="14.25" customHeight="1">
      <c r="A15" s="325"/>
      <c r="B15" s="161"/>
      <c r="C15" s="275"/>
      <c r="D15" s="161"/>
      <c r="E15" s="160" t="str">
        <f t="shared" si="0"/>
        <v/>
      </c>
      <c r="F15" s="162" t="str">
        <f t="shared" si="1"/>
        <v/>
      </c>
      <c r="G15" s="450"/>
      <c r="H15" s="43"/>
      <c r="I15" s="1"/>
      <c r="J15" s="366"/>
      <c r="K15" s="1"/>
      <c r="L15" s="1"/>
      <c r="M15" s="44"/>
      <c r="N15" s="500"/>
      <c r="O15" s="127"/>
      <c r="P15" s="449"/>
      <c r="Q15" s="366"/>
      <c r="R15" s="366"/>
      <c r="S15" s="366"/>
      <c r="T15" s="366"/>
    </row>
    <row r="16" spans="1:20">
      <c r="A16" s="325"/>
      <c r="B16" s="161"/>
      <c r="C16" s="275"/>
      <c r="D16" s="161"/>
      <c r="E16" s="160" t="str">
        <f t="shared" si="0"/>
        <v/>
      </c>
      <c r="F16" s="162" t="str">
        <f t="shared" si="1"/>
        <v/>
      </c>
      <c r="G16" s="450"/>
      <c r="H16" s="43"/>
      <c r="I16" s="1"/>
      <c r="J16" s="366"/>
      <c r="K16" s="1"/>
      <c r="L16" s="1"/>
      <c r="M16" s="44"/>
      <c r="N16" s="295"/>
      <c r="O16" s="448"/>
      <c r="P16" s="1096"/>
      <c r="Q16" s="1096"/>
      <c r="R16" s="366"/>
      <c r="S16" s="86"/>
      <c r="T16" s="86"/>
    </row>
    <row r="17" spans="1:22">
      <c r="A17" s="327"/>
      <c r="B17" s="161"/>
      <c r="C17" s="161"/>
      <c r="D17" s="161"/>
      <c r="E17" s="160" t="str">
        <f t="shared" si="0"/>
        <v/>
      </c>
      <c r="F17" s="162" t="str">
        <f t="shared" si="1"/>
        <v/>
      </c>
      <c r="G17" s="450"/>
      <c r="H17" s="43"/>
      <c r="I17" s="1"/>
      <c r="J17" s="366"/>
      <c r="K17" s="1"/>
      <c r="L17" s="1"/>
      <c r="M17" s="44"/>
      <c r="N17" s="295"/>
      <c r="O17" s="449"/>
      <c r="P17" s="449"/>
      <c r="Q17" s="366"/>
      <c r="R17" s="366"/>
      <c r="S17" s="86"/>
      <c r="T17" s="86"/>
    </row>
    <row r="18" spans="1:22" ht="15.75" customHeight="1">
      <c r="A18" s="328"/>
      <c r="B18" s="161"/>
      <c r="C18" s="161"/>
      <c r="D18" s="161"/>
      <c r="E18" s="160" t="str">
        <f t="shared" si="0"/>
        <v/>
      </c>
      <c r="F18" s="162" t="str">
        <f t="shared" si="1"/>
        <v/>
      </c>
      <c r="G18" s="450"/>
      <c r="H18" s="43"/>
      <c r="I18" s="1"/>
      <c r="J18" s="366"/>
      <c r="K18" s="1"/>
      <c r="L18" s="1"/>
      <c r="M18" s="44"/>
      <c r="N18" s="295"/>
      <c r="O18" s="150"/>
      <c r="P18" s="449"/>
      <c r="Q18" s="366"/>
      <c r="R18" s="366"/>
      <c r="S18" s="86"/>
      <c r="T18" s="86"/>
    </row>
    <row r="19" spans="1:22">
      <c r="A19" s="328"/>
      <c r="B19" s="161"/>
      <c r="C19" s="161"/>
      <c r="D19" s="161"/>
      <c r="E19" s="160" t="str">
        <f t="shared" si="0"/>
        <v/>
      </c>
      <c r="F19" s="162" t="str">
        <f t="shared" si="1"/>
        <v/>
      </c>
      <c r="G19" s="450"/>
      <c r="H19" s="43"/>
      <c r="I19" s="1"/>
      <c r="J19" s="366"/>
      <c r="K19" s="1"/>
      <c r="L19" s="1"/>
      <c r="M19" s="44"/>
      <c r="N19" s="295"/>
      <c r="O19" s="127"/>
      <c r="P19" s="449"/>
      <c r="Q19" s="366"/>
      <c r="R19" s="366"/>
      <c r="S19" s="86"/>
      <c r="T19" s="86"/>
    </row>
    <row r="20" spans="1:22">
      <c r="A20" s="327"/>
      <c r="B20" s="161"/>
      <c r="C20" s="161"/>
      <c r="D20" s="161"/>
      <c r="E20" s="160" t="str">
        <f t="shared" si="0"/>
        <v/>
      </c>
      <c r="F20" s="162" t="str">
        <f t="shared" si="1"/>
        <v/>
      </c>
      <c r="G20" s="450"/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</row>
    <row r="21" spans="1:22" ht="15.75" thickBot="1">
      <c r="A21" s="1092" t="s">
        <v>259</v>
      </c>
      <c r="B21" s="1093"/>
      <c r="C21" s="358">
        <f>SUM(C5:C20)</f>
        <v>2469.2699999999995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449"/>
      <c r="Q21" s="366"/>
      <c r="R21" s="366"/>
      <c r="S21" s="86"/>
      <c r="T21" s="86"/>
    </row>
    <row r="22" spans="1:22" ht="15.75" thickTop="1">
      <c r="A22" s="351"/>
      <c r="B22" s="352"/>
      <c r="C22" s="353"/>
      <c r="D22" s="353"/>
      <c r="E22" s="354"/>
      <c r="F22" s="352"/>
      <c r="G22" s="376"/>
      <c r="H22" s="1039" t="s">
        <v>16</v>
      </c>
      <c r="I22" s="1041" t="s">
        <v>17</v>
      </c>
      <c r="J22" s="1041" t="s">
        <v>21</v>
      </c>
      <c r="K22" s="1041"/>
      <c r="L22" s="1043" t="s">
        <v>93</v>
      </c>
      <c r="M22" s="1045" t="s">
        <v>95</v>
      </c>
      <c r="N22" s="1"/>
      <c r="O22" s="127"/>
      <c r="P22" s="449"/>
      <c r="Q22" s="366"/>
      <c r="R22" s="366"/>
      <c r="S22" s="86"/>
      <c r="T22" s="86"/>
      <c r="V22" s="1"/>
    </row>
    <row r="23" spans="1:22" ht="24">
      <c r="A23" s="355"/>
      <c r="B23" s="201"/>
      <c r="C23" s="201"/>
      <c r="D23" s="201"/>
      <c r="E23" s="216"/>
      <c r="F23" s="201"/>
      <c r="G23" s="201"/>
      <c r="H23" s="1040"/>
      <c r="I23" s="1042"/>
      <c r="J23" s="492" t="s">
        <v>21</v>
      </c>
      <c r="K23" s="492" t="s">
        <v>25</v>
      </c>
      <c r="L23" s="1044"/>
      <c r="M23" s="1046"/>
      <c r="N23" s="1"/>
      <c r="P23" s="366"/>
      <c r="Q23" s="366"/>
      <c r="R23" s="366"/>
      <c r="S23" s="86"/>
      <c r="T23" s="86"/>
      <c r="V23" s="1"/>
    </row>
    <row r="24" spans="1:22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P24" s="84"/>
      <c r="Q24" s="366"/>
      <c r="R24" s="366"/>
      <c r="S24" s="86"/>
      <c r="T24" s="86"/>
      <c r="V24" s="1"/>
    </row>
    <row r="25" spans="1:22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2" si="2">M24-I25-J25-K25+L25</f>
        <v>101446.18</v>
      </c>
      <c r="N25" s="1"/>
      <c r="O25" s="366"/>
      <c r="P25" s="366"/>
      <c r="Q25" s="86"/>
      <c r="R25" s="366"/>
      <c r="S25" s="86"/>
      <c r="T25" s="86"/>
      <c r="V25" s="1"/>
    </row>
    <row r="26" spans="1:22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2"/>
        <v>83639.329999999987</v>
      </c>
      <c r="N26" s="1"/>
      <c r="P26" s="84"/>
      <c r="Q26" s="366"/>
      <c r="R26" s="366"/>
      <c r="S26" s="86"/>
      <c r="T26" s="86"/>
      <c r="V26" s="1"/>
    </row>
    <row r="27" spans="1:22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2"/>
        <v>107659.22999999998</v>
      </c>
      <c r="N27" s="366"/>
      <c r="P27" s="366"/>
      <c r="Q27" s="366"/>
      <c r="R27" s="366"/>
      <c r="S27" s="86"/>
      <c r="T27" s="86"/>
      <c r="V27" s="366"/>
    </row>
    <row r="28" spans="1:22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2"/>
        <v>112611.86999999998</v>
      </c>
      <c r="N28" s="366"/>
      <c r="P28" s="366"/>
      <c r="Q28" s="366"/>
      <c r="R28" s="366"/>
      <c r="S28" s="86"/>
      <c r="T28" s="86"/>
      <c r="V28" s="366"/>
    </row>
    <row r="29" spans="1:22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2"/>
        <v>98984.919999999984</v>
      </c>
      <c r="N29" s="366"/>
      <c r="P29" s="366"/>
      <c r="Q29" s="366"/>
      <c r="R29" s="366"/>
      <c r="S29" s="86"/>
      <c r="T29" s="86"/>
      <c r="V29" s="366"/>
    </row>
    <row r="30" spans="1:22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366"/>
      <c r="P30" s="366"/>
      <c r="Q30" s="366"/>
      <c r="R30" s="366"/>
      <c r="S30" s="86"/>
      <c r="T30" s="86"/>
      <c r="V30" s="366"/>
    </row>
    <row r="31" spans="1:22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366"/>
      <c r="P31" s="84"/>
      <c r="Q31" s="366"/>
      <c r="R31" s="366"/>
      <c r="S31" s="86"/>
      <c r="T31" s="86"/>
      <c r="V31" s="366"/>
    </row>
    <row r="32" spans="1:22" ht="12.75" customHeight="1" thickBot="1">
      <c r="A32" s="339"/>
      <c r="B32" s="199"/>
      <c r="C32" s="1"/>
      <c r="D32" s="273"/>
      <c r="E32" s="366"/>
      <c r="F32" s="366"/>
      <c r="G32" s="366"/>
      <c r="H32" s="379" t="s">
        <v>209</v>
      </c>
      <c r="I32" s="380">
        <v>28339.37</v>
      </c>
      <c r="J32" s="432">
        <v>1758.9</v>
      </c>
      <c r="K32" s="433">
        <v>1141.96</v>
      </c>
      <c r="L32" s="433">
        <v>35862.5</v>
      </c>
      <c r="M32" s="104">
        <f t="shared" si="2"/>
        <v>94325.64999999998</v>
      </c>
      <c r="N32" s="366"/>
      <c r="P32" s="366"/>
      <c r="Q32" s="86"/>
      <c r="R32" s="366"/>
      <c r="S32" s="86"/>
      <c r="T32" s="86"/>
      <c r="U32" s="366"/>
      <c r="V32" s="366"/>
    </row>
    <row r="33" spans="1:21" ht="12.75" customHeight="1" thickTop="1">
      <c r="A33" s="339"/>
      <c r="B33" s="199"/>
      <c r="C33" s="1"/>
      <c r="D33" s="273"/>
      <c r="E33" s="84"/>
      <c r="F33" s="366"/>
      <c r="G33" s="366"/>
      <c r="H33" s="1023" t="s">
        <v>36</v>
      </c>
      <c r="I33" s="1025" t="s">
        <v>178</v>
      </c>
      <c r="J33" s="1026"/>
      <c r="K33" s="1027"/>
      <c r="L33" s="1031" t="s">
        <v>159</v>
      </c>
      <c r="M33" s="1032"/>
      <c r="N33" s="1"/>
      <c r="P33" s="84"/>
      <c r="Q33" s="366"/>
      <c r="R33" s="366"/>
      <c r="S33" s="86"/>
      <c r="T33" s="86"/>
      <c r="U33" s="366"/>
    </row>
    <row r="34" spans="1:21" ht="13.5" customHeight="1">
      <c r="A34" s="339"/>
      <c r="B34" s="199"/>
      <c r="C34" s="284"/>
      <c r="D34" s="273"/>
      <c r="E34" s="284"/>
      <c r="F34" s="366"/>
      <c r="G34" s="378"/>
      <c r="H34" s="1024"/>
      <c r="I34" s="1028"/>
      <c r="J34" s="1029"/>
      <c r="K34" s="1030"/>
      <c r="L34" s="1033"/>
      <c r="M34" s="1034"/>
      <c r="N34" s="1"/>
      <c r="P34" s="366"/>
      <c r="Q34" s="366"/>
      <c r="R34" s="366"/>
      <c r="S34" s="86"/>
      <c r="T34" s="86"/>
      <c r="U34" s="366"/>
    </row>
    <row r="35" spans="1:21" ht="15.75" customHeight="1">
      <c r="A35" s="339"/>
      <c r="B35" s="199"/>
      <c r="C35" s="199"/>
      <c r="D35" s="273"/>
      <c r="E35" s="199"/>
      <c r="F35" s="366"/>
      <c r="G35" s="378"/>
      <c r="H35" s="377" t="s">
        <v>250</v>
      </c>
      <c r="I35" s="1102" t="s">
        <v>47</v>
      </c>
      <c r="J35" s="1102"/>
      <c r="K35" s="501">
        <v>328.13</v>
      </c>
      <c r="L35" s="282">
        <v>43876</v>
      </c>
      <c r="M35" s="44" t="s">
        <v>207</v>
      </c>
      <c r="N35" s="150"/>
      <c r="P35" s="366"/>
      <c r="Q35" s="366"/>
      <c r="R35" s="366"/>
      <c r="S35" s="86"/>
      <c r="T35" s="86"/>
      <c r="U35" s="366"/>
    </row>
    <row r="36" spans="1:21">
      <c r="A36" s="339"/>
      <c r="B36" s="366"/>
      <c r="C36" s="274"/>
      <c r="D36" s="273"/>
      <c r="E36" s="274"/>
      <c r="F36" s="366"/>
      <c r="G36" s="366"/>
      <c r="H36" s="377" t="s">
        <v>250</v>
      </c>
      <c r="I36" s="1100" t="s">
        <v>51</v>
      </c>
      <c r="J36" s="1100"/>
      <c r="K36" s="502">
        <v>71.83</v>
      </c>
      <c r="L36" s="282">
        <v>43876</v>
      </c>
      <c r="M36" s="44" t="s">
        <v>207</v>
      </c>
      <c r="N36" s="1"/>
      <c r="P36" s="499"/>
      <c r="Q36" s="498"/>
      <c r="R36" s="498"/>
      <c r="S36" s="366"/>
      <c r="T36" s="294"/>
      <c r="U36" s="366"/>
    </row>
    <row r="37" spans="1:21">
      <c r="A37" s="340"/>
      <c r="B37" s="366"/>
      <c r="C37" s="366"/>
      <c r="D37" s="273"/>
      <c r="E37" s="199"/>
      <c r="F37" s="366"/>
      <c r="G37" s="366"/>
      <c r="H37" s="377" t="s">
        <v>250</v>
      </c>
      <c r="I37" s="1100" t="s">
        <v>52</v>
      </c>
      <c r="J37" s="1100"/>
      <c r="K37" s="502">
        <v>5.63</v>
      </c>
      <c r="L37" s="282">
        <v>43876</v>
      </c>
      <c r="M37" s="44" t="s">
        <v>207</v>
      </c>
      <c r="N37" s="1"/>
      <c r="P37" s="484"/>
      <c r="Q37" s="498"/>
      <c r="R37" s="498"/>
      <c r="S37" s="366"/>
      <c r="T37" s="294"/>
      <c r="U37" s="366"/>
    </row>
    <row r="38" spans="1:21">
      <c r="A38" s="340"/>
      <c r="B38" s="366"/>
      <c r="C38" s="366"/>
      <c r="D38" s="273"/>
      <c r="E38" s="366"/>
      <c r="F38" s="366"/>
      <c r="G38" s="366"/>
      <c r="H38" s="377" t="s">
        <v>250</v>
      </c>
      <c r="I38" s="1100" t="s">
        <v>49</v>
      </c>
      <c r="J38" s="1100"/>
      <c r="K38" s="502">
        <v>257</v>
      </c>
      <c r="L38" s="282">
        <v>43881</v>
      </c>
      <c r="M38" s="44" t="s">
        <v>247</v>
      </c>
      <c r="N38" s="150"/>
      <c r="P38" s="436"/>
      <c r="Q38" s="498"/>
      <c r="R38" s="498"/>
      <c r="S38" s="366"/>
      <c r="T38" s="294"/>
      <c r="U38" s="366"/>
    </row>
    <row r="39" spans="1:21">
      <c r="A39" s="340"/>
      <c r="B39" s="366"/>
      <c r="C39" s="366"/>
      <c r="D39" s="273"/>
      <c r="E39" s="366"/>
      <c r="F39" s="366"/>
      <c r="G39" s="366"/>
      <c r="H39" s="377" t="s">
        <v>250</v>
      </c>
      <c r="I39" s="1101" t="s">
        <v>59</v>
      </c>
      <c r="J39" s="1101"/>
      <c r="K39" s="457">
        <v>846.17</v>
      </c>
      <c r="L39" s="302" t="s">
        <v>177</v>
      </c>
      <c r="M39" s="44" t="s">
        <v>207</v>
      </c>
      <c r="N39" s="1"/>
      <c r="P39" s="436"/>
      <c r="Q39" s="498"/>
      <c r="R39" s="498"/>
      <c r="S39" s="366"/>
      <c r="T39" s="366"/>
      <c r="U39" s="366"/>
    </row>
    <row r="40" spans="1:21">
      <c r="A40" s="340"/>
      <c r="B40" s="199"/>
      <c r="C40" s="199"/>
      <c r="D40" s="273"/>
      <c r="E40" s="199"/>
      <c r="F40" s="366"/>
      <c r="G40" s="366"/>
      <c r="H40" s="377" t="s">
        <v>250</v>
      </c>
      <c r="I40" s="1089" t="s">
        <v>68</v>
      </c>
      <c r="J40" s="1090"/>
      <c r="K40" s="502">
        <v>333.58</v>
      </c>
      <c r="L40" s="282">
        <v>43881</v>
      </c>
      <c r="M40" s="44" t="s">
        <v>207</v>
      </c>
      <c r="N40" s="1"/>
      <c r="P40" s="366"/>
      <c r="Q40" s="498"/>
      <c r="R40" s="498"/>
      <c r="S40" s="366"/>
      <c r="T40" s="294"/>
      <c r="U40" s="366"/>
    </row>
    <row r="41" spans="1:21">
      <c r="A41" s="340"/>
      <c r="B41" s="199"/>
      <c r="C41" s="366"/>
      <c r="D41" s="273"/>
      <c r="E41" s="199"/>
      <c r="F41" s="366"/>
      <c r="G41" s="366"/>
      <c r="H41" s="377" t="s">
        <v>250</v>
      </c>
      <c r="I41" s="503" t="s">
        <v>174</v>
      </c>
      <c r="J41" s="504"/>
      <c r="K41" s="5">
        <v>518.58999999999992</v>
      </c>
      <c r="L41" s="282">
        <v>43876</v>
      </c>
      <c r="M41" s="44" t="s">
        <v>207</v>
      </c>
      <c r="N41" s="12"/>
      <c r="P41" s="366"/>
      <c r="Q41" s="365"/>
      <c r="R41" s="365"/>
      <c r="S41" s="366"/>
      <c r="T41" s="294"/>
      <c r="U41" s="366"/>
    </row>
    <row r="42" spans="1:21">
      <c r="A42" s="340"/>
      <c r="B42" s="199"/>
      <c r="C42" s="366"/>
      <c r="D42" s="273"/>
      <c r="E42" s="199"/>
      <c r="F42" s="366"/>
      <c r="G42" s="366"/>
      <c r="H42" s="377" t="s">
        <v>258</v>
      </c>
      <c r="I42" s="503" t="s">
        <v>176</v>
      </c>
      <c r="J42" s="504"/>
      <c r="K42" s="502"/>
      <c r="L42" s="282">
        <v>43881</v>
      </c>
      <c r="M42" s="44" t="s">
        <v>207</v>
      </c>
      <c r="N42" s="1"/>
      <c r="P42" s="366"/>
      <c r="Q42" s="365"/>
      <c r="R42" s="365"/>
      <c r="S42" s="366"/>
      <c r="T42" s="294"/>
      <c r="U42" s="366"/>
    </row>
    <row r="43" spans="1:21">
      <c r="A43" s="340"/>
      <c r="B43" s="199"/>
      <c r="C43" s="366"/>
      <c r="D43" s="273"/>
      <c r="E43" s="232"/>
      <c r="F43" s="366"/>
      <c r="G43" s="366"/>
      <c r="H43" s="377" t="s">
        <v>250</v>
      </c>
      <c r="I43" s="1089" t="s">
        <v>81</v>
      </c>
      <c r="J43" s="1090"/>
      <c r="K43" s="502">
        <v>1542</v>
      </c>
      <c r="L43" s="282">
        <v>43876</v>
      </c>
      <c r="M43" s="44" t="s">
        <v>207</v>
      </c>
      <c r="N43" s="1"/>
      <c r="P43" s="366"/>
      <c r="Q43" s="498"/>
      <c r="R43" s="498"/>
      <c r="S43" s="366"/>
      <c r="T43" s="294"/>
      <c r="U43" s="366"/>
    </row>
    <row r="44" spans="1:21">
      <c r="A44" s="340"/>
      <c r="B44" s="199"/>
      <c r="C44" s="366"/>
      <c r="D44" s="273"/>
      <c r="E44" s="232"/>
      <c r="F44" s="366"/>
      <c r="G44" s="366"/>
      <c r="H44" s="377" t="s">
        <v>250</v>
      </c>
      <c r="I44" s="1089" t="s">
        <v>181</v>
      </c>
      <c r="J44" s="1090"/>
      <c r="K44" s="502">
        <v>10</v>
      </c>
      <c r="L44" s="282">
        <v>43876</v>
      </c>
      <c r="M44" s="44" t="s">
        <v>207</v>
      </c>
      <c r="N44" s="1"/>
      <c r="P44" s="366"/>
      <c r="Q44" s="365"/>
      <c r="R44" s="366"/>
      <c r="S44" s="366"/>
      <c r="T44" s="294"/>
      <c r="U44" s="366"/>
    </row>
    <row r="45" spans="1:21">
      <c r="A45" s="340"/>
      <c r="B45" s="199"/>
      <c r="C45" s="366"/>
      <c r="D45" s="273"/>
      <c r="E45" s="232"/>
      <c r="F45" s="366"/>
      <c r="G45" s="366"/>
      <c r="H45" s="377" t="s">
        <v>250</v>
      </c>
      <c r="I45" s="1017" t="s">
        <v>61</v>
      </c>
      <c r="J45" s="1017"/>
      <c r="K45" s="502">
        <f>J7</f>
        <v>2533.39</v>
      </c>
      <c r="L45" s="282">
        <v>43881</v>
      </c>
      <c r="M45" s="44" t="s">
        <v>207</v>
      </c>
      <c r="N45" s="1"/>
      <c r="P45" s="366"/>
      <c r="Q45" s="365"/>
      <c r="R45" s="365"/>
      <c r="S45" s="366"/>
      <c r="T45" s="294"/>
      <c r="U45" s="366"/>
    </row>
    <row r="46" spans="1:21" ht="15.75" thickBot="1">
      <c r="A46" s="341"/>
      <c r="B46" s="330"/>
      <c r="C46" s="331"/>
      <c r="D46" s="342"/>
      <c r="E46" s="330"/>
      <c r="F46" s="331"/>
      <c r="G46" s="331"/>
      <c r="H46" s="346"/>
      <c r="I46" s="361" t="s">
        <v>179</v>
      </c>
      <c r="J46" s="361">
        <f>SUM(K35:K45)</f>
        <v>6446.32</v>
      </c>
      <c r="K46" s="1018" t="s">
        <v>180</v>
      </c>
      <c r="L46" s="1018"/>
      <c r="M46" s="486">
        <v>0</v>
      </c>
      <c r="N46" s="1"/>
      <c r="P46" s="366"/>
      <c r="Q46" s="366"/>
      <c r="R46" s="366"/>
      <c r="S46" s="366"/>
      <c r="T46" s="366"/>
      <c r="U46" s="366"/>
    </row>
    <row r="47" spans="1:21" ht="15.75" thickTop="1">
      <c r="A47" s="366"/>
      <c r="B47" s="366"/>
      <c r="C47" s="366"/>
      <c r="D47" s="366"/>
      <c r="E47" s="366"/>
      <c r="F47" s="366"/>
      <c r="G47" s="366"/>
      <c r="H47" s="1081"/>
      <c r="I47" s="1081"/>
      <c r="J47" s="1081"/>
      <c r="K47" s="1081"/>
      <c r="L47" s="366"/>
      <c r="M47" s="442"/>
      <c r="N47" s="1"/>
      <c r="P47" s="366"/>
      <c r="Q47" s="366"/>
      <c r="R47" s="366"/>
      <c r="S47" s="366"/>
      <c r="T47" s="366"/>
      <c r="U47" s="366"/>
    </row>
    <row r="48" spans="1:21" ht="15" customHeight="1">
      <c r="A48" s="1082" t="s">
        <v>261</v>
      </c>
      <c r="B48" s="1082"/>
      <c r="C48" s="1082"/>
      <c r="D48" s="1082"/>
      <c r="E48" s="1082"/>
      <c r="F48" s="1082"/>
      <c r="G48" s="1082"/>
      <c r="H48" s="1082"/>
      <c r="I48" s="1082"/>
      <c r="J48" s="1082"/>
      <c r="K48" s="1082"/>
      <c r="L48" s="1082"/>
      <c r="M48" s="1082"/>
      <c r="N48" s="1"/>
      <c r="P48" s="1"/>
      <c r="Q48" s="366"/>
      <c r="R48" s="366"/>
      <c r="S48" s="366"/>
      <c r="T48" s="366"/>
    </row>
    <row r="49" spans="1:20" ht="15.75" customHeight="1" thickBot="1">
      <c r="A49" s="1083"/>
      <c r="B49" s="1083"/>
      <c r="C49" s="1083"/>
      <c r="D49" s="1083"/>
      <c r="E49" s="1083"/>
      <c r="F49" s="1083"/>
      <c r="G49" s="1083"/>
      <c r="H49" s="1083"/>
      <c r="I49" s="1083"/>
      <c r="J49" s="1083"/>
      <c r="K49" s="1083"/>
      <c r="L49" s="1083"/>
      <c r="M49" s="1083"/>
      <c r="N49" s="1"/>
      <c r="P49" s="1"/>
      <c r="Q49" s="366"/>
      <c r="R49" s="365"/>
      <c r="S49" s="498"/>
      <c r="T49" s="366"/>
    </row>
    <row r="50" spans="1:20" ht="15.75" thickTop="1">
      <c r="A50" s="1091" t="s">
        <v>28</v>
      </c>
      <c r="B50" s="1037"/>
      <c r="C50" s="1037"/>
      <c r="D50" s="1037"/>
      <c r="E50" s="1037"/>
      <c r="F50" s="1037"/>
      <c r="G50" s="1038"/>
      <c r="H50" s="1084" t="s">
        <v>260</v>
      </c>
      <c r="I50" s="1085"/>
      <c r="J50" s="1085"/>
      <c r="K50" s="1085"/>
      <c r="L50" s="1085"/>
      <c r="M50" s="1086"/>
      <c r="N50" s="1"/>
      <c r="P50" s="1"/>
      <c r="Q50" s="441"/>
      <c r="R50" s="199"/>
      <c r="S50" s="274"/>
      <c r="T50" s="366"/>
    </row>
    <row r="51" spans="1:20">
      <c r="A51" s="324" t="s">
        <v>2</v>
      </c>
      <c r="B51" s="495" t="s">
        <v>34</v>
      </c>
      <c r="C51" s="36" t="s">
        <v>35</v>
      </c>
      <c r="D51" s="36" t="s">
        <v>38</v>
      </c>
      <c r="E51" s="36" t="s">
        <v>42</v>
      </c>
      <c r="F51" s="495" t="s">
        <v>36</v>
      </c>
      <c r="G51" s="100" t="s">
        <v>173</v>
      </c>
      <c r="H51" s="43"/>
      <c r="I51" s="491" t="s">
        <v>35</v>
      </c>
      <c r="J51" s="491" t="s">
        <v>38</v>
      </c>
      <c r="K51" s="491" t="s">
        <v>42</v>
      </c>
      <c r="L51" s="263" t="s">
        <v>44</v>
      </c>
      <c r="M51" s="443"/>
      <c r="N51" s="1"/>
      <c r="P51" s="1"/>
      <c r="Q51" s="441"/>
      <c r="R51" s="199"/>
      <c r="S51" s="274"/>
      <c r="T51" s="366"/>
    </row>
    <row r="52" spans="1:20">
      <c r="A52" s="325" t="s">
        <v>251</v>
      </c>
      <c r="B52" s="161" t="s">
        <v>253</v>
      </c>
      <c r="C52" s="98" t="s">
        <v>252</v>
      </c>
      <c r="D52" s="98"/>
      <c r="E52" s="160"/>
      <c r="F52" s="162"/>
      <c r="G52" s="450"/>
      <c r="H52" s="43"/>
      <c r="I52" s="528">
        <v>529.24</v>
      </c>
      <c r="J52" s="530">
        <v>529.24</v>
      </c>
      <c r="K52" s="160">
        <f>I52-J52</f>
        <v>0</v>
      </c>
      <c r="L52" s="3">
        <v>43886</v>
      </c>
      <c r="M52" s="434"/>
      <c r="N52" s="1"/>
      <c r="P52" s="1"/>
      <c r="Q52" s="366"/>
      <c r="R52" s="366"/>
      <c r="S52" s="366"/>
      <c r="T52" s="366"/>
    </row>
    <row r="53" spans="1:20">
      <c r="A53" s="325">
        <v>43868</v>
      </c>
      <c r="B53" s="161" t="s">
        <v>255</v>
      </c>
      <c r="C53" s="98">
        <v>519.79999999999995</v>
      </c>
      <c r="D53" s="98">
        <v>519.79999999999995</v>
      </c>
      <c r="E53" s="160" t="str">
        <f>IF(C53-D53=0,"",C53-D53)</f>
        <v/>
      </c>
      <c r="F53" s="162" t="str">
        <f>IF(C53=0,"",IF(C53-D53=0,"оплачено","ОЖИДАЕТСЯ оплата"))</f>
        <v>оплачено</v>
      </c>
      <c r="G53" s="450"/>
      <c r="H53" s="43"/>
      <c r="I53" s="293"/>
      <c r="J53" s="293"/>
      <c r="K53" s="444"/>
      <c r="L53" s="144"/>
      <c r="M53" s="434"/>
      <c r="N53" s="1"/>
      <c r="P53" s="1"/>
      <c r="Q53" s="366"/>
      <c r="R53" s="366"/>
      <c r="S53" s="366"/>
      <c r="T53" s="366"/>
    </row>
    <row r="54" spans="1:20">
      <c r="A54" s="325">
        <v>43871</v>
      </c>
      <c r="B54" s="161" t="s">
        <v>256</v>
      </c>
      <c r="C54" s="275">
        <v>172.49</v>
      </c>
      <c r="D54" s="275">
        <v>172.49</v>
      </c>
      <c r="E54" s="160" t="str">
        <f t="shared" ref="E54:E67" si="3">IF(C54-D54=0,"",C54-D54)</f>
        <v/>
      </c>
      <c r="F54" s="162" t="str">
        <f t="shared" ref="F54:F67" si="4">IF(C54=0,"",IF(C54-D54=0,"оплачено","ОЖИДАЕТСЯ оплата"))</f>
        <v>оплачено</v>
      </c>
      <c r="G54" s="450"/>
      <c r="H54" s="43"/>
      <c r="I54" s="1"/>
      <c r="J54" s="366"/>
      <c r="K54" s="1"/>
      <c r="L54" s="1"/>
      <c r="M54" s="44"/>
      <c r="N54" s="1"/>
      <c r="O54" s="366"/>
      <c r="P54" s="1"/>
    </row>
    <row r="55" spans="1:20">
      <c r="A55" s="325">
        <v>43872</v>
      </c>
      <c r="B55" s="161" t="s">
        <v>205</v>
      </c>
      <c r="C55" s="98">
        <v>107.47</v>
      </c>
      <c r="D55" s="98">
        <v>107.47</v>
      </c>
      <c r="E55" s="160" t="str">
        <f t="shared" si="3"/>
        <v/>
      </c>
      <c r="F55" s="162" t="str">
        <f t="shared" si="4"/>
        <v>оплачено</v>
      </c>
      <c r="G55" s="450"/>
      <c r="H55" s="43"/>
      <c r="I55" s="1"/>
      <c r="J55" s="366"/>
      <c r="K55" s="1"/>
      <c r="L55" s="1"/>
      <c r="M55" s="44"/>
      <c r="N55" s="1"/>
      <c r="P55" s="1"/>
    </row>
    <row r="56" spans="1:20">
      <c r="A56" s="325">
        <v>43873</v>
      </c>
      <c r="B56" s="161" t="s">
        <v>222</v>
      </c>
      <c r="C56" s="98">
        <v>259.39</v>
      </c>
      <c r="D56" s="98">
        <v>259.39</v>
      </c>
      <c r="E56" s="160" t="str">
        <f t="shared" si="3"/>
        <v/>
      </c>
      <c r="F56" s="162" t="str">
        <f t="shared" si="4"/>
        <v>оплачено</v>
      </c>
      <c r="G56" s="450"/>
      <c r="H56" s="43"/>
      <c r="I56" s="1"/>
      <c r="J56" s="366"/>
      <c r="K56" s="1"/>
      <c r="L56" s="1"/>
      <c r="M56" s="44"/>
      <c r="N56" s="1"/>
      <c r="P56" s="1"/>
    </row>
    <row r="57" spans="1:20">
      <c r="A57" s="325">
        <v>43874</v>
      </c>
      <c r="B57" s="161" t="s">
        <v>255</v>
      </c>
      <c r="C57" s="275">
        <v>53</v>
      </c>
      <c r="D57" s="275">
        <v>53</v>
      </c>
      <c r="E57" s="160" t="str">
        <f t="shared" si="3"/>
        <v/>
      </c>
      <c r="F57" s="162" t="str">
        <f t="shared" si="4"/>
        <v>оплачено</v>
      </c>
      <c r="G57" s="450"/>
      <c r="H57" s="43"/>
      <c r="I57" s="1"/>
      <c r="J57" s="366"/>
      <c r="K57" s="1"/>
      <c r="L57" s="1"/>
      <c r="M57" s="44"/>
      <c r="N57" s="1"/>
      <c r="P57" s="1"/>
    </row>
    <row r="58" spans="1:20">
      <c r="A58" s="325">
        <v>43880</v>
      </c>
      <c r="B58" s="161" t="s">
        <v>205</v>
      </c>
      <c r="C58" s="275">
        <v>249.96</v>
      </c>
      <c r="D58" s="275">
        <v>249.96</v>
      </c>
      <c r="E58" s="160" t="str">
        <f t="shared" si="3"/>
        <v/>
      </c>
      <c r="F58" s="162" t="str">
        <f t="shared" si="4"/>
        <v>оплачено</v>
      </c>
      <c r="G58" s="450"/>
      <c r="H58" s="43"/>
      <c r="I58" s="1"/>
      <c r="J58" s="366"/>
      <c r="K58" s="1"/>
      <c r="L58" s="1"/>
      <c r="M58" s="44"/>
      <c r="N58" s="1"/>
      <c r="P58" s="1"/>
    </row>
    <row r="59" spans="1:20">
      <c r="A59" s="325">
        <v>43882</v>
      </c>
      <c r="B59" s="161" t="s">
        <v>255</v>
      </c>
      <c r="C59" s="275">
        <v>129.15</v>
      </c>
      <c r="D59" s="275">
        <v>129.15</v>
      </c>
      <c r="E59" s="160" t="str">
        <f t="shared" si="3"/>
        <v/>
      </c>
      <c r="F59" s="162" t="str">
        <f>IF(C59=0,"",IF(C59-D59=0,"оплачено","ОЖИДАЕТСЯ оплата"))</f>
        <v>оплачено</v>
      </c>
      <c r="G59" s="162"/>
      <c r="H59" s="43"/>
      <c r="I59" s="1"/>
      <c r="J59" s="366"/>
      <c r="K59" s="1"/>
      <c r="L59" s="1"/>
      <c r="M59" s="44"/>
      <c r="N59" s="1"/>
      <c r="O59" s="366"/>
      <c r="P59" s="1"/>
    </row>
    <row r="60" spans="1:20">
      <c r="A60" s="325">
        <v>43887</v>
      </c>
      <c r="B60" s="161" t="s">
        <v>212</v>
      </c>
      <c r="C60" s="275">
        <v>266.66000000000003</v>
      </c>
      <c r="D60" s="275">
        <v>266.66000000000003</v>
      </c>
      <c r="E60" s="160" t="str">
        <f t="shared" si="3"/>
        <v/>
      </c>
      <c r="F60" s="162" t="str">
        <f t="shared" si="4"/>
        <v>оплачено</v>
      </c>
      <c r="G60" s="162"/>
      <c r="H60" s="43"/>
      <c r="I60" s="1"/>
      <c r="J60" s="366"/>
      <c r="K60" s="1"/>
      <c r="L60" s="1"/>
      <c r="M60" s="44"/>
      <c r="N60" s="1"/>
      <c r="O60" s="366"/>
      <c r="P60" s="1"/>
    </row>
    <row r="61" spans="1:20">
      <c r="A61" s="325"/>
      <c r="B61" s="161"/>
      <c r="C61" s="275"/>
      <c r="D61" s="161"/>
      <c r="E61" s="160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O61" s="366"/>
      <c r="P61" s="1"/>
    </row>
    <row r="62" spans="1:20">
      <c r="A62" s="325"/>
      <c r="B62" s="161"/>
      <c r="C62" s="275"/>
      <c r="D62" s="161"/>
      <c r="E62" s="160" t="str">
        <f t="shared" si="3"/>
        <v/>
      </c>
      <c r="F62" s="162" t="str">
        <f t="shared" si="4"/>
        <v/>
      </c>
      <c r="G62" s="162" t="str">
        <f t="shared" ref="G62:G67" si="5">IF(C62=0,"",IF(C62-D62=0,"","нет накладной"))</f>
        <v/>
      </c>
      <c r="H62" s="43"/>
      <c r="I62" s="1"/>
      <c r="J62" s="366"/>
      <c r="K62" s="1"/>
      <c r="L62" s="1"/>
      <c r="M62" s="44"/>
      <c r="N62" s="1"/>
      <c r="O62" s="366"/>
      <c r="P62" s="1"/>
    </row>
    <row r="63" spans="1:20">
      <c r="A63" s="325"/>
      <c r="B63" s="161"/>
      <c r="C63" s="275"/>
      <c r="D63" s="275"/>
      <c r="E63" s="160" t="str">
        <f t="shared" si="3"/>
        <v/>
      </c>
      <c r="F63" s="162" t="str">
        <f t="shared" si="4"/>
        <v/>
      </c>
      <c r="G63" s="162" t="str">
        <f t="shared" si="5"/>
        <v/>
      </c>
      <c r="H63" s="43"/>
      <c r="I63" s="1"/>
      <c r="J63" s="366"/>
      <c r="K63" s="1"/>
      <c r="L63" s="1"/>
      <c r="M63" s="44"/>
      <c r="N63" s="1"/>
      <c r="O63" s="366"/>
      <c r="P63" s="1"/>
    </row>
    <row r="64" spans="1:20">
      <c r="A64" s="327"/>
      <c r="B64" s="161"/>
      <c r="C64" s="161"/>
      <c r="D64" s="161"/>
      <c r="E64" s="160" t="str">
        <f t="shared" si="3"/>
        <v/>
      </c>
      <c r="F64" s="162" t="str">
        <f t="shared" si="4"/>
        <v/>
      </c>
      <c r="G64" s="162" t="str">
        <f t="shared" si="5"/>
        <v/>
      </c>
      <c r="H64" s="43"/>
      <c r="I64" s="1"/>
      <c r="J64" s="366"/>
      <c r="K64" s="1"/>
      <c r="L64" s="1"/>
      <c r="M64" s="44"/>
      <c r="N64" s="1"/>
      <c r="O64" s="366"/>
      <c r="P64" s="1"/>
    </row>
    <row r="65" spans="1:23">
      <c r="A65" s="328"/>
      <c r="B65" s="161"/>
      <c r="C65" s="161"/>
      <c r="D65" s="161"/>
      <c r="E65" s="160" t="str">
        <f t="shared" si="3"/>
        <v/>
      </c>
      <c r="F65" s="162" t="str">
        <f t="shared" si="4"/>
        <v/>
      </c>
      <c r="G65" s="162" t="str">
        <f t="shared" si="5"/>
        <v/>
      </c>
      <c r="H65" s="43"/>
      <c r="I65" s="1"/>
      <c r="J65" s="366"/>
      <c r="K65" s="1"/>
      <c r="L65" s="1"/>
      <c r="M65" s="44"/>
      <c r="N65" s="1"/>
      <c r="O65" s="366"/>
      <c r="P65" s="1"/>
    </row>
    <row r="66" spans="1:23">
      <c r="A66" s="328"/>
      <c r="B66" s="161"/>
      <c r="C66" s="161"/>
      <c r="D66" s="161"/>
      <c r="E66" s="160" t="str">
        <f t="shared" si="3"/>
        <v/>
      </c>
      <c r="F66" s="162" t="str">
        <f t="shared" si="4"/>
        <v/>
      </c>
      <c r="G66" s="162" t="str">
        <f t="shared" si="5"/>
        <v/>
      </c>
      <c r="H66" s="43"/>
      <c r="I66" s="1"/>
      <c r="J66" s="366"/>
      <c r="K66" s="1"/>
      <c r="L66" s="1"/>
      <c r="M66" s="44"/>
      <c r="N66" s="1"/>
      <c r="O66" s="366"/>
      <c r="P66" s="366"/>
    </row>
    <row r="67" spans="1:23">
      <c r="A67" s="327"/>
      <c r="B67" s="161"/>
      <c r="C67" s="161"/>
      <c r="D67" s="161"/>
      <c r="E67" s="160" t="str">
        <f t="shared" si="3"/>
        <v/>
      </c>
      <c r="F67" s="162" t="str">
        <f t="shared" si="4"/>
        <v/>
      </c>
      <c r="G67" s="162" t="str">
        <f t="shared" si="5"/>
        <v/>
      </c>
      <c r="H67" s="43"/>
      <c r="I67" s="1"/>
      <c r="J67" s="366"/>
      <c r="K67" s="1"/>
      <c r="L67" s="1"/>
      <c r="M67" s="44"/>
      <c r="N67" s="1"/>
      <c r="O67" s="366"/>
      <c r="P67" s="366"/>
    </row>
    <row r="68" spans="1:23" ht="15.75" thickBot="1">
      <c r="A68" s="1092" t="s">
        <v>259</v>
      </c>
      <c r="B68" s="1093"/>
      <c r="C68" s="358">
        <f>SUM(C53:C67)</f>
        <v>1757.9200000000003</v>
      </c>
      <c r="D68" s="358"/>
      <c r="E68" s="160">
        <f>SUM(E52:E67)</f>
        <v>0</v>
      </c>
      <c r="F68" s="162"/>
      <c r="G68" s="451"/>
      <c r="H68" s="43"/>
      <c r="I68" s="1"/>
      <c r="J68" s="366"/>
      <c r="K68" s="1"/>
      <c r="L68" s="1"/>
      <c r="M68" s="44"/>
      <c r="N68" s="1"/>
      <c r="O68" s="366"/>
      <c r="P68" s="366"/>
    </row>
    <row r="69" spans="1:23" ht="15.75" thickTop="1">
      <c r="A69" s="351"/>
      <c r="B69" s="352"/>
      <c r="C69" s="353"/>
      <c r="D69" s="353"/>
      <c r="E69" s="354"/>
      <c r="F69" s="352"/>
      <c r="G69" s="376"/>
      <c r="H69" s="1039" t="s">
        <v>16</v>
      </c>
      <c r="I69" s="1041" t="s">
        <v>17</v>
      </c>
      <c r="J69" s="1041" t="s">
        <v>21</v>
      </c>
      <c r="K69" s="1041"/>
      <c r="L69" s="1043" t="s">
        <v>93</v>
      </c>
      <c r="M69" s="1045" t="s">
        <v>95</v>
      </c>
      <c r="N69" s="1"/>
      <c r="O69" s="366"/>
      <c r="P69" s="439"/>
    </row>
    <row r="70" spans="1:23" ht="24">
      <c r="A70" s="355"/>
      <c r="B70" s="201"/>
      <c r="C70" s="201"/>
      <c r="D70" s="201"/>
      <c r="E70" s="216"/>
      <c r="F70" s="201"/>
      <c r="G70" s="201"/>
      <c r="H70" s="1040"/>
      <c r="I70" s="1042"/>
      <c r="J70" s="492" t="s">
        <v>21</v>
      </c>
      <c r="K70" s="492" t="s">
        <v>25</v>
      </c>
      <c r="L70" s="1044"/>
      <c r="M70" s="1046"/>
      <c r="N70" s="1"/>
      <c r="O70" s="366"/>
      <c r="P70" s="439"/>
    </row>
    <row r="71" spans="1:23">
      <c r="A71" s="338"/>
      <c r="B71" s="199"/>
      <c r="C71" s="288"/>
      <c r="D71" s="232"/>
      <c r="E71" s="84"/>
      <c r="F71" s="199"/>
      <c r="G71" s="199"/>
      <c r="H71" s="347" t="s">
        <v>163</v>
      </c>
      <c r="I71" s="94">
        <v>2420.3999999999996</v>
      </c>
      <c r="J71" s="94">
        <v>115.5</v>
      </c>
      <c r="K71" s="496">
        <v>132.61000000000001</v>
      </c>
      <c r="L71" s="96">
        <v>22665.5</v>
      </c>
      <c r="M71" s="104">
        <f>L71-I71-J71-K71</f>
        <v>19996.989999999998</v>
      </c>
      <c r="N71" s="1"/>
      <c r="O71" s="449"/>
      <c r="P71" s="436"/>
      <c r="Q71" s="86"/>
      <c r="R71" s="86"/>
    </row>
    <row r="72" spans="1:23">
      <c r="A72" s="339"/>
      <c r="B72" s="199"/>
      <c r="C72" s="199"/>
      <c r="D72" s="273"/>
      <c r="E72" s="366"/>
      <c r="F72" s="84"/>
      <c r="G72" s="366"/>
      <c r="H72" s="347" t="s">
        <v>192</v>
      </c>
      <c r="I72" s="94">
        <v>7629.69</v>
      </c>
      <c r="J72" s="94">
        <v>352.29</v>
      </c>
      <c r="K72" s="94">
        <v>193.85000000000002</v>
      </c>
      <c r="L72" s="96">
        <v>10342</v>
      </c>
      <c r="M72" s="104">
        <f>M71-I72-J72-K72+L72</f>
        <v>22163.159999999996</v>
      </c>
      <c r="N72" s="1"/>
      <c r="O72" s="449"/>
      <c r="P72" s="436"/>
      <c r="Q72" s="86"/>
      <c r="R72" s="86"/>
    </row>
    <row r="73" spans="1:23">
      <c r="A73" s="339"/>
      <c r="B73" s="366"/>
      <c r="C73" s="199"/>
      <c r="D73" s="273"/>
      <c r="E73" s="366"/>
      <c r="F73" s="366"/>
      <c r="G73" s="366"/>
      <c r="H73" s="347" t="s">
        <v>199</v>
      </c>
      <c r="I73" s="298">
        <v>8423.6400000000012</v>
      </c>
      <c r="J73" s="94">
        <v>921.3</v>
      </c>
      <c r="K73" s="299">
        <v>312.46000000000004</v>
      </c>
      <c r="L73" s="299">
        <v>16668</v>
      </c>
      <c r="M73" s="104">
        <f>M72-I73-J73-K73+L73</f>
        <v>29173.759999999995</v>
      </c>
      <c r="N73" s="1"/>
      <c r="O73" s="449"/>
      <c r="P73" s="437"/>
      <c r="Q73" s="86"/>
      <c r="R73" s="86"/>
    </row>
    <row r="74" spans="1:23">
      <c r="A74" s="339"/>
      <c r="B74" s="1"/>
      <c r="C74" s="284"/>
      <c r="D74" s="273"/>
      <c r="E74" s="366"/>
      <c r="F74" s="366"/>
      <c r="G74" s="84"/>
      <c r="H74" s="347" t="s">
        <v>209</v>
      </c>
      <c r="I74" s="299">
        <v>8639.7199999999993</v>
      </c>
      <c r="J74" s="300">
        <v>749.49</v>
      </c>
      <c r="K74" s="552">
        <v>435.1</v>
      </c>
      <c r="L74" s="299">
        <v>17824.919999999998</v>
      </c>
      <c r="M74" s="104">
        <f>M73-I74-J74-K74+L74</f>
        <v>37174.369999999995</v>
      </c>
      <c r="N74" s="1"/>
      <c r="O74" s="449"/>
      <c r="P74" s="437"/>
      <c r="Q74" s="86"/>
      <c r="R74" s="86"/>
    </row>
    <row r="75" spans="1:23">
      <c r="A75" s="339"/>
      <c r="B75" s="199"/>
      <c r="C75" s="1"/>
      <c r="D75" s="273"/>
      <c r="E75" s="366"/>
      <c r="F75" s="366"/>
      <c r="G75" s="366"/>
      <c r="H75" s="348" t="s">
        <v>210</v>
      </c>
      <c r="I75" s="300"/>
      <c r="J75" s="299"/>
      <c r="K75" s="300"/>
      <c r="L75" s="299"/>
      <c r="M75" s="104"/>
      <c r="N75" s="1"/>
      <c r="O75" s="145"/>
      <c r="P75" s="437"/>
      <c r="R75" s="86"/>
    </row>
    <row r="76" spans="1:23" ht="15.75" thickBot="1">
      <c r="A76" s="339"/>
      <c r="B76" s="199"/>
      <c r="C76" s="1"/>
      <c r="D76" s="273"/>
      <c r="E76" s="366"/>
      <c r="F76" s="366"/>
      <c r="G76" s="366"/>
      <c r="H76" s="379" t="s">
        <v>211</v>
      </c>
      <c r="I76" s="380"/>
      <c r="J76" s="432"/>
      <c r="K76" s="381"/>
      <c r="L76" s="433"/>
      <c r="M76" s="382"/>
      <c r="N76" s="1"/>
      <c r="O76" s="366"/>
      <c r="P76" s="437"/>
      <c r="Q76" s="86"/>
      <c r="R76" s="86"/>
    </row>
    <row r="77" spans="1:23" ht="15.75" thickTop="1">
      <c r="A77" s="339"/>
      <c r="B77" s="199"/>
      <c r="C77" s="1"/>
      <c r="D77" s="273"/>
      <c r="E77" s="84"/>
      <c r="F77" s="366"/>
      <c r="G77" s="366"/>
      <c r="H77" s="1023" t="s">
        <v>36</v>
      </c>
      <c r="I77" s="1025" t="s">
        <v>178</v>
      </c>
      <c r="J77" s="1026"/>
      <c r="K77" s="1027"/>
      <c r="L77" s="1031" t="s">
        <v>159</v>
      </c>
      <c r="M77" s="1032"/>
      <c r="N77" s="1"/>
      <c r="O77" s="366"/>
      <c r="P77" s="437"/>
      <c r="Q77" s="86"/>
      <c r="R77" s="86"/>
    </row>
    <row r="78" spans="1:23">
      <c r="A78" s="339"/>
      <c r="B78" s="199"/>
      <c r="C78" s="284"/>
      <c r="D78" s="273"/>
      <c r="E78" s="284"/>
      <c r="F78" s="366"/>
      <c r="G78" s="378"/>
      <c r="H78" s="1024"/>
      <c r="I78" s="1028"/>
      <c r="J78" s="1029"/>
      <c r="K78" s="1030"/>
      <c r="L78" s="1033"/>
      <c r="M78" s="1034"/>
      <c r="N78" s="1"/>
      <c r="O78" s="366"/>
      <c r="P78" s="437"/>
      <c r="Q78" s="366"/>
      <c r="R78" s="366"/>
      <c r="S78" s="1"/>
      <c r="T78" s="1"/>
      <c r="U78" s="1"/>
      <c r="V78" s="1"/>
      <c r="W78" s="1"/>
    </row>
    <row r="79" spans="1:23">
      <c r="A79" s="339"/>
      <c r="B79" s="199"/>
      <c r="C79" s="199"/>
      <c r="D79" s="273"/>
      <c r="E79" s="199"/>
      <c r="F79" s="366"/>
      <c r="G79" s="378"/>
      <c r="H79" s="377" t="s">
        <v>250</v>
      </c>
      <c r="I79" s="1035" t="s">
        <v>47</v>
      </c>
      <c r="J79" s="1035"/>
      <c r="K79" s="533">
        <v>131.25</v>
      </c>
      <c r="L79" s="282">
        <v>46</v>
      </c>
      <c r="M79" s="44" t="s">
        <v>207</v>
      </c>
      <c r="P79" s="437"/>
      <c r="Q79" s="480"/>
      <c r="R79" s="366"/>
      <c r="S79" s="1"/>
      <c r="T79" s="1"/>
      <c r="U79" s="1"/>
      <c r="V79" s="1"/>
      <c r="W79" s="1"/>
    </row>
    <row r="80" spans="1:23">
      <c r="A80" s="339"/>
      <c r="B80" s="366"/>
      <c r="C80" s="274"/>
      <c r="D80" s="273"/>
      <c r="E80" s="274"/>
      <c r="F80" s="366"/>
      <c r="G80" s="366"/>
      <c r="H80" s="529" t="s">
        <v>250</v>
      </c>
      <c r="I80" s="1020" t="s">
        <v>51</v>
      </c>
      <c r="J80" s="1020"/>
      <c r="K80" s="534">
        <v>21.35</v>
      </c>
      <c r="L80" s="282">
        <v>46</v>
      </c>
      <c r="M80" s="44" t="s">
        <v>207</v>
      </c>
      <c r="P80" s="437"/>
      <c r="Q80" s="86"/>
      <c r="R80" s="86"/>
      <c r="S80" s="1"/>
      <c r="T80" s="1"/>
      <c r="U80" s="1"/>
      <c r="V80" s="1"/>
      <c r="W80" s="1"/>
    </row>
    <row r="81" spans="1:23">
      <c r="A81" s="340"/>
      <c r="B81" s="366"/>
      <c r="C81" s="366"/>
      <c r="D81" s="273"/>
      <c r="E81" s="199"/>
      <c r="F81" s="366"/>
      <c r="G81" s="366"/>
      <c r="H81" s="529" t="s">
        <v>250</v>
      </c>
      <c r="I81" s="1020" t="s">
        <v>52</v>
      </c>
      <c r="J81" s="1020"/>
      <c r="K81" s="534">
        <v>2.25</v>
      </c>
      <c r="L81" s="282">
        <v>46</v>
      </c>
      <c r="M81" s="44" t="s">
        <v>207</v>
      </c>
      <c r="R81" s="498"/>
      <c r="S81" s="1"/>
      <c r="T81" s="282"/>
      <c r="U81" s="1"/>
      <c r="V81" s="1"/>
      <c r="W81" s="1"/>
    </row>
    <row r="82" spans="1:23">
      <c r="A82" s="340"/>
      <c r="B82" s="366"/>
      <c r="C82" s="366"/>
      <c r="D82" s="273"/>
      <c r="E82" s="366"/>
      <c r="F82" s="366"/>
      <c r="G82" s="366"/>
      <c r="H82" s="529" t="s">
        <v>250</v>
      </c>
      <c r="I82" s="1020" t="s">
        <v>49</v>
      </c>
      <c r="J82" s="1020"/>
      <c r="K82" s="534">
        <v>89</v>
      </c>
      <c r="L82" s="282">
        <v>46</v>
      </c>
      <c r="M82" s="44" t="s">
        <v>247</v>
      </c>
      <c r="S82" s="1"/>
      <c r="T82" s="282"/>
      <c r="U82" s="1"/>
      <c r="V82" s="1"/>
      <c r="W82" s="1"/>
    </row>
    <row r="83" spans="1:23">
      <c r="A83" s="340"/>
      <c r="B83" s="366"/>
      <c r="C83" s="366"/>
      <c r="D83" s="273"/>
      <c r="E83" s="366"/>
      <c r="F83" s="366"/>
      <c r="G83" s="366"/>
      <c r="H83" s="529" t="s">
        <v>250</v>
      </c>
      <c r="I83" s="1088" t="s">
        <v>59</v>
      </c>
      <c r="J83" s="1088"/>
      <c r="K83" s="457">
        <v>234.83</v>
      </c>
      <c r="L83" s="302" t="s">
        <v>177</v>
      </c>
      <c r="M83" s="44" t="s">
        <v>207</v>
      </c>
      <c r="P83" s="553"/>
      <c r="Q83" s="485"/>
      <c r="R83" s="498"/>
      <c r="S83" s="1"/>
      <c r="T83" s="282"/>
      <c r="U83" s="1"/>
      <c r="V83" s="1"/>
      <c r="W83" s="1"/>
    </row>
    <row r="84" spans="1:23">
      <c r="A84" s="340"/>
      <c r="B84" s="199"/>
      <c r="C84" s="199"/>
      <c r="D84" s="273"/>
      <c r="E84" s="199"/>
      <c r="F84" s="366"/>
      <c r="G84" s="366"/>
      <c r="H84" s="529" t="s">
        <v>250</v>
      </c>
      <c r="I84" s="1089" t="s">
        <v>68</v>
      </c>
      <c r="J84" s="1090"/>
      <c r="K84" s="534">
        <v>56.96</v>
      </c>
      <c r="L84" s="282">
        <v>51</v>
      </c>
      <c r="M84" s="44" t="s">
        <v>207</v>
      </c>
      <c r="P84" s="362"/>
      <c r="Q84" s="498"/>
      <c r="R84" s="498"/>
      <c r="S84" s="1"/>
      <c r="T84" s="282"/>
      <c r="U84" s="1"/>
      <c r="V84" s="1"/>
      <c r="W84" s="1"/>
    </row>
    <row r="85" spans="1:23">
      <c r="A85" s="340"/>
      <c r="B85" s="199"/>
      <c r="C85" s="366"/>
      <c r="D85" s="273"/>
      <c r="E85" s="199"/>
      <c r="F85" s="366"/>
      <c r="G85" s="366"/>
      <c r="H85" s="529" t="s">
        <v>250</v>
      </c>
      <c r="I85" s="1021" t="s">
        <v>174</v>
      </c>
      <c r="J85" s="1022"/>
      <c r="K85" s="534">
        <v>257.08999999999997</v>
      </c>
      <c r="L85" s="282">
        <v>46</v>
      </c>
      <c r="M85" s="44" t="s">
        <v>207</v>
      </c>
      <c r="P85" s="362"/>
      <c r="Q85" s="498"/>
      <c r="R85" s="498"/>
      <c r="S85" s="1"/>
      <c r="T85" s="1"/>
      <c r="U85" s="1"/>
      <c r="V85" s="1"/>
      <c r="W85" s="1"/>
    </row>
    <row r="86" spans="1:23">
      <c r="A86" s="340"/>
      <c r="B86" s="199"/>
      <c r="C86" s="366"/>
      <c r="D86" s="273"/>
      <c r="E86" s="199"/>
      <c r="F86" s="366"/>
      <c r="G86" s="366"/>
      <c r="H86" s="350" t="s">
        <v>258</v>
      </c>
      <c r="I86" s="493" t="s">
        <v>176</v>
      </c>
      <c r="J86" s="494"/>
      <c r="K86" s="534"/>
      <c r="L86" s="282">
        <v>51</v>
      </c>
      <c r="M86" s="44" t="s">
        <v>207</v>
      </c>
      <c r="P86" s="362"/>
      <c r="Q86" s="498"/>
      <c r="R86" s="485"/>
      <c r="S86" s="1"/>
      <c r="T86" s="282"/>
      <c r="U86" s="1"/>
      <c r="V86" s="1"/>
      <c r="W86" s="1"/>
    </row>
    <row r="87" spans="1:23">
      <c r="A87" s="340"/>
      <c r="B87" s="199"/>
      <c r="C87" s="366"/>
      <c r="D87" s="273"/>
      <c r="E87" s="232"/>
      <c r="F87" s="366"/>
      <c r="G87" s="366"/>
      <c r="H87" s="529" t="s">
        <v>250</v>
      </c>
      <c r="I87" s="1021" t="s">
        <v>81</v>
      </c>
      <c r="J87" s="1022"/>
      <c r="K87" s="534">
        <v>588.48</v>
      </c>
      <c r="L87" s="282">
        <v>43871</v>
      </c>
      <c r="M87" s="44" t="s">
        <v>207</v>
      </c>
      <c r="P87" s="366"/>
      <c r="Q87" s="366"/>
      <c r="R87" s="365"/>
      <c r="S87" s="1"/>
      <c r="T87" s="282"/>
      <c r="U87" s="366"/>
      <c r="V87" s="1"/>
      <c r="W87" s="1"/>
    </row>
    <row r="88" spans="1:23">
      <c r="A88" s="340"/>
      <c r="B88" s="199"/>
      <c r="C88" s="366"/>
      <c r="D88" s="273"/>
      <c r="E88" s="232"/>
      <c r="F88" s="366"/>
      <c r="G88" s="366"/>
      <c r="H88" s="529" t="s">
        <v>250</v>
      </c>
      <c r="I88" s="1021" t="s">
        <v>53</v>
      </c>
      <c r="J88" s="1022"/>
      <c r="K88" s="455">
        <v>10</v>
      </c>
      <c r="L88" s="282">
        <v>46</v>
      </c>
      <c r="M88" s="44" t="s">
        <v>207</v>
      </c>
      <c r="P88" s="437"/>
      <c r="Q88" s="86"/>
      <c r="R88" s="86"/>
      <c r="S88" s="1"/>
      <c r="T88" s="282"/>
      <c r="U88" s="366"/>
      <c r="V88" s="1"/>
      <c r="W88" s="1"/>
    </row>
    <row r="89" spans="1:23">
      <c r="A89" s="340"/>
      <c r="B89" s="199"/>
      <c r="C89" s="366"/>
      <c r="D89" s="273"/>
      <c r="E89" s="232"/>
      <c r="F89" s="366"/>
      <c r="G89" s="366"/>
      <c r="H89" s="529" t="s">
        <v>250</v>
      </c>
      <c r="I89" s="1087" t="s">
        <v>61</v>
      </c>
      <c r="J89" s="1087"/>
      <c r="K89" s="530">
        <v>529.24</v>
      </c>
      <c r="L89" s="282">
        <v>51</v>
      </c>
      <c r="M89" s="44" t="s">
        <v>207</v>
      </c>
      <c r="S89" s="366"/>
      <c r="T89" s="282"/>
      <c r="U89" s="1"/>
      <c r="V89" s="1"/>
      <c r="W89" s="1"/>
    </row>
    <row r="90" spans="1:23" ht="15.75" thickBot="1">
      <c r="A90" s="341"/>
      <c r="B90" s="330"/>
      <c r="C90" s="331"/>
      <c r="D90" s="342"/>
      <c r="E90" s="330"/>
      <c r="F90" s="331"/>
      <c r="G90" s="331"/>
      <c r="H90" s="346"/>
      <c r="I90" s="361" t="s">
        <v>179</v>
      </c>
      <c r="J90" s="361">
        <f>SUM(K79:K89)</f>
        <v>1920.45</v>
      </c>
      <c r="K90" s="1018" t="s">
        <v>180</v>
      </c>
      <c r="L90" s="1018"/>
      <c r="M90" s="535">
        <v>0</v>
      </c>
      <c r="P90" s="366"/>
      <c r="Q90" s="365"/>
      <c r="R90" s="365"/>
      <c r="S90" s="366"/>
      <c r="T90" s="282"/>
      <c r="U90" s="1"/>
      <c r="V90" s="1"/>
      <c r="W90" s="1"/>
    </row>
    <row r="91" spans="1:23" ht="15.75" thickTop="1">
      <c r="C91" s="507"/>
      <c r="D91" s="507"/>
      <c r="P91" s="366"/>
      <c r="Q91" s="505"/>
      <c r="R91" s="365"/>
      <c r="S91" s="366"/>
      <c r="T91" s="282"/>
      <c r="U91" s="1"/>
      <c r="V91" s="1"/>
      <c r="W91" s="1"/>
    </row>
    <row r="92" spans="1:23">
      <c r="C92" s="447"/>
      <c r="P92" s="127"/>
      <c r="Q92" s="1"/>
      <c r="R92" s="1"/>
      <c r="S92" s="1"/>
      <c r="T92" s="1"/>
      <c r="U92" s="1"/>
      <c r="V92" s="1"/>
      <c r="W92" s="1"/>
    </row>
    <row r="93" spans="1:23">
      <c r="C93" s="447"/>
      <c r="P93" s="127"/>
      <c r="Q93" s="1"/>
      <c r="R93" s="1"/>
      <c r="S93" s="1"/>
      <c r="T93" s="1"/>
      <c r="U93" s="1"/>
      <c r="V93" s="1"/>
      <c r="W93" s="1"/>
    </row>
    <row r="94" spans="1:23">
      <c r="C94" s="447"/>
      <c r="E94" s="86"/>
      <c r="P94" s="189"/>
      <c r="R94" s="1"/>
      <c r="S94" s="1"/>
      <c r="T94" s="1"/>
      <c r="U94" s="1"/>
      <c r="V94" s="1"/>
      <c r="W94" s="1"/>
    </row>
    <row r="95" spans="1:23">
      <c r="C95" s="447"/>
      <c r="P95" s="127"/>
      <c r="Q95" s="1"/>
      <c r="R95" s="1"/>
      <c r="S95" s="1"/>
      <c r="T95" s="1"/>
      <c r="U95" s="1"/>
      <c r="V95" s="1"/>
      <c r="W95" s="1"/>
    </row>
    <row r="96" spans="1:23">
      <c r="C96" s="447"/>
      <c r="K96" s="506"/>
      <c r="P96" s="449"/>
      <c r="Q96" s="1"/>
      <c r="R96" s="1"/>
      <c r="S96" s="1"/>
      <c r="T96" s="1"/>
      <c r="U96" s="1"/>
      <c r="V96" s="1"/>
      <c r="W96" s="1"/>
    </row>
    <row r="97" spans="3:23">
      <c r="C97" s="447"/>
      <c r="P97" s="449"/>
      <c r="Q97" s="1"/>
      <c r="R97" s="1"/>
      <c r="S97" s="1"/>
      <c r="T97" s="1"/>
      <c r="U97" s="1"/>
      <c r="V97" s="1"/>
      <c r="W97" s="1"/>
    </row>
    <row r="98" spans="3:23">
      <c r="C98" s="447"/>
      <c r="M98" s="506"/>
      <c r="P98" s="449"/>
    </row>
    <row r="99" spans="3:23">
      <c r="C99" s="447"/>
      <c r="P99" s="449"/>
    </row>
    <row r="100" spans="3:23">
      <c r="C100" s="447"/>
      <c r="M100" s="1"/>
      <c r="P100" s="449"/>
    </row>
    <row r="101" spans="3:23">
      <c r="C101" s="447"/>
      <c r="M101" s="1"/>
      <c r="P101" s="449"/>
    </row>
    <row r="102" spans="3:23">
      <c r="C102" s="447"/>
      <c r="M102" s="1"/>
      <c r="P102" s="449"/>
    </row>
    <row r="103" spans="3:23">
      <c r="C103" s="447"/>
      <c r="M103" s="366"/>
      <c r="P103" s="449"/>
    </row>
    <row r="104" spans="3:23">
      <c r="C104" s="447"/>
      <c r="M104" s="366"/>
      <c r="P104" s="449"/>
    </row>
    <row r="105" spans="3:23">
      <c r="C105" s="447"/>
      <c r="M105" s="1"/>
      <c r="P105" s="449"/>
    </row>
    <row r="106" spans="3:23">
      <c r="C106" s="447"/>
      <c r="M106" s="1"/>
      <c r="P106" s="449"/>
    </row>
    <row r="107" spans="3:23">
      <c r="C107" s="447"/>
      <c r="M107" s="1"/>
      <c r="P107" s="449"/>
    </row>
    <row r="108" spans="3:23">
      <c r="C108" s="447"/>
      <c r="M108" s="1"/>
      <c r="P108" s="449"/>
    </row>
    <row r="109" spans="3:23">
      <c r="C109" s="447"/>
      <c r="P109" s="449"/>
    </row>
    <row r="110" spans="3:23">
      <c r="C110" s="447"/>
      <c r="P110" s="449"/>
    </row>
    <row r="111" spans="3:23">
      <c r="C111" s="447"/>
      <c r="P111" s="449"/>
    </row>
    <row r="112" spans="3:23">
      <c r="C112" s="447"/>
      <c r="P112" s="449"/>
    </row>
    <row r="113" spans="3:16">
      <c r="C113" s="447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</row>
    <row r="120" spans="3:16">
      <c r="C120" s="447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2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6"/>
      <c r="G2" s="226">
        <v>588.9</v>
      </c>
      <c r="H2" s="85"/>
      <c r="I2" s="465">
        <v>221.15</v>
      </c>
      <c r="J2" s="464"/>
      <c r="K2" s="464"/>
      <c r="L2" s="464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6"/>
      <c r="G3" s="22">
        <v>520.79999999999995</v>
      </c>
      <c r="H3" s="226"/>
      <c r="I3" s="465">
        <v>137</v>
      </c>
      <c r="J3" s="464"/>
      <c r="K3" s="464"/>
      <c r="L3" s="464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6">
        <v>238.6</v>
      </c>
      <c r="G4" s="226"/>
      <c r="H4" s="226"/>
      <c r="I4" s="465"/>
      <c r="J4" s="464"/>
      <c r="K4" s="464"/>
      <c r="L4" s="464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6">
        <v>234.1</v>
      </c>
      <c r="G5" s="226"/>
      <c r="H5" s="85"/>
      <c r="I5" s="465">
        <v>139.55000000000001</v>
      </c>
      <c r="J5" s="464"/>
      <c r="K5" s="464"/>
      <c r="L5" s="464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6"/>
      <c r="G6" s="226">
        <v>237</v>
      </c>
      <c r="H6" s="85"/>
      <c r="I6" s="465">
        <v>228.6</v>
      </c>
      <c r="J6" s="464"/>
      <c r="K6" s="464"/>
      <c r="L6" s="464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6"/>
      <c r="G7" s="226">
        <v>321.89999999999998</v>
      </c>
      <c r="H7" s="85"/>
      <c r="I7" s="465">
        <v>65</v>
      </c>
      <c r="J7" s="464"/>
      <c r="K7" s="464"/>
      <c r="L7" s="464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6">
        <v>158</v>
      </c>
      <c r="G8" s="226"/>
      <c r="H8" s="85"/>
      <c r="I8" s="465">
        <v>89</v>
      </c>
      <c r="J8" s="464"/>
      <c r="K8" s="464"/>
      <c r="L8" s="464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6"/>
      <c r="G9" s="226"/>
      <c r="H9" s="18">
        <v>460.72</v>
      </c>
      <c r="I9" s="465">
        <v>151.94999999999999</v>
      </c>
      <c r="J9" s="464"/>
      <c r="K9" s="464"/>
      <c r="L9" s="464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6"/>
      <c r="G10" s="226">
        <v>252.3</v>
      </c>
      <c r="H10" s="431"/>
      <c r="I10" s="465">
        <v>130.19999999999999</v>
      </c>
      <c r="J10" s="464"/>
      <c r="K10" s="464"/>
      <c r="L10" s="464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6"/>
      <c r="G11" s="226">
        <v>106.7</v>
      </c>
      <c r="H11" s="226"/>
      <c r="I11" s="465"/>
      <c r="J11" s="465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6"/>
      <c r="G12" s="226">
        <v>118.9</v>
      </c>
      <c r="H12" s="226"/>
      <c r="I12" s="465">
        <v>74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6"/>
      <c r="G13" s="226">
        <v>351.1</v>
      </c>
      <c r="H13" s="226"/>
      <c r="I13" s="465">
        <v>259.5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6"/>
      <c r="G14" s="226"/>
      <c r="H14" s="226">
        <v>329.8</v>
      </c>
      <c r="I14" s="465">
        <v>126.9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5</v>
      </c>
      <c r="C15" s="17">
        <v>43875</v>
      </c>
      <c r="D15" s="22"/>
      <c r="E15" s="22">
        <v>1579.05</v>
      </c>
      <c r="F15" s="226"/>
      <c r="G15" s="226">
        <v>93.5</v>
      </c>
      <c r="I15" s="14">
        <v>122.6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6"/>
      <c r="G16" s="226">
        <v>612.70000000000005</v>
      </c>
      <c r="H16" s="14"/>
      <c r="I16" s="465">
        <v>105.43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6"/>
      <c r="G17" s="226">
        <v>305.89999999999998</v>
      </c>
      <c r="H17" s="14"/>
      <c r="I17" s="465">
        <v>71.2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6"/>
      <c r="G18" s="226"/>
      <c r="H18" s="233">
        <v>160</v>
      </c>
      <c r="I18" s="465"/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6">
        <v>279.8</v>
      </c>
      <c r="G19" s="226"/>
      <c r="H19" s="14"/>
      <c r="I19" s="465">
        <v>181.1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3</v>
      </c>
      <c r="C20" s="17">
        <v>43880</v>
      </c>
      <c r="D20" s="22"/>
      <c r="E20" s="22">
        <v>1393.2</v>
      </c>
      <c r="F20" s="226">
        <v>148</v>
      </c>
      <c r="G20" s="226"/>
      <c r="H20" s="22"/>
      <c r="I20" s="468">
        <v>198.7</v>
      </c>
      <c r="J20" s="466"/>
      <c r="K20" s="466"/>
      <c r="L20" s="466"/>
    </row>
    <row r="21" spans="1:16" s="86" customFormat="1" ht="11.1" customHeight="1">
      <c r="B21" s="460">
        <f t="shared" si="0"/>
        <v>4</v>
      </c>
      <c r="C21" s="17">
        <v>43881</v>
      </c>
      <c r="D21" s="22">
        <v>994.55</v>
      </c>
      <c r="E21" s="22"/>
      <c r="F21" s="226"/>
      <c r="G21" s="226">
        <v>326.5</v>
      </c>
      <c r="H21" s="226"/>
      <c r="I21" s="468">
        <v>113.45</v>
      </c>
      <c r="J21" s="466"/>
      <c r="K21" s="468"/>
      <c r="L21" s="466"/>
    </row>
    <row r="22" spans="1:16" s="86" customFormat="1" ht="11.1" customHeight="1">
      <c r="B22" s="460">
        <f>IF(C22="","",WEEKDAY(C22,2))</f>
        <v>5</v>
      </c>
      <c r="C22" s="17">
        <v>43882</v>
      </c>
      <c r="D22" s="22">
        <v>987.85</v>
      </c>
      <c r="E22" s="22"/>
      <c r="F22" s="226"/>
      <c r="G22" s="226">
        <v>256.10000000000002</v>
      </c>
      <c r="H22" s="226"/>
      <c r="I22" s="468">
        <v>141.65</v>
      </c>
      <c r="J22" s="466"/>
      <c r="K22" s="466"/>
      <c r="L22" s="466"/>
    </row>
    <row r="23" spans="1:16" s="86" customFormat="1" ht="11.1" customHeight="1">
      <c r="B23" s="460">
        <f t="shared" si="0"/>
        <v>6</v>
      </c>
      <c r="C23" s="17">
        <v>43883</v>
      </c>
      <c r="D23" s="22"/>
      <c r="E23" s="22">
        <v>930.6</v>
      </c>
      <c r="F23" s="226">
        <v>281.10000000000002</v>
      </c>
      <c r="G23" s="226"/>
      <c r="H23" s="476"/>
      <c r="I23" s="468">
        <v>42.15</v>
      </c>
      <c r="J23" s="466"/>
      <c r="K23" s="466"/>
      <c r="L23" s="466"/>
    </row>
    <row r="24" spans="1:16" s="86" customFormat="1" ht="10.5" customHeight="1">
      <c r="B24" s="460">
        <f t="shared" si="0"/>
        <v>7</v>
      </c>
      <c r="C24" s="17">
        <v>43884</v>
      </c>
      <c r="D24" s="22"/>
      <c r="E24" s="22">
        <v>695.42</v>
      </c>
      <c r="F24" s="226"/>
      <c r="G24" s="226">
        <v>298.2</v>
      </c>
      <c r="H24" s="226"/>
      <c r="I24" s="468">
        <v>25.5</v>
      </c>
      <c r="J24" s="466"/>
      <c r="K24" s="466"/>
      <c r="L24" s="466"/>
    </row>
    <row r="25" spans="1:16" s="86" customFormat="1" ht="11.1" customHeight="1">
      <c r="B25" s="460">
        <f t="shared" si="0"/>
        <v>1</v>
      </c>
      <c r="C25" s="17">
        <v>43885</v>
      </c>
      <c r="D25" s="22"/>
      <c r="E25" s="22">
        <v>667.1</v>
      </c>
      <c r="F25" s="226"/>
      <c r="G25" s="226">
        <v>128.19999999999999</v>
      </c>
      <c r="H25" s="226"/>
      <c r="I25" s="468"/>
      <c r="J25" s="466"/>
      <c r="K25" s="466"/>
      <c r="L25" s="477"/>
    </row>
    <row r="26" spans="1:16" s="86" customFormat="1" ht="11.1" customHeight="1">
      <c r="B26" s="460">
        <f t="shared" si="0"/>
        <v>2</v>
      </c>
      <c r="C26" s="17">
        <v>43886</v>
      </c>
      <c r="D26" s="22"/>
      <c r="E26" s="22"/>
      <c r="F26" s="22">
        <v>785.7</v>
      </c>
      <c r="G26" s="515">
        <v>213.3</v>
      </c>
      <c r="H26" s="226"/>
      <c r="I26" s="468">
        <v>208.45</v>
      </c>
      <c r="J26" s="466"/>
      <c r="K26" s="466"/>
      <c r="L26" s="477"/>
    </row>
    <row r="27" spans="1:16" s="86" customFormat="1" ht="11.1" customHeight="1">
      <c r="B27" s="460">
        <f t="shared" si="0"/>
        <v>3</v>
      </c>
      <c r="C27" s="17">
        <v>43887</v>
      </c>
      <c r="D27" s="22"/>
      <c r="E27" s="22">
        <v>1096.75</v>
      </c>
      <c r="F27" s="226">
        <v>207</v>
      </c>
      <c r="G27" s="502"/>
      <c r="H27" s="226"/>
      <c r="I27" s="467">
        <v>103.1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4</v>
      </c>
      <c r="C28" s="17">
        <v>43888</v>
      </c>
      <c r="D28" s="22"/>
      <c r="E28" s="22">
        <v>726.31</v>
      </c>
      <c r="F28" s="226">
        <v>326.5</v>
      </c>
      <c r="G28" s="226"/>
      <c r="H28" s="226"/>
      <c r="I28" s="467">
        <v>173.9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5</v>
      </c>
      <c r="C29" s="17">
        <v>43889</v>
      </c>
      <c r="D29" s="22">
        <v>1409</v>
      </c>
      <c r="E29" s="22"/>
      <c r="F29" s="226"/>
      <c r="G29" s="226">
        <v>710.4</v>
      </c>
      <c r="H29" s="226"/>
      <c r="I29" s="467">
        <v>88.5</v>
      </c>
      <c r="J29" s="469"/>
      <c r="K29" s="469"/>
      <c r="L29" s="469"/>
      <c r="M29" s="366"/>
      <c r="N29" s="366"/>
      <c r="O29" s="366"/>
      <c r="P29" s="366"/>
    </row>
    <row r="30" spans="1:16" s="86" customFormat="1" ht="11.1" customHeight="1">
      <c r="B30" s="460">
        <f t="shared" si="0"/>
        <v>6</v>
      </c>
      <c r="C30" s="17">
        <v>43890</v>
      </c>
      <c r="D30" s="22">
        <v>1221.9000000000001</v>
      </c>
      <c r="E30" s="22"/>
      <c r="F30" s="226"/>
      <c r="G30" s="226">
        <v>587</v>
      </c>
      <c r="H30" s="226"/>
      <c r="I30" s="467">
        <v>137.19999999999999</v>
      </c>
      <c r="J30" s="467"/>
      <c r="K30" s="469"/>
      <c r="L30" s="469"/>
      <c r="M30" s="366"/>
      <c r="N30" s="366"/>
      <c r="O30" s="366"/>
      <c r="P30" s="366"/>
    </row>
    <row r="31" spans="1:16" s="86" customFormat="1" ht="11.1" customHeight="1">
      <c r="A31" s="475"/>
      <c r="B31" s="303" t="str">
        <f t="shared" si="0"/>
        <v/>
      </c>
      <c r="C31" s="115"/>
      <c r="D31" s="463"/>
      <c r="E31" s="463"/>
      <c r="F31" s="305"/>
      <c r="G31" s="305"/>
      <c r="H31" s="463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366"/>
      <c r="N32" s="366"/>
      <c r="O32" s="366"/>
      <c r="P32" s="366"/>
    </row>
    <row r="33" spans="1:19" ht="12.95" customHeight="1" thickBot="1">
      <c r="B33" s="21"/>
      <c r="C33" s="487" t="s">
        <v>225</v>
      </c>
      <c r="D33" s="85">
        <f>COUNT(D2:D32)</f>
        <v>13</v>
      </c>
      <c r="E33" s="85">
        <f>COUNT(E2:E32)</f>
        <v>15</v>
      </c>
      <c r="F33" s="85">
        <f>COUNT(F2:F32)</f>
        <v>9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12672.090000000002</v>
      </c>
      <c r="E34" s="238">
        <f>SUM(E2:E32)</f>
        <v>14881.58</v>
      </c>
      <c r="F34" s="238">
        <f>SUM(F2:F32)</f>
        <v>2658.8</v>
      </c>
      <c r="G34" s="238">
        <f>SUM(G2:G32)</f>
        <v>6029.4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11738.09</v>
      </c>
      <c r="E35" s="238">
        <v>12650.3</v>
      </c>
      <c r="F35" s="238">
        <v>2431.5</v>
      </c>
      <c r="G35" s="238">
        <v>5643.5</v>
      </c>
      <c r="H35" s="1"/>
      <c r="I35" s="292">
        <f>SUM(D2:E32)+F26</f>
        <v>28339.369999999995</v>
      </c>
      <c r="J35" s="292">
        <f>SUM(F2:G25)+H9+H14+H18+SUM(F27:G30)</f>
        <v>8639.7200000000012</v>
      </c>
      <c r="K35" s="454">
        <f>SUM(I2:I32)</f>
        <v>3335.7799999999997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934.00000000000182</v>
      </c>
      <c r="E36" s="88">
        <f>ABS(E34-E35)</f>
        <v>2231.2800000000007</v>
      </c>
      <c r="F36" s="88">
        <f>ABS(F34-F35)</f>
        <v>227.30000000000018</v>
      </c>
      <c r="G36" s="88">
        <f>ABS(G34-G35)</f>
        <v>385.89999999999964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19" ht="14.1" customHeight="1">
      <c r="B37" s="21"/>
      <c r="C37" s="487" t="s">
        <v>233</v>
      </c>
      <c r="D37" s="89">
        <f>ROUND(D36*1%,2)</f>
        <v>9.34</v>
      </c>
      <c r="E37" s="89">
        <f>ROUND(E36*1%,2)</f>
        <v>22.31</v>
      </c>
      <c r="F37" s="89">
        <f>ROUND(F36*1%,2)</f>
        <v>2.27</v>
      </c>
      <c r="G37" s="89">
        <f>ROUND(G36*1%,2)</f>
        <v>3.86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19" ht="14.1" customHeight="1">
      <c r="B38" s="21"/>
      <c r="C38" s="487" t="s">
        <v>234</v>
      </c>
      <c r="D38" s="89">
        <f>ROUND(3%*D35,2)</f>
        <v>352.14</v>
      </c>
      <c r="E38" s="89">
        <f>ROUND(3%*E35,2)</f>
        <v>379.51</v>
      </c>
      <c r="F38" s="89">
        <f>ROUND(3%*F35,2)</f>
        <v>72.95</v>
      </c>
      <c r="G38" s="89">
        <f>ROUND(3%*G35,2)</f>
        <v>169.31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4.1" customHeight="1">
      <c r="B39" s="21"/>
      <c r="C39" s="85" t="s">
        <v>7</v>
      </c>
      <c r="D39" s="87">
        <v>150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4.1" customHeight="1">
      <c r="B40" s="21"/>
      <c r="C40" s="85" t="s">
        <v>244</v>
      </c>
      <c r="D40" s="87">
        <f>ROUND(20*D33,2)</f>
        <v>260</v>
      </c>
      <c r="E40" s="87">
        <f>ROUND(20*E33,2)</f>
        <v>300</v>
      </c>
      <c r="F40" s="490">
        <f>ROUND(23*F33,2)</f>
        <v>207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4.1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4.1" customHeight="1">
      <c r="B42" s="21"/>
      <c r="C42" s="242" t="s">
        <v>26</v>
      </c>
      <c r="D42" s="243"/>
      <c r="E42" s="240">
        <v>100</v>
      </c>
      <c r="F42" s="87"/>
      <c r="G42" s="87"/>
      <c r="I42" s="283"/>
      <c r="J42" s="366"/>
      <c r="K42" s="366"/>
      <c r="L42" s="366"/>
      <c r="M42" s="366"/>
      <c r="N42" s="366"/>
      <c r="O42" s="366"/>
      <c r="P42" s="366"/>
    </row>
    <row r="43" spans="1:19" ht="14.1" customHeight="1">
      <c r="B43" s="21"/>
      <c r="C43" s="245" t="s">
        <v>77</v>
      </c>
      <c r="D43" s="456">
        <f>D37+D38+D39+D40-D41</f>
        <v>433.77000000000004</v>
      </c>
      <c r="E43" s="456">
        <f>E37+E38+E39+E40-E41-E42</f>
        <v>470.93999999999994</v>
      </c>
      <c r="F43" s="456">
        <f>F37+F38+F40</f>
        <v>282.22000000000003</v>
      </c>
      <c r="G43" s="456">
        <f>G37+G38+G39+G40-G41-G42</f>
        <v>330.0800000000001</v>
      </c>
      <c r="I43" s="366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86" t="s">
        <v>45</v>
      </c>
      <c r="D44" s="287">
        <f>D37+D38+D39+D40</f>
        <v>771.48</v>
      </c>
      <c r="E44" s="287">
        <f>E37+E38+E39+E40</f>
        <v>751.81999999999994</v>
      </c>
      <c r="F44" s="287">
        <f>F37+F38+F39+F40</f>
        <v>282.22000000000003</v>
      </c>
      <c r="G44" s="287">
        <f>G37+G38+G39+G40</f>
        <v>587.17000000000007</v>
      </c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7"/>
      <c r="F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433"/>
      <c r="J49" s="522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13" priority="1">
      <formula>$B2=7</formula>
    </cfRule>
    <cfRule type="expression" dxfId="12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topLeftCell="A28" zoomScale="70" zoomScaleNormal="70" zoomScaleSheetLayoutView="70" zoomScalePageLayoutView="70" workbookViewId="0">
      <selection activeCell="K39" sqref="K3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1082" t="s">
        <v>265</v>
      </c>
      <c r="B1" s="1082"/>
      <c r="C1" s="1082"/>
      <c r="D1" s="1082"/>
      <c r="E1" s="1082"/>
      <c r="F1" s="1082"/>
      <c r="G1" s="1082"/>
      <c r="H1" s="1082"/>
      <c r="I1" s="1082"/>
      <c r="J1" s="1082"/>
      <c r="K1" s="1082"/>
      <c r="L1" s="1082"/>
      <c r="M1" s="1082"/>
    </row>
    <row r="2" spans="1:33" ht="15.75" thickBot="1">
      <c r="A2" s="1083"/>
      <c r="B2" s="1083"/>
      <c r="C2" s="1083"/>
      <c r="D2" s="1083"/>
      <c r="E2" s="1083"/>
      <c r="F2" s="1083"/>
      <c r="G2" s="1083"/>
      <c r="H2" s="1083"/>
      <c r="I2" s="1083"/>
      <c r="J2" s="1083"/>
      <c r="K2" s="1083"/>
      <c r="L2" s="1083"/>
      <c r="M2" s="1083"/>
    </row>
    <row r="3" spans="1:33" ht="15.75" thickTop="1">
      <c r="A3" s="1091" t="s">
        <v>28</v>
      </c>
      <c r="B3" s="1037"/>
      <c r="C3" s="1037"/>
      <c r="D3" s="1037"/>
      <c r="E3" s="1037"/>
      <c r="F3" s="1037"/>
      <c r="G3" s="1038"/>
      <c r="H3" s="1097" t="s">
        <v>267</v>
      </c>
      <c r="I3" s="1098"/>
      <c r="J3" s="1098"/>
      <c r="K3" s="1098"/>
      <c r="L3" s="1098"/>
      <c r="M3" s="1099"/>
      <c r="N3" s="542"/>
      <c r="O3" s="1064" t="s">
        <v>60</v>
      </c>
      <c r="P3" s="1064"/>
      <c r="U3" s="1103" t="s">
        <v>168</v>
      </c>
      <c r="V3" s="1103"/>
      <c r="Y3" s="234" t="s">
        <v>283</v>
      </c>
      <c r="Z3" s="575" t="s">
        <v>287</v>
      </c>
      <c r="AD3" s="234" t="s">
        <v>283</v>
      </c>
      <c r="AE3" s="575" t="s">
        <v>288</v>
      </c>
    </row>
    <row r="4" spans="1:33" ht="21.75" customHeight="1">
      <c r="A4" s="324" t="s">
        <v>2</v>
      </c>
      <c r="B4" s="541" t="s">
        <v>34</v>
      </c>
      <c r="C4" s="36" t="s">
        <v>35</v>
      </c>
      <c r="D4" s="36" t="s">
        <v>38</v>
      </c>
      <c r="E4" s="36" t="s">
        <v>42</v>
      </c>
      <c r="F4" s="541" t="s">
        <v>36</v>
      </c>
      <c r="G4" s="100" t="s">
        <v>173</v>
      </c>
      <c r="H4" s="1078"/>
      <c r="I4" s="1079"/>
      <c r="J4" s="536" t="s">
        <v>35</v>
      </c>
      <c r="K4" s="536" t="s">
        <v>38</v>
      </c>
      <c r="L4" s="536" t="s">
        <v>42</v>
      </c>
      <c r="M4" s="100" t="s">
        <v>44</v>
      </c>
      <c r="N4" s="366"/>
      <c r="O4" s="549" t="s">
        <v>2</v>
      </c>
      <c r="P4" s="549" t="s">
        <v>34</v>
      </c>
      <c r="Q4" s="151" t="s">
        <v>38</v>
      </c>
      <c r="R4" s="151" t="s">
        <v>42</v>
      </c>
      <c r="S4" s="549" t="s">
        <v>100</v>
      </c>
      <c r="T4" s="366"/>
      <c r="U4" s="573" t="s">
        <v>2</v>
      </c>
      <c r="V4" s="573" t="s">
        <v>34</v>
      </c>
      <c r="W4" s="573" t="s">
        <v>282</v>
      </c>
      <c r="X4" s="366"/>
      <c r="Y4" s="573" t="s">
        <v>2</v>
      </c>
      <c r="Z4" s="573" t="s">
        <v>34</v>
      </c>
      <c r="AA4" s="573" t="s">
        <v>282</v>
      </c>
      <c r="AB4" s="573" t="s">
        <v>281</v>
      </c>
      <c r="AD4" s="573" t="s">
        <v>2</v>
      </c>
      <c r="AE4" s="573" t="s">
        <v>34</v>
      </c>
      <c r="AF4" s="573" t="s">
        <v>282</v>
      </c>
      <c r="AG4" s="573" t="s">
        <v>281</v>
      </c>
    </row>
    <row r="5" spans="1:33">
      <c r="A5" s="325">
        <v>43906</v>
      </c>
      <c r="B5" s="161" t="s">
        <v>221</v>
      </c>
      <c r="C5" s="275">
        <v>249.16</v>
      </c>
      <c r="D5" s="275">
        <v>249.16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080" t="s">
        <v>39</v>
      </c>
      <c r="I5" s="1055"/>
      <c r="J5" s="531">
        <v>1564.38</v>
      </c>
      <c r="K5" s="577">
        <v>1564.38</v>
      </c>
      <c r="L5" s="160">
        <f>J5-K5</f>
        <v>0</v>
      </c>
      <c r="M5" s="101">
        <v>43910</v>
      </c>
      <c r="N5" s="144"/>
      <c r="O5" s="268"/>
      <c r="P5" s="549" t="s">
        <v>133</v>
      </c>
      <c r="Q5" s="549">
        <v>1400</v>
      </c>
      <c r="R5" s="549"/>
      <c r="S5" s="161" t="s">
        <v>292</v>
      </c>
      <c r="T5" s="366"/>
      <c r="U5" s="151">
        <v>43895</v>
      </c>
      <c r="V5" s="573" t="s">
        <v>274</v>
      </c>
      <c r="W5" s="161">
        <f>225.7+250</f>
        <v>475.7</v>
      </c>
      <c r="X5" s="366"/>
      <c r="Y5" s="151">
        <v>43895</v>
      </c>
      <c r="Z5" s="573" t="s">
        <v>274</v>
      </c>
      <c r="AA5" s="161">
        <v>60</v>
      </c>
      <c r="AB5" s="572">
        <v>116</v>
      </c>
      <c r="AD5" s="151">
        <v>43895</v>
      </c>
      <c r="AE5" s="573" t="s">
        <v>275</v>
      </c>
      <c r="AF5" s="161">
        <f>AG5/2</f>
        <v>160</v>
      </c>
      <c r="AG5" s="572">
        <v>320</v>
      </c>
    </row>
    <row r="6" spans="1:33" s="86" customFormat="1" ht="16.5" customHeight="1">
      <c r="A6" s="325">
        <v>43908</v>
      </c>
      <c r="B6" s="161" t="s">
        <v>295</v>
      </c>
      <c r="C6" s="275">
        <v>603.29999999999995</v>
      </c>
      <c r="D6" s="275">
        <v>603.29999999999995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 t="s">
        <v>308</v>
      </c>
      <c r="H6" s="1094" t="s">
        <v>40</v>
      </c>
      <c r="I6" s="1095"/>
      <c r="J6" s="482">
        <v>815.26</v>
      </c>
      <c r="K6" s="549">
        <f>295+130+390.26</f>
        <v>815.26</v>
      </c>
      <c r="L6" s="481">
        <f>J6-K6</f>
        <v>0</v>
      </c>
      <c r="M6" s="483">
        <v>43914</v>
      </c>
      <c r="N6" s="449"/>
      <c r="O6" s="268"/>
      <c r="P6" s="549" t="s">
        <v>123</v>
      </c>
      <c r="Q6" s="549">
        <v>3000</v>
      </c>
      <c r="R6" s="549"/>
      <c r="S6" s="549" t="s">
        <v>291</v>
      </c>
      <c r="U6" s="151">
        <v>43895</v>
      </c>
      <c r="V6" s="573" t="s">
        <v>275</v>
      </c>
      <c r="W6" s="573">
        <v>850</v>
      </c>
      <c r="Y6" s="151">
        <v>43895</v>
      </c>
      <c r="Z6" s="573" t="s">
        <v>275</v>
      </c>
      <c r="AA6" s="573">
        <v>850</v>
      </c>
      <c r="AB6" s="573">
        <v>1576</v>
      </c>
      <c r="AD6" s="151">
        <v>43898</v>
      </c>
      <c r="AE6" s="573" t="s">
        <v>284</v>
      </c>
      <c r="AF6" s="573">
        <v>692</v>
      </c>
      <c r="AG6" s="573">
        <v>1998</v>
      </c>
    </row>
    <row r="7" spans="1:33" s="86" customFormat="1">
      <c r="A7" s="325"/>
      <c r="B7" s="161" t="s">
        <v>295</v>
      </c>
      <c r="C7" s="275">
        <v>803.3</v>
      </c>
      <c r="D7" s="275">
        <v>803.3</v>
      </c>
      <c r="E7" s="160" t="str">
        <f t="shared" si="0"/>
        <v/>
      </c>
      <c r="F7" s="162" t="str">
        <f t="shared" si="1"/>
        <v>оплачено</v>
      </c>
      <c r="G7" s="162" t="s">
        <v>308</v>
      </c>
      <c r="H7" s="340"/>
      <c r="I7" s="366"/>
      <c r="J7" s="514">
        <f>SUM(J5:J6)</f>
        <v>2379.6400000000003</v>
      </c>
      <c r="K7" s="366"/>
      <c r="L7" s="84"/>
      <c r="M7" s="314"/>
      <c r="N7" s="366"/>
      <c r="O7" s="268"/>
      <c r="P7" s="549" t="s">
        <v>27</v>
      </c>
      <c r="Q7" s="549">
        <v>677</v>
      </c>
      <c r="R7" s="549"/>
      <c r="S7" s="549"/>
      <c r="U7" s="151">
        <v>43898</v>
      </c>
      <c r="V7" s="573" t="s">
        <v>276</v>
      </c>
      <c r="W7" s="573">
        <v>1200</v>
      </c>
      <c r="Y7" s="151">
        <v>43898</v>
      </c>
      <c r="Z7" s="573" t="s">
        <v>276</v>
      </c>
      <c r="AA7" s="573">
        <v>325</v>
      </c>
      <c r="AB7" s="573">
        <v>580.5</v>
      </c>
      <c r="AD7" s="151"/>
      <c r="AE7" s="573" t="s">
        <v>278</v>
      </c>
      <c r="AF7" s="1104">
        <f>AG7/2</f>
        <v>289.5</v>
      </c>
      <c r="AG7" s="1104">
        <v>579</v>
      </c>
    </row>
    <row r="8" spans="1:33" s="86" customFormat="1">
      <c r="A8" s="325">
        <v>43913</v>
      </c>
      <c r="B8" s="161" t="s">
        <v>256</v>
      </c>
      <c r="C8" s="275">
        <v>258.97000000000003</v>
      </c>
      <c r="D8" s="275">
        <v>258.97000000000003</v>
      </c>
      <c r="E8" s="160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268"/>
      <c r="P8" s="549" t="s">
        <v>290</v>
      </c>
      <c r="Q8" s="549">
        <v>870</v>
      </c>
      <c r="R8" s="549"/>
      <c r="S8" s="549"/>
      <c r="U8" s="151">
        <v>43898</v>
      </c>
      <c r="V8" s="573" t="s">
        <v>278</v>
      </c>
      <c r="W8" s="573">
        <v>1200</v>
      </c>
      <c r="Y8" s="151">
        <v>43898</v>
      </c>
      <c r="Z8" s="573" t="s">
        <v>277</v>
      </c>
      <c r="AA8" s="573">
        <f>AB8/2</f>
        <v>48.5</v>
      </c>
      <c r="AB8" s="573">
        <v>97</v>
      </c>
      <c r="AD8" s="151"/>
      <c r="AE8" s="573" t="s">
        <v>285</v>
      </c>
      <c r="AF8" s="1105"/>
      <c r="AG8" s="1105"/>
    </row>
    <row r="9" spans="1:33" s="86" customFormat="1">
      <c r="A9" s="325">
        <v>43914</v>
      </c>
      <c r="B9" s="161" t="s">
        <v>254</v>
      </c>
      <c r="C9" s="669">
        <v>132.30000000000001</v>
      </c>
      <c r="D9" s="275">
        <v>132.30000000000001</v>
      </c>
      <c r="E9" s="160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268"/>
      <c r="P9" s="549" t="s">
        <v>293</v>
      </c>
      <c r="Q9" s="549">
        <v>435</v>
      </c>
      <c r="R9" s="549"/>
      <c r="S9" s="549"/>
      <c r="U9" s="151">
        <v>43901</v>
      </c>
      <c r="V9" s="573" t="s">
        <v>279</v>
      </c>
      <c r="W9" s="58">
        <v>956.8</v>
      </c>
      <c r="Y9" s="151">
        <v>43898</v>
      </c>
      <c r="Z9" s="573" t="s">
        <v>278</v>
      </c>
      <c r="AA9" s="573">
        <f>AB9/2</f>
        <v>102</v>
      </c>
      <c r="AB9" s="573">
        <v>204</v>
      </c>
      <c r="AD9" s="151"/>
      <c r="AE9" s="573" t="s">
        <v>286</v>
      </c>
      <c r="AF9" s="573">
        <f>AG9/2</f>
        <v>59</v>
      </c>
      <c r="AG9" s="573">
        <v>118</v>
      </c>
    </row>
    <row r="10" spans="1:33" s="86" customFormat="1" ht="15" customHeight="1">
      <c r="A10" s="325">
        <v>43920</v>
      </c>
      <c r="B10" s="276" t="s">
        <v>155</v>
      </c>
      <c r="C10" s="275">
        <v>66.099999999999994</v>
      </c>
      <c r="D10" s="275">
        <v>66.099999999999994</v>
      </c>
      <c r="E10" s="160" t="str">
        <f t="shared" si="0"/>
        <v/>
      </c>
      <c r="F10" s="162" t="str">
        <f t="shared" si="1"/>
        <v>оплачено</v>
      </c>
      <c r="G10" s="162"/>
      <c r="H10" s="340"/>
      <c r="I10" s="366"/>
      <c r="J10" s="366"/>
      <c r="K10" s="366"/>
      <c r="L10" s="366"/>
      <c r="M10" s="314"/>
      <c r="N10" s="547"/>
      <c r="O10" s="268"/>
      <c r="P10" s="579" t="s">
        <v>133</v>
      </c>
      <c r="Q10" s="579">
        <f>810+561</f>
        <v>1371</v>
      </c>
      <c r="R10" s="579"/>
      <c r="S10" s="579"/>
      <c r="U10" s="151">
        <v>43901</v>
      </c>
      <c r="V10" s="573" t="s">
        <v>280</v>
      </c>
      <c r="W10" s="58">
        <v>1100</v>
      </c>
      <c r="Y10" s="151">
        <v>43901</v>
      </c>
      <c r="Z10" s="573" t="s">
        <v>279</v>
      </c>
      <c r="AA10" s="573">
        <v>956.8</v>
      </c>
      <c r="AB10" s="573">
        <v>1475</v>
      </c>
      <c r="AD10" s="151"/>
      <c r="AE10" s="573" t="s">
        <v>294</v>
      </c>
      <c r="AF10" s="573">
        <v>718</v>
      </c>
      <c r="AG10" s="573"/>
    </row>
    <row r="11" spans="1:33" ht="18.75" customHeight="1">
      <c r="A11" s="325">
        <v>43916</v>
      </c>
      <c r="B11" s="161" t="s">
        <v>205</v>
      </c>
      <c r="C11" s="669">
        <v>261.36</v>
      </c>
      <c r="D11" s="275">
        <v>261.36</v>
      </c>
      <c r="E11" s="160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547"/>
      <c r="O11" s="268"/>
      <c r="P11" s="579" t="s">
        <v>123</v>
      </c>
      <c r="Q11" s="579">
        <v>750</v>
      </c>
      <c r="R11" s="579"/>
      <c r="S11" s="579"/>
      <c r="T11" s="366"/>
      <c r="U11" s="366"/>
      <c r="V11" s="574" t="s">
        <v>294</v>
      </c>
      <c r="W11" s="92">
        <v>3000</v>
      </c>
      <c r="X11" s="366"/>
      <c r="Y11" s="151">
        <v>43901</v>
      </c>
      <c r="Z11" s="573" t="s">
        <v>280</v>
      </c>
      <c r="AA11" s="572">
        <f>AB11/2</f>
        <v>769</v>
      </c>
      <c r="AB11" s="573">
        <v>1538</v>
      </c>
      <c r="AD11" s="151"/>
      <c r="AE11" s="573"/>
      <c r="AF11" s="572"/>
      <c r="AG11" s="573"/>
    </row>
    <row r="12" spans="1:33" ht="15.75" customHeight="1">
      <c r="A12" s="325">
        <v>43921</v>
      </c>
      <c r="B12" s="161" t="s">
        <v>243</v>
      </c>
      <c r="C12" s="669">
        <v>450</v>
      </c>
      <c r="D12" s="275">
        <v>450</v>
      </c>
      <c r="E12" s="160" t="str">
        <f t="shared" si="0"/>
        <v/>
      </c>
      <c r="F12" s="162" t="str">
        <f t="shared" si="1"/>
        <v>оплачено</v>
      </c>
      <c r="G12" s="162" t="str">
        <f t="shared" ref="G12:G20" si="2">IF(C12=0,"",IF(C12-D12=0,"","нет накладной"))</f>
        <v/>
      </c>
      <c r="H12" s="43"/>
      <c r="I12" s="1"/>
      <c r="J12" s="366"/>
      <c r="K12" s="1"/>
      <c r="L12" s="1"/>
      <c r="M12" s="44"/>
      <c r="N12" s="547"/>
      <c r="O12" s="448"/>
      <c r="P12" s="580" t="s">
        <v>27</v>
      </c>
      <c r="Q12" s="574">
        <v>472.5</v>
      </c>
      <c r="R12" s="366"/>
      <c r="S12" s="366"/>
      <c r="T12" s="366"/>
      <c r="U12" s="366"/>
      <c r="V12" s="574" t="s">
        <v>132</v>
      </c>
      <c r="W12" s="92">
        <v>1219</v>
      </c>
      <c r="X12" s="366"/>
      <c r="Y12" s="151">
        <v>43902</v>
      </c>
      <c r="Z12" s="573" t="s">
        <v>277</v>
      </c>
      <c r="AA12" s="572">
        <v>250</v>
      </c>
      <c r="AB12" s="573">
        <v>505.5</v>
      </c>
      <c r="AD12" s="151"/>
      <c r="AE12" s="573"/>
      <c r="AF12" s="572"/>
      <c r="AG12" s="573"/>
    </row>
    <row r="13" spans="1:33" ht="14.25" customHeight="1">
      <c r="A13" s="325"/>
      <c r="B13" s="161"/>
      <c r="C13" s="275"/>
      <c r="D13" s="275"/>
      <c r="E13" s="160" t="str">
        <f t="shared" si="0"/>
        <v/>
      </c>
      <c r="F13" s="162" t="str">
        <f t="shared" si="1"/>
        <v/>
      </c>
      <c r="G13" s="162" t="str">
        <f t="shared" si="2"/>
        <v/>
      </c>
      <c r="H13" s="43"/>
      <c r="I13" s="1"/>
      <c r="J13" s="366"/>
      <c r="K13" s="1"/>
      <c r="L13" s="1"/>
      <c r="M13" s="44"/>
      <c r="N13" s="547"/>
      <c r="O13" s="127"/>
      <c r="P13" s="574" t="s">
        <v>132</v>
      </c>
      <c r="Q13" s="366">
        <v>1219</v>
      </c>
      <c r="R13" s="366"/>
      <c r="S13" s="366"/>
      <c r="T13" s="366"/>
      <c r="U13" s="366"/>
      <c r="V13" s="366"/>
      <c r="W13" s="366">
        <f>SUM(W5:W12)</f>
        <v>10001.5</v>
      </c>
      <c r="X13" s="366"/>
      <c r="Z13" s="574" t="s">
        <v>293</v>
      </c>
      <c r="AA13" s="1">
        <v>435</v>
      </c>
      <c r="AE13" s="574" t="s">
        <v>289</v>
      </c>
      <c r="AF13" s="35">
        <f>SUM(AF5:AF12)</f>
        <v>1918.5</v>
      </c>
    </row>
    <row r="14" spans="1:33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162" t="str">
        <f t="shared" si="2"/>
        <v/>
      </c>
      <c r="H14" s="43"/>
      <c r="I14" s="1"/>
      <c r="J14" s="366"/>
      <c r="K14" s="1"/>
      <c r="L14" s="1"/>
      <c r="M14" s="44"/>
      <c r="N14" s="547"/>
      <c r="O14" s="366"/>
      <c r="P14" s="574" t="s">
        <v>294</v>
      </c>
      <c r="Q14" s="366">
        <v>1700</v>
      </c>
      <c r="R14" s="366"/>
      <c r="S14" s="366"/>
      <c r="T14" s="366"/>
      <c r="U14" s="86"/>
      <c r="V14" s="86"/>
      <c r="W14" s="366"/>
      <c r="X14" s="366"/>
      <c r="Z14" s="574" t="s">
        <v>132</v>
      </c>
      <c r="AA14" s="366">
        <v>1219</v>
      </c>
    </row>
    <row r="15" spans="1:33" ht="14.25" customHeight="1">
      <c r="A15" s="325"/>
      <c r="B15" s="161"/>
      <c r="C15" s="275"/>
      <c r="D15" s="275"/>
      <c r="E15" s="160" t="str">
        <f t="shared" si="0"/>
        <v/>
      </c>
      <c r="F15" s="162" t="str">
        <f t="shared" si="1"/>
        <v/>
      </c>
      <c r="G15" s="162" t="str">
        <f t="shared" si="2"/>
        <v/>
      </c>
      <c r="H15" s="43"/>
      <c r="I15" s="1"/>
      <c r="J15" s="366"/>
      <c r="K15" s="1"/>
      <c r="L15" s="1"/>
      <c r="M15" s="44"/>
      <c r="N15" s="547"/>
      <c r="O15" s="366"/>
      <c r="P15" s="580" t="s">
        <v>274</v>
      </c>
      <c r="Q15" s="161">
        <v>60</v>
      </c>
      <c r="R15" s="366"/>
      <c r="S15" s="366"/>
      <c r="T15" s="366"/>
      <c r="U15" s="86"/>
      <c r="V15" s="86"/>
      <c r="W15" s="366"/>
      <c r="X15" s="366"/>
      <c r="Z15" s="574" t="s">
        <v>294</v>
      </c>
      <c r="AA15" s="366">
        <v>1700</v>
      </c>
      <c r="AF15" s="35">
        <f>AF13+AA16</f>
        <v>8633.7999999999993</v>
      </c>
    </row>
    <row r="16" spans="1:33">
      <c r="A16" s="325"/>
      <c r="B16" s="161"/>
      <c r="C16" s="275"/>
      <c r="D16" s="275"/>
      <c r="E16" s="160" t="str">
        <f t="shared" si="0"/>
        <v/>
      </c>
      <c r="F16" s="162" t="str">
        <f t="shared" si="1"/>
        <v/>
      </c>
      <c r="G16" s="162" t="str">
        <f t="shared" si="2"/>
        <v/>
      </c>
      <c r="H16" s="43"/>
      <c r="I16" s="1"/>
      <c r="J16" s="366"/>
      <c r="K16" s="1"/>
      <c r="L16" s="1"/>
      <c r="M16" s="44"/>
      <c r="N16" s="295"/>
      <c r="O16" s="366"/>
      <c r="P16" s="580" t="s">
        <v>275</v>
      </c>
      <c r="Q16" s="580">
        <v>850</v>
      </c>
      <c r="R16" s="366"/>
      <c r="S16" s="86"/>
      <c r="T16" s="86"/>
      <c r="U16" s="86"/>
      <c r="V16" s="86"/>
      <c r="W16" s="86"/>
      <c r="X16" s="86"/>
      <c r="Z16" s="574" t="s">
        <v>289</v>
      </c>
      <c r="AA16" s="35">
        <f>SUM(AA5:AA15)</f>
        <v>6715.3</v>
      </c>
    </row>
    <row r="17" spans="1:26">
      <c r="A17" s="325"/>
      <c r="B17" s="161"/>
      <c r="C17" s="275"/>
      <c r="D17" s="275"/>
      <c r="E17" s="160" t="str">
        <f t="shared" si="0"/>
        <v/>
      </c>
      <c r="F17" s="162" t="str">
        <f t="shared" si="1"/>
        <v/>
      </c>
      <c r="G17" s="162" t="str">
        <f t="shared" si="2"/>
        <v/>
      </c>
      <c r="H17" s="43"/>
      <c r="I17" s="1"/>
      <c r="J17" s="366"/>
      <c r="K17" s="1"/>
      <c r="L17" s="1"/>
      <c r="M17" s="44"/>
      <c r="N17" s="295"/>
      <c r="O17" s="366"/>
      <c r="P17" s="574" t="s">
        <v>296</v>
      </c>
      <c r="Q17" s="522">
        <v>800</v>
      </c>
      <c r="R17" s="366"/>
      <c r="S17" s="86"/>
      <c r="T17" s="86"/>
      <c r="U17" s="86"/>
      <c r="V17" s="86"/>
      <c r="W17" s="86"/>
      <c r="X17" s="86"/>
    </row>
    <row r="18" spans="1:26" ht="15.75" customHeight="1">
      <c r="A18" s="325"/>
      <c r="B18" s="161"/>
      <c r="C18" s="275"/>
      <c r="D18" s="275"/>
      <c r="E18" s="160" t="str">
        <f t="shared" si="0"/>
        <v/>
      </c>
      <c r="F18" s="162" t="str">
        <f t="shared" si="1"/>
        <v/>
      </c>
      <c r="G18" s="162" t="str">
        <f t="shared" si="2"/>
        <v/>
      </c>
      <c r="H18" s="43"/>
      <c r="I18" s="1"/>
      <c r="J18" s="366"/>
      <c r="K18" s="1"/>
      <c r="L18" s="1"/>
      <c r="M18" s="44"/>
      <c r="N18" s="295"/>
      <c r="O18" s="150"/>
      <c r="P18" s="574" t="s">
        <v>297</v>
      </c>
      <c r="Q18" s="522">
        <v>1100</v>
      </c>
      <c r="R18" s="366"/>
      <c r="S18" s="86"/>
      <c r="T18" s="86"/>
      <c r="U18" s="86"/>
      <c r="V18" s="86"/>
      <c r="W18" s="86"/>
      <c r="X18" s="86"/>
    </row>
    <row r="19" spans="1:26">
      <c r="A19" s="325"/>
      <c r="B19" s="161"/>
      <c r="C19" s="275"/>
      <c r="D19" s="275"/>
      <c r="E19" s="160" t="str">
        <f t="shared" si="0"/>
        <v/>
      </c>
      <c r="F19" s="162" t="str">
        <f t="shared" si="1"/>
        <v/>
      </c>
      <c r="G19" s="162" t="str">
        <f t="shared" si="2"/>
        <v/>
      </c>
      <c r="H19" s="43"/>
      <c r="I19" s="1"/>
      <c r="J19" s="366"/>
      <c r="K19" s="1"/>
      <c r="L19" s="1"/>
      <c r="M19" s="44"/>
      <c r="N19" s="295"/>
      <c r="O19" s="127"/>
      <c r="P19" s="449"/>
      <c r="Q19" s="366">
        <f>SUM(Q5:Q18)</f>
        <v>14704.5</v>
      </c>
      <c r="R19" s="366"/>
      <c r="S19" s="86"/>
      <c r="T19" s="86"/>
      <c r="U19" s="86">
        <f>16000+8500+1000+2500</f>
        <v>28000</v>
      </c>
      <c r="V19" s="86"/>
      <c r="W19" s="86"/>
      <c r="X19" s="86"/>
    </row>
    <row r="20" spans="1:26">
      <c r="A20" s="325"/>
      <c r="B20" s="161"/>
      <c r="C20" s="275"/>
      <c r="D20" s="275"/>
      <c r="E20" s="160" t="str">
        <f t="shared" si="0"/>
        <v/>
      </c>
      <c r="F20" s="162" t="str">
        <f t="shared" si="1"/>
        <v/>
      </c>
      <c r="G20" s="162" t="str">
        <f t="shared" si="2"/>
        <v/>
      </c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  <c r="U20" s="86"/>
      <c r="V20" s="86"/>
      <c r="W20" s="86"/>
      <c r="X20" s="86"/>
    </row>
    <row r="21" spans="1:26" ht="15.75" thickBot="1">
      <c r="A21" s="1092" t="s">
        <v>259</v>
      </c>
      <c r="B21" s="1093"/>
      <c r="C21" s="358">
        <f>SUM(C5:C20)</f>
        <v>2824.49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366"/>
      <c r="Q21" s="366"/>
      <c r="R21" s="366"/>
      <c r="S21" s="86"/>
      <c r="T21" s="86"/>
      <c r="U21" s="86"/>
      <c r="V21" s="86"/>
      <c r="W21" s="86"/>
      <c r="X21" s="86"/>
    </row>
    <row r="22" spans="1:26" ht="15.75" thickTop="1">
      <c r="A22" s="351"/>
      <c r="B22" s="352"/>
      <c r="C22" s="353"/>
      <c r="D22" s="353"/>
      <c r="E22" s="354"/>
      <c r="F22" s="352"/>
      <c r="G22" s="376"/>
      <c r="H22" s="1039" t="s">
        <v>16</v>
      </c>
      <c r="I22" s="1041" t="s">
        <v>17</v>
      </c>
      <c r="J22" s="1041" t="s">
        <v>21</v>
      </c>
      <c r="K22" s="1041"/>
      <c r="L22" s="1043" t="s">
        <v>93</v>
      </c>
      <c r="M22" s="1045" t="s">
        <v>95</v>
      </c>
      <c r="N22" s="1"/>
      <c r="O22" s="127"/>
      <c r="P22" s="449"/>
      <c r="Q22" s="366"/>
      <c r="R22" s="366"/>
      <c r="S22" s="86"/>
      <c r="T22" s="86"/>
      <c r="U22" s="86"/>
      <c r="V22" s="86"/>
      <c r="W22" s="86"/>
      <c r="X22" s="86"/>
    </row>
    <row r="23" spans="1:26" ht="24">
      <c r="A23" s="355"/>
      <c r="B23" s="201"/>
      <c r="C23" s="201"/>
      <c r="D23" s="201"/>
      <c r="E23" s="216"/>
      <c r="F23" s="201"/>
      <c r="G23" s="201"/>
      <c r="H23" s="1040"/>
      <c r="I23" s="1042"/>
      <c r="J23" s="587" t="s">
        <v>21</v>
      </c>
      <c r="K23" s="587" t="s">
        <v>25</v>
      </c>
      <c r="L23" s="1044"/>
      <c r="M23" s="1046"/>
      <c r="N23" s="1"/>
      <c r="O23" s="1" t="s">
        <v>73</v>
      </c>
      <c r="P23" s="570" t="s">
        <v>270</v>
      </c>
      <c r="Q23" s="366" t="s">
        <v>271</v>
      </c>
      <c r="R23" s="366" t="s">
        <v>272</v>
      </c>
      <c r="S23" s="366" t="s">
        <v>273</v>
      </c>
      <c r="T23" s="86"/>
      <c r="U23" s="86"/>
      <c r="V23" s="86"/>
      <c r="W23" s="86"/>
      <c r="X23" s="86"/>
    </row>
    <row r="24" spans="1:26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 t="s">
        <v>18</v>
      </c>
      <c r="O24" s="1">
        <v>32809.9</v>
      </c>
      <c r="P24" s="84">
        <f t="shared" ref="P24:P33" si="3">L24/1.8</f>
        <v>28973.333333333332</v>
      </c>
      <c r="Q24" s="145">
        <f>ОБЩЕЕ!K45+ОБЩЕЕ!L45+ОБЩЕЕ!N45</f>
        <v>1492.9766</v>
      </c>
      <c r="R24" s="84"/>
      <c r="S24" s="86"/>
      <c r="T24" s="86"/>
      <c r="U24" s="86"/>
      <c r="V24" s="86"/>
      <c r="W24" s="86"/>
      <c r="X24" s="86"/>
    </row>
    <row r="25" spans="1:26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3" si="4">M24-I25-J25-K25+L25</f>
        <v>101446.18</v>
      </c>
      <c r="N25" s="1" t="s">
        <v>19</v>
      </c>
      <c r="O25" s="366">
        <v>35259.58</v>
      </c>
      <c r="P25" s="84">
        <f t="shared" si="3"/>
        <v>22481.083333333336</v>
      </c>
      <c r="Q25" s="145">
        <f>ОБЩЕЕ!R46+ОБЩЕЕ!S46+ОБЩЕЕ!T46</f>
        <v>1724.7972</v>
      </c>
      <c r="R25" s="84">
        <f>3748.79+2500</f>
        <v>6248.79</v>
      </c>
      <c r="S25" s="571">
        <f t="shared" ref="S25:S32" si="5">O25-P25-Q25-R25</f>
        <v>4804.9094666666651</v>
      </c>
      <c r="T25" s="86"/>
      <c r="U25" s="86"/>
      <c r="V25" s="86"/>
      <c r="W25" s="86"/>
      <c r="X25" s="86"/>
      <c r="Z25" s="1"/>
    </row>
    <row r="26" spans="1:26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4"/>
        <v>83639.329999999987</v>
      </c>
      <c r="N26" s="1" t="s">
        <v>20</v>
      </c>
      <c r="O26" s="1">
        <v>34690.219999999994</v>
      </c>
      <c r="P26" s="84">
        <f t="shared" si="3"/>
        <v>10725.555555555555</v>
      </c>
      <c r="Q26" s="145">
        <f>ОБЩЕЕ!AE46+ОБЩЕЕ!AF46+ОБЩЕЕ!AH45</f>
        <v>1766.1466</v>
      </c>
      <c r="R26" s="84">
        <f>'ОБЩАЯ СВЕРКА'!K65-'ОБЩАЯ СВЕРКА'!K61-'ОБЩАЯ СВЕРКА'!K60+2100+1000</f>
        <v>6848.79</v>
      </c>
      <c r="S26" s="571">
        <f t="shared" si="5"/>
        <v>15349.727844444438</v>
      </c>
      <c r="T26" s="86"/>
      <c r="U26" s="86"/>
      <c r="V26" s="86"/>
      <c r="W26" s="86"/>
      <c r="X26" s="86"/>
      <c r="Z26" s="1"/>
    </row>
    <row r="27" spans="1:26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4"/>
        <v>107659.22999999998</v>
      </c>
      <c r="N27" s="1" t="s">
        <v>148</v>
      </c>
      <c r="O27" s="1">
        <v>30955.479999999996</v>
      </c>
      <c r="P27" s="84">
        <f t="shared" si="3"/>
        <v>32886.388888888891</v>
      </c>
      <c r="Q27" s="145">
        <f>ОБЩЕЕ!AL39+ОБЩЕЕ!AL40+ОБЩЕЕ!AL42+ОБЩЕЕ!AM42+ОБЩЕЕ!AM41+ОБЩЕЕ!AM40+ОБЩЕЕ!AM39+ОБЩЕЕ!AN39+ОБЩЕЕ!AN40+ОБЩЕЕ!AN42</f>
        <v>1326.7386000000001</v>
      </c>
      <c r="R27" s="84">
        <f>'ОБЩАЯ СВЕРКА'!K100-'ОБЩАЯ СВЕРКА'!K96-'ОБЩАЯ СВЕРКА'!K95+1300</f>
        <v>4951.2699999999995</v>
      </c>
      <c r="S27" s="571">
        <f t="shared" si="5"/>
        <v>-8208.9174888888938</v>
      </c>
      <c r="T27" s="86"/>
      <c r="U27" s="86"/>
      <c r="V27" s="86"/>
      <c r="W27" s="86"/>
      <c r="X27" s="86"/>
      <c r="Z27" s="1"/>
    </row>
    <row r="28" spans="1:26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4"/>
        <v>112611.86999999998</v>
      </c>
      <c r="N28" s="1" t="s">
        <v>162</v>
      </c>
      <c r="O28" s="1">
        <v>31239.439999999995</v>
      </c>
      <c r="P28" s="84">
        <f t="shared" si="3"/>
        <v>22295.555555555555</v>
      </c>
      <c r="Q28" s="145">
        <f>ОБЩЕЕ!AS46+ОБЩЕЕ!AU45+ОБЩЕЕ!AU45</f>
        <v>1192.5534</v>
      </c>
      <c r="R28" s="84">
        <f>'ОБЩАЯ СВЕРКА'!K138+1900</f>
        <v>5448.89</v>
      </c>
      <c r="S28" s="571">
        <f t="shared" si="5"/>
        <v>2302.4410444444402</v>
      </c>
      <c r="T28" s="86"/>
      <c r="U28" s="86"/>
      <c r="V28" s="86"/>
      <c r="W28" s="86"/>
      <c r="X28" s="86"/>
      <c r="Z28" s="1"/>
    </row>
    <row r="29" spans="1:26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4"/>
        <v>98984.919999999984</v>
      </c>
      <c r="N29" s="1" t="s">
        <v>163</v>
      </c>
      <c r="O29" s="1">
        <v>28986.99</v>
      </c>
      <c r="P29" s="84">
        <f t="shared" si="3"/>
        <v>12598.944444444443</v>
      </c>
      <c r="Q29" s="145">
        <f>ОБЩЕЕ!AY46+ОБЩЕЕ!AZ46+ОБЩЕЕ!BA46+ОБЩЕЕ!BB46</f>
        <v>1781.1296</v>
      </c>
      <c r="R29" s="84">
        <f>'ОБЩАЯ СВЕРКА'!J188-'ОБЩАЯ СВЕРКА'!K183</f>
        <v>6400.4000000000005</v>
      </c>
      <c r="S29" s="571">
        <f t="shared" si="5"/>
        <v>8206.5159555555583</v>
      </c>
      <c r="T29" s="86"/>
      <c r="U29" s="86"/>
      <c r="V29" s="86"/>
      <c r="W29" s="86"/>
      <c r="X29" s="86"/>
      <c r="Z29" s="1"/>
    </row>
    <row r="30" spans="1:26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4"/>
        <v>91825.64999999998</v>
      </c>
      <c r="N30" s="1" t="s">
        <v>192</v>
      </c>
      <c r="O30" s="1">
        <v>31654.69</v>
      </c>
      <c r="P30" s="84">
        <f t="shared" si="3"/>
        <v>18271.111111111109</v>
      </c>
      <c r="Q30" s="145" t="e">
        <f>#REF!+#REF!</f>
        <v>#REF!</v>
      </c>
      <c r="R30" s="84" t="e">
        <f>#REF!-#REF!</f>
        <v>#REF!</v>
      </c>
      <c r="S30" s="571" t="e">
        <f t="shared" si="5"/>
        <v>#REF!</v>
      </c>
      <c r="T30" s="86"/>
      <c r="U30" s="86"/>
      <c r="V30" s="86"/>
      <c r="W30" s="86"/>
      <c r="X30" s="86"/>
      <c r="Z30" s="366"/>
    </row>
    <row r="31" spans="1:26">
      <c r="A31" s="339"/>
      <c r="B31" s="199"/>
      <c r="C31" s="1"/>
      <c r="D31" s="273"/>
      <c r="E31" s="366"/>
      <c r="F31" s="366"/>
      <c r="G31" s="366"/>
      <c r="H31" s="347" t="s">
        <v>199</v>
      </c>
      <c r="I31" s="297">
        <v>28891.4</v>
      </c>
      <c r="J31" s="438">
        <v>8339.34</v>
      </c>
      <c r="K31" s="644">
        <v>1310.53</v>
      </c>
      <c r="L31" s="644">
        <v>36419</v>
      </c>
      <c r="M31" s="104">
        <f t="shared" si="4"/>
        <v>89703.379999999976</v>
      </c>
      <c r="N31" s="1" t="s">
        <v>199</v>
      </c>
      <c r="O31" s="1">
        <v>28891.4</v>
      </c>
      <c r="P31" s="84">
        <f t="shared" si="3"/>
        <v>20232.777777777777</v>
      </c>
      <c r="Q31" s="145" t="e">
        <f>#REF!+#REF!</f>
        <v>#REF!</v>
      </c>
      <c r="R31" s="84" t="e">
        <f>#REF!-#REF!</f>
        <v>#REF!</v>
      </c>
      <c r="S31" s="571" t="e">
        <f t="shared" si="5"/>
        <v>#REF!</v>
      </c>
      <c r="T31" s="86"/>
      <c r="U31" s="86"/>
      <c r="V31" s="86"/>
      <c r="W31" s="86"/>
      <c r="X31" s="86"/>
      <c r="Z31" s="366"/>
    </row>
    <row r="32" spans="1:26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4"/>
        <v>94325.64999999998</v>
      </c>
      <c r="N32" s="1" t="s">
        <v>209</v>
      </c>
      <c r="O32" s="1">
        <v>28339.37</v>
      </c>
      <c r="P32" s="84">
        <f t="shared" si="3"/>
        <v>19923.611111111109</v>
      </c>
      <c r="Q32" s="145">
        <f>'ЗП ФЕВРАЛЬ'!D44+'ЗП ФЕВРАЛЬ'!E44</f>
        <v>1523.3</v>
      </c>
      <c r="R32" s="84">
        <f>ФЕВРАЛЬ!J46-ФЕВРАЛЬ!K41</f>
        <v>5927.73</v>
      </c>
      <c r="S32" s="571">
        <f t="shared" si="5"/>
        <v>964.72888888888974</v>
      </c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210</v>
      </c>
      <c r="I33" s="647">
        <v>28933.9</v>
      </c>
      <c r="J33" s="648"/>
      <c r="K33" s="651">
        <v>1267.8599999999999</v>
      </c>
      <c r="L33" s="651">
        <v>22833.599999999999</v>
      </c>
      <c r="M33" s="650">
        <f t="shared" si="4"/>
        <v>86957.489999999976</v>
      </c>
      <c r="N33" s="1"/>
      <c r="P33" s="84">
        <f t="shared" si="3"/>
        <v>12685.333333333332</v>
      </c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1023" t="s">
        <v>36</v>
      </c>
      <c r="I34" s="1025" t="s">
        <v>178</v>
      </c>
      <c r="J34" s="1026"/>
      <c r="K34" s="1027"/>
      <c r="L34" s="1031" t="s">
        <v>159</v>
      </c>
      <c r="M34" s="1032"/>
      <c r="N34" s="1"/>
      <c r="P34" s="84"/>
      <c r="Q34" s="366"/>
      <c r="R34" s="366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1024"/>
      <c r="I35" s="1028"/>
      <c r="J35" s="1029"/>
      <c r="K35" s="1030"/>
      <c r="L35" s="1033"/>
      <c r="M35" s="1034"/>
      <c r="N35" s="1"/>
      <c r="P35" s="84"/>
      <c r="Q35" s="366"/>
      <c r="R35" s="366"/>
      <c r="S35" s="86"/>
      <c r="T35" s="86"/>
      <c r="U35" s="294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1102" t="s">
        <v>47</v>
      </c>
      <c r="J36" s="1102"/>
      <c r="K36" s="594">
        <v>328.13</v>
      </c>
      <c r="L36" s="282">
        <v>43905</v>
      </c>
      <c r="M36" s="44" t="s">
        <v>237</v>
      </c>
      <c r="N36" s="150"/>
      <c r="P36" s="366"/>
      <c r="Q36" s="366" t="s">
        <v>304</v>
      </c>
      <c r="R36" s="366"/>
      <c r="S36" s="86"/>
      <c r="T36" s="86"/>
      <c r="U36" s="294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1100" t="s">
        <v>51</v>
      </c>
      <c r="J37" s="1100"/>
      <c r="K37" s="595">
        <v>71.83</v>
      </c>
      <c r="L37" s="282">
        <v>43905</v>
      </c>
      <c r="M37" s="44" t="s">
        <v>237</v>
      </c>
      <c r="N37" s="1"/>
      <c r="P37" s="545" t="s">
        <v>302</v>
      </c>
      <c r="Q37" s="544">
        <v>1261.8599999999999</v>
      </c>
      <c r="R37" s="544"/>
      <c r="S37" s="366"/>
      <c r="T37" s="294"/>
      <c r="U37" s="294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1100" t="s">
        <v>52</v>
      </c>
      <c r="J38" s="1100"/>
      <c r="K38" s="595">
        <v>5.63</v>
      </c>
      <c r="L38" s="282">
        <v>43905</v>
      </c>
      <c r="M38" s="44" t="s">
        <v>237</v>
      </c>
      <c r="N38" s="1"/>
      <c r="P38" s="484" t="s">
        <v>305</v>
      </c>
      <c r="Q38" s="544">
        <v>6</v>
      </c>
      <c r="R38" s="544"/>
      <c r="S38" s="366"/>
      <c r="T38" s="294"/>
      <c r="U38" s="36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529" t="s">
        <v>250</v>
      </c>
      <c r="I39" s="1100" t="s">
        <v>49</v>
      </c>
      <c r="J39" s="1100"/>
      <c r="K39" s="595">
        <v>257</v>
      </c>
      <c r="L39" s="282">
        <v>43910</v>
      </c>
      <c r="M39" s="44" t="s">
        <v>269</v>
      </c>
      <c r="N39" s="150"/>
      <c r="P39" s="436"/>
      <c r="Q39" s="544">
        <f>SUM(Q37:Q38)</f>
        <v>1267.8599999999999</v>
      </c>
      <c r="R39" s="544"/>
      <c r="S39" s="366"/>
      <c r="T39" s="294"/>
      <c r="U39" s="294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101" t="s">
        <v>59</v>
      </c>
      <c r="J40" s="1101"/>
      <c r="K40" s="457">
        <v>654.32000000000005</v>
      </c>
      <c r="L40" s="302" t="s">
        <v>177</v>
      </c>
      <c r="M40" s="44" t="s">
        <v>237</v>
      </c>
      <c r="N40" s="1"/>
      <c r="P40" s="436"/>
      <c r="Q40" s="544"/>
      <c r="R40" s="544"/>
      <c r="S40" s="366"/>
      <c r="T40" s="366"/>
      <c r="U40" s="294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 t="s">
        <v>250</v>
      </c>
      <c r="I41" s="1089" t="s">
        <v>68</v>
      </c>
      <c r="J41" s="1090"/>
      <c r="K41" s="595">
        <v>324.85000000000002</v>
      </c>
      <c r="L41" s="282">
        <v>43910</v>
      </c>
      <c r="M41" s="44" t="s">
        <v>237</v>
      </c>
      <c r="N41" s="1"/>
      <c r="P41" s="366">
        <v>1577.06</v>
      </c>
      <c r="Q41" s="544"/>
      <c r="R41" s="544"/>
      <c r="S41" s="366"/>
      <c r="T41" s="294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596" t="s">
        <v>174</v>
      </c>
      <c r="J42" s="597"/>
      <c r="K42" s="5">
        <v>518.58999999999992</v>
      </c>
      <c r="L42" s="282">
        <v>43905</v>
      </c>
      <c r="M42" s="44" t="s">
        <v>237</v>
      </c>
      <c r="N42" s="12"/>
      <c r="P42" s="366"/>
      <c r="Q42" s="365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350" t="s">
        <v>258</v>
      </c>
      <c r="I43" s="596" t="s">
        <v>176</v>
      </c>
      <c r="J43" s="597"/>
      <c r="K43" s="595"/>
      <c r="L43" s="282">
        <v>43910</v>
      </c>
      <c r="M43" s="44" t="s">
        <v>237</v>
      </c>
      <c r="N43" s="1"/>
      <c r="O43" s="12" t="s">
        <v>306</v>
      </c>
      <c r="P43" s="404">
        <f>P41-K78</f>
        <v>1141.96</v>
      </c>
      <c r="Q43" s="599" t="s">
        <v>303</v>
      </c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089" t="s">
        <v>81</v>
      </c>
      <c r="J44" s="1090"/>
      <c r="K44" s="595">
        <v>1575.56</v>
      </c>
      <c r="L44" s="282">
        <v>43905</v>
      </c>
      <c r="M44" s="44" t="s">
        <v>237</v>
      </c>
      <c r="N44" s="1"/>
      <c r="O44" s="366" t="s">
        <v>304</v>
      </c>
      <c r="P44" s="404">
        <v>1121.56</v>
      </c>
      <c r="Q44" s="600">
        <f>P43-P44</f>
        <v>20.400000000000091</v>
      </c>
      <c r="R44" s="544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089" t="s">
        <v>181</v>
      </c>
      <c r="J45" s="1090"/>
      <c r="K45" s="595">
        <v>10</v>
      </c>
      <c r="L45" s="282">
        <v>43905</v>
      </c>
      <c r="M45" s="44" t="s">
        <v>237</v>
      </c>
      <c r="N45" s="1"/>
      <c r="P45" s="84"/>
      <c r="Q45" s="365"/>
      <c r="R45" s="366"/>
      <c r="S45" s="366"/>
      <c r="T45" s="294"/>
      <c r="U45" s="366"/>
      <c r="V45" s="366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350" t="s">
        <v>250</v>
      </c>
      <c r="I46" s="1017" t="s">
        <v>61</v>
      </c>
      <c r="J46" s="1017"/>
      <c r="K46" s="93">
        <f>J5+J6</f>
        <v>2379.6400000000003</v>
      </c>
      <c r="L46" s="282">
        <v>43910</v>
      </c>
      <c r="M46" s="44" t="s">
        <v>237</v>
      </c>
      <c r="N46" s="1"/>
      <c r="P46" s="366"/>
      <c r="Q46" s="365"/>
      <c r="R46" s="365"/>
      <c r="S46" s="366"/>
      <c r="T46" s="294"/>
      <c r="U46" s="366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350" t="s">
        <v>250</v>
      </c>
      <c r="I47" s="1017" t="s">
        <v>298</v>
      </c>
      <c r="J47" s="1017"/>
      <c r="K47" s="93">
        <v>72</v>
      </c>
      <c r="L47" s="282">
        <v>43900</v>
      </c>
      <c r="M47" s="44" t="s">
        <v>237</v>
      </c>
      <c r="N47" s="1"/>
      <c r="P47" s="366"/>
      <c r="Q47" s="365"/>
      <c r="R47" s="365"/>
      <c r="S47" s="366"/>
      <c r="T47" s="294"/>
      <c r="U47" s="366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350" t="s">
        <v>250</v>
      </c>
      <c r="I48" s="1017" t="s">
        <v>299</v>
      </c>
      <c r="J48" s="1017"/>
      <c r="K48" s="93">
        <v>50</v>
      </c>
      <c r="L48" s="282">
        <v>43905</v>
      </c>
      <c r="M48" s="44" t="s">
        <v>237</v>
      </c>
      <c r="N48" s="1"/>
      <c r="P48" s="366"/>
      <c r="Q48" s="365"/>
      <c r="R48" s="365"/>
      <c r="S48" s="366"/>
      <c r="T48" s="294"/>
      <c r="U48" s="366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350" t="s">
        <v>250</v>
      </c>
      <c r="I49" s="1017" t="s">
        <v>300</v>
      </c>
      <c r="J49" s="1017"/>
      <c r="K49" s="93">
        <v>150</v>
      </c>
      <c r="L49" s="282">
        <v>43920</v>
      </c>
      <c r="M49" s="44" t="s">
        <v>237</v>
      </c>
      <c r="N49" s="1"/>
      <c r="P49" s="366"/>
      <c r="Q49" s="365"/>
      <c r="R49">
        <v>1759.5</v>
      </c>
      <c r="S49" s="366"/>
      <c r="T49" s="294"/>
      <c r="U49" s="366"/>
      <c r="V49" s="366"/>
      <c r="W49" s="294"/>
      <c r="X49" s="294"/>
      <c r="Y49" s="366"/>
    </row>
    <row r="50" spans="1:25" ht="15.75" thickBot="1">
      <c r="A50" s="341"/>
      <c r="B50" s="330"/>
      <c r="C50" s="331"/>
      <c r="D50" s="342"/>
      <c r="E50" s="330"/>
      <c r="F50" s="331"/>
      <c r="G50" s="331"/>
      <c r="H50" s="346"/>
      <c r="I50" s="361" t="s">
        <v>179</v>
      </c>
      <c r="J50" s="361">
        <f>SUM(K36:K46)</f>
        <v>6125.5499999999993</v>
      </c>
      <c r="K50" s="1018" t="s">
        <v>180</v>
      </c>
      <c r="L50" s="1018"/>
      <c r="M50" s="486">
        <v>0</v>
      </c>
      <c r="N50" s="1"/>
      <c r="P50" s="366"/>
      <c r="Q50" s="366"/>
      <c r="R50" s="84">
        <f>R49-J79</f>
        <v>1159</v>
      </c>
      <c r="S50" s="366"/>
      <c r="T50" s="366"/>
      <c r="U50" s="366"/>
      <c r="V50" s="366"/>
      <c r="W50" s="366"/>
      <c r="X50" s="366"/>
      <c r="Y50" s="366"/>
    </row>
    <row r="51" spans="1:25" ht="15.75" thickTop="1">
      <c r="A51" s="366"/>
      <c r="B51" s="366"/>
      <c r="C51" s="366"/>
      <c r="D51" s="366"/>
      <c r="E51" s="366"/>
      <c r="F51" s="366"/>
      <c r="G51" s="366"/>
      <c r="H51" s="1081"/>
      <c r="I51" s="1081"/>
      <c r="J51" s="1081"/>
      <c r="K51" s="1081"/>
      <c r="L51" s="366"/>
      <c r="M51" s="442"/>
      <c r="N51" s="1"/>
      <c r="P51" s="366"/>
      <c r="Q51" s="366"/>
      <c r="R51" s="366"/>
      <c r="S51" s="366"/>
      <c r="T51" s="366"/>
      <c r="U51" s="366"/>
      <c r="V51" s="366"/>
      <c r="W51" s="366"/>
      <c r="X51" s="366"/>
      <c r="Y51" s="366"/>
    </row>
    <row r="52" spans="1:25" ht="15" customHeight="1">
      <c r="A52" s="1082" t="s">
        <v>266</v>
      </c>
      <c r="B52" s="1082"/>
      <c r="C52" s="1082"/>
      <c r="D52" s="1082"/>
      <c r="E52" s="1082"/>
      <c r="F52" s="1082"/>
      <c r="G52" s="1082"/>
      <c r="H52" s="1082"/>
      <c r="I52" s="1082"/>
      <c r="J52" s="1082"/>
      <c r="K52" s="1082"/>
      <c r="L52" s="1082"/>
      <c r="M52" s="1082"/>
      <c r="N52" s="1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5" ht="15.75" customHeight="1" thickBot="1">
      <c r="A53" s="1083"/>
      <c r="B53" s="1083"/>
      <c r="C53" s="1083"/>
      <c r="D53" s="1083"/>
      <c r="E53" s="1083"/>
      <c r="F53" s="1083"/>
      <c r="G53" s="1083"/>
      <c r="H53" s="1083"/>
      <c r="I53" s="1083"/>
      <c r="J53" s="1083"/>
      <c r="K53" s="1083"/>
      <c r="L53" s="1083"/>
      <c r="M53" s="1083"/>
      <c r="N53" s="1"/>
      <c r="P53" s="366"/>
      <c r="Q53" s="366"/>
      <c r="R53" s="365"/>
      <c r="S53" s="544"/>
      <c r="T53" s="366"/>
      <c r="U53" s="366"/>
      <c r="V53" s="366"/>
      <c r="W53" s="366"/>
      <c r="X53" s="366"/>
    </row>
    <row r="54" spans="1:25" ht="15.75" thickTop="1">
      <c r="A54" s="1091" t="s">
        <v>28</v>
      </c>
      <c r="B54" s="1037"/>
      <c r="C54" s="1037"/>
      <c r="D54" s="1037"/>
      <c r="E54" s="1037"/>
      <c r="F54" s="1037"/>
      <c r="G54" s="1038"/>
      <c r="H54" s="1084" t="s">
        <v>268</v>
      </c>
      <c r="I54" s="1085"/>
      <c r="J54" s="1085"/>
      <c r="K54" s="1085"/>
      <c r="L54" s="1085"/>
      <c r="M54" s="1086"/>
      <c r="N54" s="1"/>
      <c r="P54" s="366"/>
      <c r="S54" s="274"/>
      <c r="T54" s="366"/>
      <c r="U54" s="366"/>
      <c r="V54" s="366"/>
      <c r="W54" s="366"/>
      <c r="X54" s="366"/>
    </row>
    <row r="55" spans="1:25">
      <c r="A55" s="324" t="s">
        <v>2</v>
      </c>
      <c r="B55" s="541" t="s">
        <v>34</v>
      </c>
      <c r="C55" s="36" t="s">
        <v>35</v>
      </c>
      <c r="D55" s="36" t="s">
        <v>38</v>
      </c>
      <c r="E55" s="36" t="s">
        <v>42</v>
      </c>
      <c r="F55" s="541" t="s">
        <v>36</v>
      </c>
      <c r="G55" s="100" t="s">
        <v>173</v>
      </c>
      <c r="H55" s="43"/>
      <c r="I55" s="536" t="s">
        <v>35</v>
      </c>
      <c r="J55" s="536" t="s">
        <v>38</v>
      </c>
      <c r="K55" s="536" t="s">
        <v>42</v>
      </c>
      <c r="L55" s="263" t="s">
        <v>44</v>
      </c>
      <c r="M55" s="443"/>
      <c r="N55" s="1"/>
      <c r="P55" s="366"/>
      <c r="S55" s="274"/>
      <c r="T55" s="84"/>
      <c r="U55" s="366"/>
      <c r="V55" s="366"/>
      <c r="W55" s="366"/>
      <c r="X55" s="366"/>
    </row>
    <row r="56" spans="1:25">
      <c r="A56" s="325">
        <v>43888</v>
      </c>
      <c r="B56" s="161" t="s">
        <v>263</v>
      </c>
      <c r="C56" s="275">
        <v>1008.8</v>
      </c>
      <c r="D56" s="275">
        <v>508.79999999999995</v>
      </c>
      <c r="E56" s="576">
        <f>IF(C56-D56=0,"",C56-D56)</f>
        <v>500</v>
      </c>
      <c r="F56" s="162" t="str">
        <f>IF(C56=0,"",IF(C56-D56=0,"оплачено","ОЖИДАЕТСЯ оплата"))</f>
        <v>ОЖИДАЕТСЯ оплата</v>
      </c>
      <c r="G56" s="162"/>
      <c r="H56" s="43"/>
      <c r="I56" s="543">
        <v>500.24</v>
      </c>
      <c r="J56" s="543">
        <f>150+350.24</f>
        <v>500.24</v>
      </c>
      <c r="K56" s="160">
        <f>I56-J56</f>
        <v>0</v>
      </c>
      <c r="L56" s="3">
        <v>43914</v>
      </c>
      <c r="M56" s="434"/>
      <c r="N56" s="1"/>
      <c r="P56" s="366"/>
      <c r="S56" s="366"/>
      <c r="T56" s="366"/>
      <c r="W56" s="366"/>
      <c r="X56" s="366"/>
    </row>
    <row r="57" spans="1:25">
      <c r="A57" s="325">
        <v>43894</v>
      </c>
      <c r="B57" s="161" t="s">
        <v>205</v>
      </c>
      <c r="C57" s="275">
        <v>236.18</v>
      </c>
      <c r="D57" s="275">
        <v>236.18</v>
      </c>
      <c r="E57" s="576" t="str">
        <f t="shared" ref="E57:E62" si="6">IF(C57-D57=0,"",C57-D57)</f>
        <v/>
      </c>
      <c r="F57" s="162" t="str">
        <f t="shared" ref="F57:F62" si="7">IF(C57=0,"",IF(C57-D57=0,"оплачено","ОЖИДАЕТСЯ оплата"))</f>
        <v>оплачено</v>
      </c>
      <c r="G57" s="162"/>
      <c r="H57" s="43"/>
      <c r="I57" s="293"/>
      <c r="J57" s="293"/>
      <c r="K57" s="444"/>
      <c r="L57" s="144"/>
      <c r="M57" s="434"/>
      <c r="N57" s="1"/>
      <c r="P57" s="366"/>
      <c r="S57" s="366"/>
      <c r="T57" s="366"/>
      <c r="W57" s="366"/>
      <c r="X57" s="366"/>
    </row>
    <row r="58" spans="1:25">
      <c r="A58" s="325">
        <v>43894</v>
      </c>
      <c r="B58" s="161" t="s">
        <v>222</v>
      </c>
      <c r="C58" s="275">
        <v>232.91</v>
      </c>
      <c r="D58" s="275">
        <v>232.91</v>
      </c>
      <c r="E58" s="576" t="str">
        <f t="shared" si="6"/>
        <v/>
      </c>
      <c r="F58" s="162" t="str">
        <f t="shared" si="7"/>
        <v>оплачено</v>
      </c>
      <c r="G58" s="162"/>
      <c r="H58" s="43"/>
      <c r="I58" s="1"/>
      <c r="J58" s="366"/>
      <c r="K58" s="1"/>
      <c r="L58" s="1"/>
      <c r="M58" s="44"/>
      <c r="N58" s="1"/>
      <c r="P58" s="366"/>
    </row>
    <row r="59" spans="1:25">
      <c r="A59" s="325">
        <v>43895</v>
      </c>
      <c r="B59" s="161" t="s">
        <v>221</v>
      </c>
      <c r="C59" s="275">
        <v>343.62</v>
      </c>
      <c r="D59" s="275">
        <v>343.62</v>
      </c>
      <c r="E59" s="576" t="str">
        <f t="shared" si="6"/>
        <v/>
      </c>
      <c r="F59" s="162" t="str">
        <f t="shared" si="7"/>
        <v>оплачено</v>
      </c>
      <c r="G59" s="162"/>
      <c r="H59" s="43"/>
      <c r="I59" s="1"/>
      <c r="J59" s="366"/>
      <c r="K59" s="1"/>
      <c r="L59" s="1"/>
      <c r="M59" s="44"/>
      <c r="N59" s="1"/>
      <c r="P59" s="366"/>
    </row>
    <row r="60" spans="1:25">
      <c r="A60" s="325">
        <v>43901</v>
      </c>
      <c r="B60" s="161" t="s">
        <v>255</v>
      </c>
      <c r="C60" s="275">
        <v>428.25</v>
      </c>
      <c r="D60" s="275">
        <v>428.25</v>
      </c>
      <c r="E60" s="576" t="str">
        <f t="shared" si="6"/>
        <v/>
      </c>
      <c r="F60" s="162" t="str">
        <f t="shared" si="7"/>
        <v>оплачено</v>
      </c>
      <c r="G60" s="162"/>
      <c r="H60" s="43"/>
      <c r="I60" s="1"/>
      <c r="J60" s="366"/>
      <c r="K60" s="1"/>
      <c r="L60" s="1"/>
      <c r="M60" s="44"/>
      <c r="N60" s="1"/>
      <c r="P60" s="366"/>
    </row>
    <row r="61" spans="1:25">
      <c r="A61" s="325">
        <v>43908</v>
      </c>
      <c r="B61" s="161" t="s">
        <v>255</v>
      </c>
      <c r="C61" s="275">
        <v>241</v>
      </c>
      <c r="D61" s="275">
        <v>241</v>
      </c>
      <c r="E61" s="576" t="str">
        <f t="shared" si="6"/>
        <v/>
      </c>
      <c r="F61" s="162" t="str">
        <f t="shared" si="7"/>
        <v>оплачено</v>
      </c>
      <c r="G61" s="162"/>
      <c r="H61" s="43"/>
      <c r="I61" s="1"/>
      <c r="J61" s="366"/>
      <c r="K61" s="1"/>
      <c r="L61" s="1"/>
      <c r="M61" s="44"/>
      <c r="N61" s="1"/>
      <c r="P61" s="366"/>
    </row>
    <row r="62" spans="1:25">
      <c r="A62" s="325">
        <v>43913</v>
      </c>
      <c r="B62" s="161" t="s">
        <v>256</v>
      </c>
      <c r="C62" s="275">
        <v>233.61</v>
      </c>
      <c r="D62" s="275">
        <v>233.61</v>
      </c>
      <c r="E62" s="576" t="str">
        <f t="shared" si="6"/>
        <v/>
      </c>
      <c r="F62" s="162" t="str">
        <f t="shared" si="7"/>
        <v>оплачено</v>
      </c>
      <c r="G62" s="162"/>
      <c r="H62" s="43"/>
      <c r="I62" s="1"/>
      <c r="J62" s="366"/>
      <c r="K62" s="1"/>
      <c r="L62" s="1"/>
      <c r="M62" s="44"/>
      <c r="N62" s="1"/>
      <c r="P62" s="366"/>
    </row>
    <row r="63" spans="1:25">
      <c r="A63" s="325">
        <v>43909</v>
      </c>
      <c r="B63" s="161" t="s">
        <v>212</v>
      </c>
      <c r="C63" s="275">
        <v>332.52</v>
      </c>
      <c r="D63" s="275">
        <v>332.52</v>
      </c>
      <c r="E63" s="576" t="str">
        <f t="shared" ref="E63:E71" si="8">IF(C63-D63=0,"",C63-D63)</f>
        <v/>
      </c>
      <c r="F63" s="162" t="str">
        <f t="shared" ref="F63:F71" si="9">IF(C63=0,"",IF(C63-D63=0,"оплачено","ОЖИДАЕТСЯ оплата"))</f>
        <v>оплачено</v>
      </c>
      <c r="G63" s="162"/>
      <c r="H63" s="43"/>
      <c r="I63" s="1"/>
      <c r="J63" s="366"/>
      <c r="K63" s="1"/>
      <c r="L63" s="1"/>
      <c r="M63" s="44"/>
      <c r="N63" s="1"/>
      <c r="P63" s="366"/>
    </row>
    <row r="64" spans="1:25">
      <c r="A64" s="325">
        <v>43916</v>
      </c>
      <c r="B64" s="161" t="s">
        <v>155</v>
      </c>
      <c r="C64" s="275">
        <v>328.15</v>
      </c>
      <c r="D64" s="275">
        <v>328.15</v>
      </c>
      <c r="E64" s="576" t="str">
        <f t="shared" si="8"/>
        <v/>
      </c>
      <c r="F64" s="162" t="str">
        <f t="shared" si="9"/>
        <v>оплачено</v>
      </c>
      <c r="G64" s="162"/>
      <c r="H64" s="43"/>
      <c r="I64" s="1"/>
      <c r="J64" s="366"/>
      <c r="K64" s="1"/>
      <c r="L64" s="1"/>
      <c r="M64" s="44"/>
      <c r="N64" s="1"/>
      <c r="O64" s="366"/>
      <c r="P64" s="366"/>
    </row>
    <row r="65" spans="1:22">
      <c r="A65" s="325">
        <v>43916</v>
      </c>
      <c r="B65" s="161" t="s">
        <v>222</v>
      </c>
      <c r="C65" s="275">
        <v>561.41999999999996</v>
      </c>
      <c r="D65" s="275">
        <v>561.41999999999996</v>
      </c>
      <c r="E65" s="576" t="str">
        <f t="shared" si="8"/>
        <v/>
      </c>
      <c r="F65" s="162" t="str">
        <f t="shared" si="9"/>
        <v>оплачено</v>
      </c>
      <c r="G65" s="162"/>
      <c r="H65" s="43"/>
      <c r="I65" s="1"/>
      <c r="J65" s="366"/>
      <c r="K65" s="1"/>
      <c r="L65" s="1"/>
      <c r="M65" s="44"/>
      <c r="N65" s="1"/>
      <c r="O65" s="366"/>
      <c r="P65" s="366"/>
    </row>
    <row r="66" spans="1:22">
      <c r="A66" s="325"/>
      <c r="B66" s="161"/>
      <c r="C66" s="275"/>
      <c r="D66" s="275"/>
      <c r="E66" s="576" t="str">
        <f t="shared" si="8"/>
        <v/>
      </c>
      <c r="F66" s="162" t="str">
        <f t="shared" si="9"/>
        <v/>
      </c>
      <c r="G66" s="162"/>
      <c r="H66" s="43"/>
      <c r="I66" s="1"/>
      <c r="J66" s="366"/>
      <c r="K66" s="1"/>
      <c r="L66" s="1"/>
      <c r="M66" s="44"/>
      <c r="N66" s="1"/>
      <c r="O66" s="366"/>
      <c r="P66" s="366"/>
    </row>
    <row r="67" spans="1:22">
      <c r="A67" s="325"/>
      <c r="B67" s="161"/>
      <c r="C67" s="275"/>
      <c r="D67" s="275"/>
      <c r="E67" s="576" t="str">
        <f t="shared" si="8"/>
        <v/>
      </c>
      <c r="F67" s="162" t="str">
        <f t="shared" si="9"/>
        <v/>
      </c>
      <c r="G67" s="162"/>
      <c r="H67" s="43"/>
      <c r="I67" s="1"/>
      <c r="J67" s="366"/>
      <c r="K67" s="1"/>
      <c r="L67" s="1"/>
      <c r="M67" s="44"/>
      <c r="N67" s="1"/>
      <c r="O67" s="366"/>
      <c r="P67" s="150"/>
    </row>
    <row r="68" spans="1:22">
      <c r="A68" s="325"/>
      <c r="B68" s="161"/>
      <c r="C68" s="275"/>
      <c r="D68" s="275"/>
      <c r="E68" s="576" t="str">
        <f t="shared" si="8"/>
        <v/>
      </c>
      <c r="F68" s="162" t="str">
        <f t="shared" si="9"/>
        <v/>
      </c>
      <c r="G68" s="162"/>
      <c r="H68" s="43"/>
      <c r="I68" s="1"/>
      <c r="J68" s="366"/>
      <c r="K68" s="1"/>
      <c r="L68" s="1"/>
      <c r="M68" s="44"/>
      <c r="N68" s="1"/>
      <c r="O68" s="366"/>
      <c r="P68" s="366"/>
    </row>
    <row r="69" spans="1:22">
      <c r="A69" s="325"/>
      <c r="B69" s="161"/>
      <c r="C69" s="275"/>
      <c r="D69" s="275"/>
      <c r="E69" s="576" t="str">
        <f t="shared" si="8"/>
        <v/>
      </c>
      <c r="F69" s="162" t="str">
        <f t="shared" si="9"/>
        <v/>
      </c>
      <c r="G69" s="162"/>
      <c r="H69" s="43"/>
      <c r="I69" s="1"/>
      <c r="J69" s="366"/>
      <c r="K69" s="1"/>
      <c r="L69" s="1"/>
      <c r="M69" s="44"/>
      <c r="N69" s="1"/>
      <c r="O69" s="366"/>
      <c r="P69" s="366"/>
    </row>
    <row r="70" spans="1:22">
      <c r="A70" s="325"/>
      <c r="B70" s="161"/>
      <c r="C70" s="275"/>
      <c r="D70" s="275"/>
      <c r="E70" s="576" t="str">
        <f t="shared" si="8"/>
        <v/>
      </c>
      <c r="F70" s="162" t="str">
        <f t="shared" si="9"/>
        <v/>
      </c>
      <c r="G70" s="162"/>
      <c r="H70" s="43"/>
      <c r="I70" s="1"/>
      <c r="J70" s="366"/>
      <c r="K70" s="1"/>
      <c r="L70" s="1"/>
      <c r="M70" s="44"/>
      <c r="N70" s="1"/>
      <c r="O70" s="366"/>
      <c r="P70" s="84"/>
    </row>
    <row r="71" spans="1:22">
      <c r="A71" s="325"/>
      <c r="B71" s="161"/>
      <c r="C71" s="275"/>
      <c r="D71" s="275"/>
      <c r="E71" s="576" t="str">
        <f t="shared" si="8"/>
        <v/>
      </c>
      <c r="F71" s="162" t="str">
        <f t="shared" si="9"/>
        <v/>
      </c>
      <c r="G71" s="162"/>
      <c r="H71" s="43"/>
      <c r="I71" s="1"/>
      <c r="J71" s="366"/>
      <c r="K71" s="1"/>
      <c r="L71" s="1"/>
      <c r="M71" s="44"/>
      <c r="N71" s="1"/>
      <c r="O71" s="366"/>
      <c r="P71" s="366"/>
    </row>
    <row r="72" spans="1:22" ht="15.75" thickBot="1">
      <c r="A72" s="1092" t="s">
        <v>259</v>
      </c>
      <c r="B72" s="1093"/>
      <c r="C72" s="358">
        <f>SUM(C56:C71)</f>
        <v>3946.4600000000005</v>
      </c>
      <c r="D72" s="358"/>
      <c r="E72" s="576">
        <f>SUM(E56:E71)</f>
        <v>500</v>
      </c>
      <c r="F72" s="162"/>
      <c r="G72" s="451"/>
      <c r="H72" s="43"/>
      <c r="I72" s="1"/>
      <c r="J72" s="366"/>
      <c r="K72" s="1"/>
      <c r="L72" s="1"/>
      <c r="M72" s="44"/>
      <c r="N72" s="1"/>
      <c r="O72" s="366"/>
      <c r="P72" s="366"/>
    </row>
    <row r="73" spans="1:22" ht="15.75" thickTop="1">
      <c r="A73" s="351"/>
      <c r="B73" s="352"/>
      <c r="C73" s="353"/>
      <c r="D73" s="353"/>
      <c r="E73" s="354"/>
      <c r="F73" s="352"/>
      <c r="G73" s="376"/>
      <c r="H73" s="1039" t="s">
        <v>16</v>
      </c>
      <c r="I73" s="1041" t="s">
        <v>17</v>
      </c>
      <c r="J73" s="1041" t="s">
        <v>21</v>
      </c>
      <c r="K73" s="1041"/>
      <c r="L73" s="1043" t="s">
        <v>93</v>
      </c>
      <c r="M73" s="1045" t="s">
        <v>95</v>
      </c>
      <c r="N73" s="1"/>
      <c r="O73" s="366"/>
      <c r="P73" s="652"/>
    </row>
    <row r="74" spans="1:22" ht="24">
      <c r="A74" s="355"/>
      <c r="B74" s="201"/>
      <c r="C74" s="201"/>
      <c r="D74" s="201"/>
      <c r="E74" s="216"/>
      <c r="F74" s="201"/>
      <c r="G74" s="201"/>
      <c r="H74" s="1040"/>
      <c r="I74" s="1042"/>
      <c r="J74" s="537" t="s">
        <v>21</v>
      </c>
      <c r="K74" s="537" t="s">
        <v>25</v>
      </c>
      <c r="L74" s="1044"/>
      <c r="M74" s="1046"/>
      <c r="N74" s="1"/>
      <c r="O74" s="366"/>
      <c r="P74" s="439"/>
    </row>
    <row r="75" spans="1:22">
      <c r="A75" s="338"/>
      <c r="B75" s="199"/>
      <c r="C75" s="288"/>
      <c r="D75" s="232"/>
      <c r="E75" s="84"/>
      <c r="F75" s="199"/>
      <c r="G75" s="199"/>
      <c r="H75" s="347" t="s">
        <v>163</v>
      </c>
      <c r="I75" s="94">
        <v>2420.3999999999996</v>
      </c>
      <c r="J75" s="94">
        <v>115.5</v>
      </c>
      <c r="K75" s="542">
        <v>132.61000000000001</v>
      </c>
      <c r="L75" s="96">
        <v>22665.5</v>
      </c>
      <c r="M75" s="104">
        <f>L75-I75-J75-K75</f>
        <v>19996.989999999998</v>
      </c>
      <c r="N75" s="1"/>
      <c r="O75" s="449"/>
      <c r="P75" s="436"/>
      <c r="Q75" s="86"/>
      <c r="R75" s="86"/>
    </row>
    <row r="76" spans="1:22">
      <c r="A76" s="339"/>
      <c r="B76" s="199"/>
      <c r="C76" s="199"/>
      <c r="D76" s="273"/>
      <c r="E76" s="366"/>
      <c r="F76" s="84"/>
      <c r="G76" s="366"/>
      <c r="H76" s="347" t="s">
        <v>192</v>
      </c>
      <c r="I76" s="94">
        <v>7629.69</v>
      </c>
      <c r="J76" s="94">
        <v>352.29</v>
      </c>
      <c r="K76" s="94">
        <v>193.85000000000002</v>
      </c>
      <c r="L76" s="96">
        <v>10342</v>
      </c>
      <c r="M76" s="104">
        <f>M75-I76-J76-K76+L76</f>
        <v>22163.159999999996</v>
      </c>
      <c r="N76" s="1"/>
      <c r="O76" s="449"/>
      <c r="P76" s="436"/>
      <c r="Q76" s="86"/>
      <c r="R76" s="86"/>
    </row>
    <row r="77" spans="1:22">
      <c r="A77" s="339"/>
      <c r="B77" s="366"/>
      <c r="C77" s="199"/>
      <c r="D77" s="273"/>
      <c r="E77" s="366"/>
      <c r="F77" s="366"/>
      <c r="G77" s="366"/>
      <c r="H77" s="347" t="s">
        <v>199</v>
      </c>
      <c r="I77" s="298">
        <v>8423.6400000000012</v>
      </c>
      <c r="J77" s="94">
        <v>921.3</v>
      </c>
      <c r="K77" s="299">
        <v>312.46000000000004</v>
      </c>
      <c r="L77" s="299">
        <v>16668</v>
      </c>
      <c r="M77" s="104">
        <f>M76-I77-J77-K77+L77</f>
        <v>29173.759999999995</v>
      </c>
      <c r="N77" s="1"/>
      <c r="O77" s="449"/>
      <c r="P77" s="437"/>
      <c r="Q77" s="86"/>
      <c r="R77" s="86"/>
    </row>
    <row r="78" spans="1:22">
      <c r="A78" s="339"/>
      <c r="B78" s="1"/>
      <c r="C78" s="284"/>
      <c r="D78" s="273"/>
      <c r="E78" s="366"/>
      <c r="F78" s="366"/>
      <c r="G78" s="84"/>
      <c r="H78" s="347" t="s">
        <v>209</v>
      </c>
      <c r="I78" s="299">
        <v>8639.7199999999993</v>
      </c>
      <c r="J78" s="300">
        <v>749.49</v>
      </c>
      <c r="K78" s="552">
        <v>435.1</v>
      </c>
      <c r="L78" s="299">
        <v>17824.919999999998</v>
      </c>
      <c r="M78" s="104">
        <f>M77-I78-J78-K78+L78</f>
        <v>37174.369999999995</v>
      </c>
      <c r="N78" s="1"/>
      <c r="O78" s="449"/>
      <c r="P78" s="437"/>
      <c r="Q78" s="86"/>
      <c r="R78" s="86"/>
    </row>
    <row r="79" spans="1:22">
      <c r="A79" s="339"/>
      <c r="B79" s="199"/>
      <c r="C79" s="1"/>
      <c r="D79" s="273"/>
      <c r="E79" s="366"/>
      <c r="F79" s="366"/>
      <c r="G79" s="366"/>
      <c r="H79" s="348" t="s">
        <v>210</v>
      </c>
      <c r="I79" s="300">
        <v>12605.26</v>
      </c>
      <c r="J79" s="299">
        <v>600.5</v>
      </c>
      <c r="K79" s="300">
        <v>491.64</v>
      </c>
      <c r="L79" s="299">
        <v>15183.9</v>
      </c>
      <c r="M79" s="104">
        <f>M78-I79-J79-K79+L79</f>
        <v>38660.869999999995</v>
      </c>
      <c r="N79" s="1"/>
      <c r="O79" s="145"/>
      <c r="P79" s="437"/>
      <c r="R79" s="86"/>
    </row>
    <row r="80" spans="1:22" ht="15.75" thickBot="1">
      <c r="A80" s="339"/>
      <c r="B80" s="199"/>
      <c r="C80" s="1"/>
      <c r="D80" s="273"/>
      <c r="E80" s="366"/>
      <c r="F80" s="366"/>
      <c r="G80" s="366"/>
      <c r="H80" s="379" t="s">
        <v>211</v>
      </c>
      <c r="I80" s="380"/>
      <c r="J80" s="432"/>
      <c r="K80" s="381"/>
      <c r="L80" s="433"/>
      <c r="M80" s="382"/>
      <c r="N80" s="1"/>
      <c r="O80" s="366"/>
      <c r="P80" s="437"/>
      <c r="Q80" s="86"/>
      <c r="R80" s="86"/>
      <c r="U80" s="1"/>
      <c r="V80" s="1"/>
    </row>
    <row r="81" spans="1:26" ht="15.75" thickTop="1">
      <c r="A81" s="339"/>
      <c r="B81" s="199"/>
      <c r="C81" s="1"/>
      <c r="D81" s="273"/>
      <c r="E81" s="84"/>
      <c r="F81" s="366"/>
      <c r="G81" s="366"/>
      <c r="H81" s="1023" t="s">
        <v>36</v>
      </c>
      <c r="I81" s="1025" t="s">
        <v>178</v>
      </c>
      <c r="J81" s="1026"/>
      <c r="K81" s="1027"/>
      <c r="L81" s="1031" t="s">
        <v>159</v>
      </c>
      <c r="M81" s="1032"/>
      <c r="N81" s="1"/>
      <c r="O81" s="366"/>
      <c r="P81" s="437"/>
      <c r="Q81" s="86"/>
      <c r="R81" s="86"/>
      <c r="U81" s="1"/>
      <c r="V81" s="1"/>
    </row>
    <row r="82" spans="1:26">
      <c r="A82" s="339"/>
      <c r="B82" s="199"/>
      <c r="C82" s="284"/>
      <c r="D82" s="273"/>
      <c r="E82" s="284"/>
      <c r="F82" s="366"/>
      <c r="G82" s="378"/>
      <c r="H82" s="1024"/>
      <c r="I82" s="1028"/>
      <c r="J82" s="1029"/>
      <c r="K82" s="1030"/>
      <c r="L82" s="1033"/>
      <c r="M82" s="1034"/>
      <c r="N82" s="1"/>
      <c r="O82" s="366"/>
      <c r="P82" s="437"/>
      <c r="Q82" s="366"/>
      <c r="R82" s="366"/>
      <c r="S82" s="1"/>
      <c r="T82" s="1"/>
      <c r="U82" s="1"/>
      <c r="V82" s="1"/>
      <c r="W82" s="1"/>
      <c r="X82" s="1"/>
      <c r="Y82" s="1"/>
    </row>
    <row r="83" spans="1:26">
      <c r="A83" s="339"/>
      <c r="B83" s="199"/>
      <c r="C83" s="199"/>
      <c r="D83" s="273"/>
      <c r="E83" s="199"/>
      <c r="F83" s="366"/>
      <c r="G83" s="378"/>
      <c r="H83" s="529" t="s">
        <v>250</v>
      </c>
      <c r="I83" s="1035" t="s">
        <v>47</v>
      </c>
      <c r="J83" s="1035"/>
      <c r="K83" s="548">
        <v>131.25</v>
      </c>
      <c r="L83" s="282">
        <v>43905</v>
      </c>
      <c r="M83" s="44" t="s">
        <v>237</v>
      </c>
      <c r="P83" s="437"/>
      <c r="Q83" s="480"/>
      <c r="R83" s="366"/>
      <c r="S83" s="1"/>
      <c r="T83" s="1"/>
      <c r="U83" s="282"/>
      <c r="V83" s="282"/>
      <c r="W83" s="1"/>
      <c r="X83" s="1"/>
      <c r="Y83" s="1"/>
    </row>
    <row r="84" spans="1:26">
      <c r="A84" s="339"/>
      <c r="B84" s="366"/>
      <c r="C84" s="274"/>
      <c r="D84" s="273"/>
      <c r="E84" s="274"/>
      <c r="F84" s="366"/>
      <c r="G84" s="366"/>
      <c r="H84" s="529" t="s">
        <v>250</v>
      </c>
      <c r="I84" s="1020" t="s">
        <v>51</v>
      </c>
      <c r="J84" s="1020"/>
      <c r="K84" s="549">
        <v>21.35</v>
      </c>
      <c r="L84" s="282">
        <v>43905</v>
      </c>
      <c r="M84" s="44" t="s">
        <v>237</v>
      </c>
      <c r="P84" s="437"/>
      <c r="Q84" s="86"/>
      <c r="R84" s="86"/>
      <c r="S84" s="1"/>
      <c r="T84" s="1"/>
      <c r="U84" s="282"/>
      <c r="V84" s="282"/>
      <c r="W84" s="1"/>
      <c r="X84" s="1"/>
      <c r="Y84" s="1"/>
    </row>
    <row r="85" spans="1:26">
      <c r="A85" s="340"/>
      <c r="B85" s="366"/>
      <c r="C85" s="366"/>
      <c r="D85" s="273"/>
      <c r="E85" s="199"/>
      <c r="F85" s="366"/>
      <c r="G85" s="366"/>
      <c r="H85" s="529" t="s">
        <v>250</v>
      </c>
      <c r="I85" s="1020" t="s">
        <v>52</v>
      </c>
      <c r="J85" s="1020"/>
      <c r="K85" s="549">
        <v>2.25</v>
      </c>
      <c r="L85" s="282">
        <v>43905</v>
      </c>
      <c r="M85" s="44" t="s">
        <v>237</v>
      </c>
      <c r="R85" s="544"/>
      <c r="S85" s="1"/>
      <c r="T85" s="282"/>
      <c r="U85" s="282"/>
      <c r="V85" s="282"/>
      <c r="W85" s="282"/>
      <c r="X85" s="282"/>
      <c r="Y85" s="1"/>
      <c r="Z85" s="1"/>
    </row>
    <row r="86" spans="1:26">
      <c r="A86" s="340"/>
      <c r="B86" s="366"/>
      <c r="C86" s="366"/>
      <c r="D86" s="273"/>
      <c r="E86" s="366"/>
      <c r="F86" s="366"/>
      <c r="G86" s="366"/>
      <c r="H86" s="529" t="s">
        <v>250</v>
      </c>
      <c r="I86" s="1020" t="s">
        <v>49</v>
      </c>
      <c r="J86" s="1020"/>
      <c r="K86" s="549">
        <v>89</v>
      </c>
      <c r="L86" s="282">
        <v>43910</v>
      </c>
      <c r="M86" s="44" t="s">
        <v>269</v>
      </c>
      <c r="O86" s="150"/>
      <c r="S86" s="1"/>
      <c r="T86" s="282"/>
      <c r="U86" s="282"/>
      <c r="V86" s="282"/>
      <c r="W86" s="282"/>
      <c r="X86" s="282"/>
      <c r="Y86" s="1"/>
      <c r="Z86" s="1"/>
    </row>
    <row r="87" spans="1:26">
      <c r="A87" s="340"/>
      <c r="B87" s="366"/>
      <c r="C87" s="366"/>
      <c r="D87" s="273"/>
      <c r="E87" s="366"/>
      <c r="F87" s="366"/>
      <c r="G87" s="366"/>
      <c r="H87" s="529" t="s">
        <v>250</v>
      </c>
      <c r="I87" s="1088" t="s">
        <v>59</v>
      </c>
      <c r="J87" s="1088"/>
      <c r="K87" s="457">
        <v>176.5</v>
      </c>
      <c r="L87" s="302" t="s">
        <v>177</v>
      </c>
      <c r="M87" s="44" t="s">
        <v>237</v>
      </c>
      <c r="O87" s="150"/>
      <c r="P87" s="553"/>
      <c r="Q87" s="485"/>
      <c r="R87" s="544"/>
      <c r="S87" s="1"/>
      <c r="T87" s="282"/>
      <c r="U87" s="1"/>
      <c r="V87" s="1"/>
      <c r="W87" s="282"/>
      <c r="X87" s="282"/>
      <c r="Y87" s="1"/>
      <c r="Z87" s="1"/>
    </row>
    <row r="88" spans="1:26">
      <c r="A88" s="340"/>
      <c r="B88" s="199"/>
      <c r="C88" s="199"/>
      <c r="D88" s="273"/>
      <c r="E88" s="199"/>
      <c r="F88" s="366"/>
      <c r="G88" s="366"/>
      <c r="H88" s="529" t="s">
        <v>250</v>
      </c>
      <c r="I88" s="1089" t="s">
        <v>68</v>
      </c>
      <c r="J88" s="1090"/>
      <c r="K88" s="549">
        <v>55.66</v>
      </c>
      <c r="L88" s="282">
        <v>43910</v>
      </c>
      <c r="M88" s="44" t="s">
        <v>237</v>
      </c>
      <c r="P88" s="362"/>
      <c r="Q88" s="544"/>
      <c r="R88" s="544"/>
      <c r="S88" s="1"/>
      <c r="T88" s="282"/>
      <c r="U88" s="282"/>
      <c r="V88" s="282"/>
      <c r="W88" s="282"/>
      <c r="X88" s="282"/>
      <c r="Y88" s="1"/>
      <c r="Z88" s="1"/>
    </row>
    <row r="89" spans="1:26">
      <c r="A89" s="340"/>
      <c r="B89" s="199"/>
      <c r="C89" s="366"/>
      <c r="D89" s="273"/>
      <c r="E89" s="199"/>
      <c r="F89" s="366"/>
      <c r="G89" s="366"/>
      <c r="H89" s="529" t="s">
        <v>250</v>
      </c>
      <c r="I89" s="1021" t="s">
        <v>174</v>
      </c>
      <c r="J89" s="1022"/>
      <c r="K89" s="549">
        <v>257.08999999999997</v>
      </c>
      <c r="L89" s="282">
        <v>43905</v>
      </c>
      <c r="M89" s="44" t="s">
        <v>237</v>
      </c>
      <c r="O89" s="150"/>
      <c r="P89" s="553"/>
      <c r="Q89" s="544"/>
      <c r="R89" s="544"/>
      <c r="S89" s="1"/>
      <c r="T89" s="1"/>
      <c r="U89" s="282"/>
      <c r="V89" s="282"/>
      <c r="W89" s="1"/>
      <c r="X89" s="1"/>
      <c r="Y89" s="1"/>
      <c r="Z89" s="1"/>
    </row>
    <row r="90" spans="1:26">
      <c r="A90" s="340"/>
      <c r="B90" s="199"/>
      <c r="C90" s="366"/>
      <c r="D90" s="273"/>
      <c r="E90" s="199"/>
      <c r="F90" s="366"/>
      <c r="G90" s="366"/>
      <c r="H90" s="529" t="s">
        <v>250</v>
      </c>
      <c r="I90" s="538" t="s">
        <v>176</v>
      </c>
      <c r="J90" s="539"/>
      <c r="K90" s="549">
        <v>147.06</v>
      </c>
      <c r="L90" s="282">
        <v>43910</v>
      </c>
      <c r="M90" s="44" t="s">
        <v>237</v>
      </c>
      <c r="P90" s="362"/>
      <c r="Q90" s="544"/>
      <c r="R90" s="485"/>
      <c r="S90" s="1"/>
      <c r="T90" s="282"/>
      <c r="U90" s="282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232"/>
      <c r="F91" s="366"/>
      <c r="G91" s="366"/>
      <c r="H91" s="529" t="s">
        <v>250</v>
      </c>
      <c r="I91" s="1021" t="s">
        <v>81</v>
      </c>
      <c r="J91" s="1022"/>
      <c r="K91" s="568">
        <v>616.88</v>
      </c>
      <c r="L91" s="282">
        <v>43900</v>
      </c>
      <c r="M91" s="44" t="s">
        <v>237</v>
      </c>
      <c r="P91" s="366"/>
      <c r="Q91" s="366"/>
      <c r="R91" s="365"/>
      <c r="S91" s="1"/>
      <c r="T91" s="282"/>
      <c r="U91" s="282"/>
      <c r="V91" s="282"/>
      <c r="W91" s="282"/>
      <c r="X91" s="282"/>
      <c r="Y91" s="366"/>
      <c r="Z91" s="1"/>
    </row>
    <row r="92" spans="1:26">
      <c r="A92" s="340"/>
      <c r="B92" s="199"/>
      <c r="C92" s="366"/>
      <c r="D92" s="273"/>
      <c r="E92" s="232"/>
      <c r="F92" s="366"/>
      <c r="G92" s="366"/>
      <c r="H92" s="529" t="s">
        <v>250</v>
      </c>
      <c r="I92" s="1021" t="s">
        <v>53</v>
      </c>
      <c r="J92" s="1022"/>
      <c r="K92" s="455">
        <v>10</v>
      </c>
      <c r="L92" s="282">
        <v>43905</v>
      </c>
      <c r="M92" s="44" t="s">
        <v>237</v>
      </c>
      <c r="P92" s="437"/>
      <c r="Q92" s="86"/>
      <c r="R92" s="86"/>
      <c r="S92" s="1"/>
      <c r="T92" s="282"/>
      <c r="U92" s="282"/>
      <c r="V92" s="282"/>
      <c r="W92" s="282"/>
      <c r="X92" s="282"/>
      <c r="Y92" s="366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1087" t="s">
        <v>61</v>
      </c>
      <c r="J93" s="1087"/>
      <c r="K93" s="578">
        <f>I56</f>
        <v>500.24</v>
      </c>
      <c r="L93" s="282">
        <v>43910</v>
      </c>
      <c r="M93" s="44" t="s">
        <v>237</v>
      </c>
      <c r="S93" s="366"/>
      <c r="T93" s="282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455" t="s">
        <v>250</v>
      </c>
      <c r="I94" s="1017" t="s">
        <v>300</v>
      </c>
      <c r="J94" s="1017"/>
      <c r="K94" s="578">
        <v>100</v>
      </c>
      <c r="L94" s="282">
        <v>43920</v>
      </c>
      <c r="M94" s="44" t="s">
        <v>237</v>
      </c>
      <c r="S94" s="366"/>
      <c r="T94" s="282"/>
      <c r="U94" s="282"/>
      <c r="V94" s="282"/>
      <c r="W94" s="282"/>
      <c r="X94" s="282"/>
      <c r="Y94" s="1"/>
      <c r="Z94" s="1"/>
    </row>
    <row r="95" spans="1:26" ht="15.75" thickBot="1">
      <c r="A95" s="341"/>
      <c r="B95" s="330"/>
      <c r="C95" s="331"/>
      <c r="D95" s="342"/>
      <c r="E95" s="330"/>
      <c r="F95" s="331"/>
      <c r="G95" s="331"/>
      <c r="H95" s="346"/>
      <c r="I95" s="361" t="s">
        <v>179</v>
      </c>
      <c r="J95" s="361">
        <f>SUM(K83:K93)</f>
        <v>2007.28</v>
      </c>
      <c r="K95" s="1018" t="s">
        <v>180</v>
      </c>
      <c r="L95" s="1018"/>
      <c r="M95" s="535">
        <v>0</v>
      </c>
      <c r="P95" s="366"/>
      <c r="Q95" s="365"/>
      <c r="R95" s="365"/>
      <c r="S95" s="366"/>
      <c r="T95" s="282"/>
      <c r="U95" s="1"/>
      <c r="V95" s="1"/>
      <c r="W95" s="282"/>
      <c r="X95" s="282"/>
      <c r="Y95" s="1"/>
      <c r="Z95" s="1"/>
    </row>
    <row r="96" spans="1:26" ht="15.75" thickTop="1">
      <c r="C96" s="507"/>
      <c r="D96" s="507"/>
      <c r="P96" s="366"/>
      <c r="Q96" s="505"/>
      <c r="R96" s="365"/>
      <c r="S96" s="366"/>
      <c r="T96" s="282"/>
      <c r="U96" s="1"/>
      <c r="V96" s="1"/>
      <c r="W96" s="282"/>
      <c r="X96" s="282"/>
      <c r="Y96" s="1"/>
      <c r="Z96" s="1"/>
    </row>
    <row r="97" spans="3:26">
      <c r="C97" s="447"/>
      <c r="P97" s="127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7"/>
      <c r="P98" s="127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7"/>
      <c r="E99" s="86"/>
      <c r="P99" s="189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7"/>
      <c r="P100" s="127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7"/>
      <c r="K101" s="506"/>
      <c r="P101" s="449"/>
      <c r="Q101" s="1"/>
      <c r="R101" s="1"/>
      <c r="S101" s="1"/>
      <c r="T101" s="1"/>
      <c r="W101" s="1"/>
      <c r="X101" s="1"/>
      <c r="Y101" s="1"/>
      <c r="Z101" s="1"/>
    </row>
    <row r="102" spans="3:26">
      <c r="C102" s="447"/>
      <c r="P102" s="449"/>
      <c r="Q102" s="1"/>
      <c r="R102" s="1"/>
      <c r="S102" s="1"/>
      <c r="T102" s="1"/>
      <c r="W102" s="1"/>
      <c r="X102" s="1"/>
      <c r="Y102" s="1"/>
      <c r="Z102" s="1"/>
    </row>
    <row r="103" spans="3:26">
      <c r="C103" s="447"/>
      <c r="M103" s="506"/>
      <c r="P103" s="449"/>
      <c r="Z103" s="1"/>
    </row>
    <row r="104" spans="3:26">
      <c r="C104" s="447"/>
      <c r="P104" s="449"/>
      <c r="Z104" s="1"/>
    </row>
    <row r="105" spans="3:26">
      <c r="C105" s="447"/>
      <c r="M105" s="1"/>
      <c r="P105" s="449"/>
      <c r="Z105" s="1"/>
    </row>
    <row r="106" spans="3:26">
      <c r="C106" s="447"/>
      <c r="M106" s="1"/>
      <c r="P106" s="449"/>
    </row>
    <row r="107" spans="3:26">
      <c r="C107" s="447"/>
      <c r="M107" s="1"/>
      <c r="P107" s="449"/>
    </row>
    <row r="108" spans="3:26">
      <c r="C108" s="447"/>
      <c r="M108" s="366"/>
      <c r="P108" s="449"/>
    </row>
    <row r="109" spans="3:26">
      <c r="C109" s="447"/>
      <c r="M109" s="366"/>
      <c r="P109" s="449"/>
    </row>
    <row r="110" spans="3:26">
      <c r="C110" s="447"/>
      <c r="M110" s="1"/>
      <c r="P110" s="449"/>
    </row>
    <row r="111" spans="3:26">
      <c r="C111" s="447"/>
      <c r="M111" s="1"/>
      <c r="P111" s="449"/>
    </row>
    <row r="112" spans="3:26">
      <c r="C112" s="447"/>
      <c r="M112" s="1"/>
      <c r="P112" s="449"/>
    </row>
    <row r="113" spans="3:16">
      <c r="C113" s="447"/>
      <c r="M113" s="1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</row>
    <row r="125" spans="3:16">
      <c r="C125" s="447"/>
    </row>
  </sheetData>
  <mergeCells count="57"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  <mergeCell ref="U3:V3"/>
    <mergeCell ref="AF7:AF8"/>
    <mergeCell ref="AG7:AG8"/>
    <mergeCell ref="O3:P3"/>
    <mergeCell ref="H4:I4"/>
    <mergeCell ref="A1:M2"/>
    <mergeCell ref="A3:G3"/>
    <mergeCell ref="H3:M3"/>
    <mergeCell ref="H6:I6"/>
    <mergeCell ref="A21:B21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K50:L50"/>
    <mergeCell ref="H51:K51"/>
    <mergeCell ref="A52:M53"/>
    <mergeCell ref="A54:G54"/>
    <mergeCell ref="H54:M5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I89:J89"/>
    <mergeCell ref="I91:J91"/>
    <mergeCell ref="I92:J92"/>
    <mergeCell ref="I93:J93"/>
    <mergeCell ref="K95:L95"/>
    <mergeCell ref="I94:J94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39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6"/>
      <c r="G2" s="226">
        <v>524.5</v>
      </c>
      <c r="H2" s="85"/>
      <c r="I2" s="465">
        <v>217</v>
      </c>
      <c r="J2" s="464"/>
      <c r="K2" s="464"/>
      <c r="L2" s="464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6"/>
      <c r="G3" s="22">
        <v>246.5</v>
      </c>
      <c r="H3" s="226"/>
      <c r="I3" s="465"/>
      <c r="J3" s="464"/>
      <c r="K3" s="464"/>
      <c r="L3" s="464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6"/>
      <c r="G4" s="226">
        <v>527.20000000000005</v>
      </c>
      <c r="H4" s="226"/>
      <c r="I4" s="465">
        <v>278.5</v>
      </c>
      <c r="J4" s="464"/>
      <c r="K4" s="464"/>
      <c r="L4" s="464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6">
        <v>205.5</v>
      </c>
      <c r="G5" s="226"/>
      <c r="H5" s="85"/>
      <c r="I5" s="465">
        <v>109.4</v>
      </c>
      <c r="J5" s="464"/>
      <c r="K5" s="464"/>
      <c r="L5" s="464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6">
        <v>343</v>
      </c>
      <c r="G6" s="226"/>
      <c r="H6" s="85"/>
      <c r="I6" s="465">
        <v>129</v>
      </c>
      <c r="J6" s="464"/>
      <c r="K6" s="464"/>
      <c r="L6" s="464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6"/>
      <c r="G7" s="226">
        <v>507.5</v>
      </c>
      <c r="H7" s="85"/>
      <c r="I7" s="465">
        <v>71.75</v>
      </c>
      <c r="J7" s="464"/>
      <c r="K7" s="464"/>
      <c r="L7" s="464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6"/>
      <c r="G8" s="226">
        <v>748</v>
      </c>
      <c r="H8" s="85"/>
      <c r="I8" s="465">
        <v>249.5</v>
      </c>
      <c r="J8" s="464"/>
      <c r="K8" s="464"/>
      <c r="L8" s="464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6"/>
      <c r="G9" s="226">
        <v>257.5</v>
      </c>
      <c r="H9" s="18"/>
      <c r="I9" s="465">
        <v>20.100000000000001</v>
      </c>
      <c r="J9" s="464"/>
      <c r="K9" s="464"/>
      <c r="L9" s="464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6">
        <v>402.2</v>
      </c>
      <c r="G10" s="226"/>
      <c r="H10" s="431"/>
      <c r="I10" s="465"/>
      <c r="J10" s="464"/>
      <c r="K10" s="464"/>
      <c r="L10" s="464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6">
        <v>280</v>
      </c>
      <c r="G11" s="226"/>
      <c r="H11" s="226"/>
      <c r="I11" s="465">
        <v>324.75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6"/>
      <c r="G12" s="226">
        <v>278.3</v>
      </c>
      <c r="H12" s="226"/>
      <c r="I12" s="465">
        <v>90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6"/>
      <c r="G13" s="226">
        <v>390</v>
      </c>
      <c r="H13" s="226"/>
      <c r="I13" s="465">
        <v>135.19999999999999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6"/>
      <c r="G14" s="226">
        <v>424</v>
      </c>
      <c r="H14" s="226"/>
      <c r="I14" s="465">
        <v>134.19999999999999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6</v>
      </c>
      <c r="C15" s="17">
        <v>43904</v>
      </c>
      <c r="D15" s="22">
        <v>1001.25</v>
      </c>
      <c r="E15" s="22"/>
      <c r="F15" s="226">
        <v>392.5</v>
      </c>
      <c r="G15" s="226"/>
      <c r="H15" s="569"/>
      <c r="I15" s="116">
        <v>226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6">
        <v>439.9</v>
      </c>
      <c r="G16" s="226"/>
      <c r="H16" s="14"/>
      <c r="I16" s="465">
        <v>107.5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6"/>
      <c r="G17" s="226">
        <v>206</v>
      </c>
      <c r="H17" s="14"/>
      <c r="I17" s="465"/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6"/>
      <c r="G18" s="226">
        <v>505.2</v>
      </c>
      <c r="H18" s="226"/>
      <c r="I18" s="465">
        <v>64.3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6"/>
      <c r="G19" s="226">
        <v>271.10000000000002</v>
      </c>
      <c r="H19" s="14"/>
      <c r="I19" s="465">
        <v>124.2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4</v>
      </c>
      <c r="C20" s="17">
        <v>43909</v>
      </c>
      <c r="D20" s="22"/>
      <c r="E20" s="22">
        <v>1433.5</v>
      </c>
      <c r="F20" s="226">
        <v>779.5</v>
      </c>
      <c r="G20" s="226"/>
      <c r="H20" s="22"/>
      <c r="I20" s="468">
        <v>126.3</v>
      </c>
      <c r="J20" s="466"/>
      <c r="K20" s="466"/>
      <c r="L20" s="466"/>
    </row>
    <row r="21" spans="1:16" s="86" customFormat="1" ht="11.1" customHeight="1">
      <c r="B21" s="460">
        <f t="shared" si="0"/>
        <v>5</v>
      </c>
      <c r="C21" s="17">
        <v>43910</v>
      </c>
      <c r="D21" s="22"/>
      <c r="E21" s="22">
        <v>1610.65</v>
      </c>
      <c r="F21" s="226">
        <v>682</v>
      </c>
      <c r="G21" s="226"/>
      <c r="H21" s="226"/>
      <c r="I21" s="468">
        <v>71.75</v>
      </c>
      <c r="J21" s="466"/>
      <c r="K21" s="466"/>
      <c r="L21" s="466"/>
    </row>
    <row r="22" spans="1:16" s="86" customFormat="1" ht="11.1" customHeight="1">
      <c r="B22" s="460">
        <f>IF(C22="","",WEEKDAY(C22,2))</f>
        <v>6</v>
      </c>
      <c r="C22" s="17">
        <v>43911</v>
      </c>
      <c r="D22" s="22">
        <v>1427.1</v>
      </c>
      <c r="E22" s="22"/>
      <c r="F22" s="226"/>
      <c r="G22" s="226">
        <v>630.20000000000005</v>
      </c>
      <c r="H22" s="226"/>
      <c r="I22" s="468">
        <v>83.5</v>
      </c>
      <c r="J22" s="466"/>
      <c r="K22" s="466"/>
      <c r="L22" s="466"/>
    </row>
    <row r="23" spans="1:16" s="86" customFormat="1" ht="11.1" customHeight="1">
      <c r="B23" s="460">
        <f t="shared" si="0"/>
        <v>7</v>
      </c>
      <c r="C23" s="17">
        <v>43912</v>
      </c>
      <c r="D23" s="22">
        <f>913.4+8</f>
        <v>921.4</v>
      </c>
      <c r="E23" s="22"/>
      <c r="F23" s="226"/>
      <c r="G23" s="226">
        <v>429.5</v>
      </c>
      <c r="H23" s="476"/>
      <c r="I23" s="468">
        <v>102.2</v>
      </c>
      <c r="J23" s="466"/>
      <c r="K23" s="466"/>
      <c r="L23" s="466"/>
    </row>
    <row r="24" spans="1:16" s="86" customFormat="1" ht="10.5" customHeight="1">
      <c r="B24" s="460">
        <f t="shared" si="0"/>
        <v>1</v>
      </c>
      <c r="C24" s="17">
        <v>43913</v>
      </c>
      <c r="D24" s="22"/>
      <c r="E24" s="22">
        <v>1095.2</v>
      </c>
      <c r="F24" s="226"/>
      <c r="G24" s="226">
        <v>445.5</v>
      </c>
      <c r="H24" s="226"/>
      <c r="I24" s="468"/>
      <c r="J24" s="466"/>
      <c r="K24" s="466"/>
      <c r="L24" s="466"/>
    </row>
    <row r="25" spans="1:16" s="86" customFormat="1" ht="11.1" customHeight="1">
      <c r="B25" s="460">
        <f t="shared" si="0"/>
        <v>2</v>
      </c>
      <c r="C25" s="17">
        <v>43914</v>
      </c>
      <c r="D25" s="22"/>
      <c r="E25" s="22">
        <v>831.4</v>
      </c>
      <c r="F25" s="226">
        <v>220.9</v>
      </c>
      <c r="G25" s="226"/>
      <c r="H25" s="226"/>
      <c r="I25" s="468">
        <v>205.6</v>
      </c>
      <c r="J25" s="466"/>
      <c r="K25" s="466"/>
      <c r="L25" s="477"/>
    </row>
    <row r="26" spans="1:16" s="86" customFormat="1" ht="11.1" customHeight="1">
      <c r="B26" s="460">
        <f t="shared" si="0"/>
        <v>3</v>
      </c>
      <c r="C26" s="17">
        <v>43915</v>
      </c>
      <c r="D26" s="22">
        <v>698.2</v>
      </c>
      <c r="E26" s="22"/>
      <c r="F26" s="22">
        <v>528</v>
      </c>
      <c r="G26" s="515"/>
      <c r="H26" s="226"/>
      <c r="I26" s="468">
        <v>127.3</v>
      </c>
      <c r="J26" s="466"/>
      <c r="K26" s="466"/>
      <c r="L26" s="477"/>
    </row>
    <row r="27" spans="1:16" s="86" customFormat="1" ht="11.1" customHeight="1">
      <c r="B27" s="460">
        <f t="shared" si="0"/>
        <v>4</v>
      </c>
      <c r="C27" s="17">
        <v>43916</v>
      </c>
      <c r="D27" s="22">
        <v>1128.5999999999999</v>
      </c>
      <c r="E27" s="22"/>
      <c r="F27" s="226"/>
      <c r="G27" s="226">
        <v>509.81</v>
      </c>
      <c r="H27" s="226"/>
      <c r="I27" s="467">
        <v>115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5</v>
      </c>
      <c r="C28" s="17">
        <v>43917</v>
      </c>
      <c r="D28" s="22"/>
      <c r="E28" s="22">
        <v>996</v>
      </c>
      <c r="F28" s="226"/>
      <c r="G28" s="226">
        <v>296.64999999999998</v>
      </c>
      <c r="H28" s="226"/>
      <c r="I28" s="467">
        <v>75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6</v>
      </c>
      <c r="C29" s="17">
        <v>43918</v>
      </c>
      <c r="D29" s="22"/>
      <c r="E29" s="22">
        <v>932.5</v>
      </c>
      <c r="F29" s="226"/>
      <c r="G29" s="226">
        <v>351.5</v>
      </c>
      <c r="H29" s="226"/>
      <c r="I29" s="467">
        <v>160.6</v>
      </c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7</v>
      </c>
      <c r="C30" s="17">
        <v>43919</v>
      </c>
      <c r="D30" s="22">
        <v>495.8</v>
      </c>
      <c r="E30" s="22"/>
      <c r="F30" s="226">
        <v>363.1</v>
      </c>
      <c r="G30" s="226"/>
      <c r="H30" s="226"/>
      <c r="I30" s="470">
        <v>107.4</v>
      </c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1</v>
      </c>
      <c r="C31" s="17">
        <v>43920</v>
      </c>
      <c r="D31" s="22">
        <v>417.95</v>
      </c>
      <c r="E31" s="22"/>
      <c r="F31" s="226">
        <v>165</v>
      </c>
      <c r="G31" s="226"/>
      <c r="H31" s="22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460">
        <f t="shared" si="0"/>
        <v>2</v>
      </c>
      <c r="C32" s="17">
        <v>43921</v>
      </c>
      <c r="D32" s="237"/>
      <c r="E32" s="237">
        <v>690.6</v>
      </c>
      <c r="F32" s="226"/>
      <c r="G32" s="226">
        <v>254.7</v>
      </c>
      <c r="H32" s="549"/>
      <c r="I32" s="470">
        <v>337.76</v>
      </c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582" t="s">
        <v>225</v>
      </c>
      <c r="D33" s="248">
        <f>COUNT(D2:D32)</f>
        <v>15</v>
      </c>
      <c r="E33" s="248">
        <f>COUNT(E2:E32)</f>
        <v>16</v>
      </c>
      <c r="F33" s="248">
        <f>COUNT(F2:F32)</f>
        <v>12</v>
      </c>
      <c r="G33" s="248">
        <f>COUNT(G2:G32)</f>
        <v>19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14018.550000000001</v>
      </c>
      <c r="E34" s="238">
        <f>SUM(E2:E32)</f>
        <v>14915.35</v>
      </c>
      <c r="F34" s="238">
        <f>SUM(F2:F32)</f>
        <v>4801.6000000000004</v>
      </c>
      <c r="G34" s="238">
        <f>SUM(G2:G32)</f>
        <v>7803.66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12997.44</v>
      </c>
      <c r="E35" s="238">
        <v>12611.3</v>
      </c>
      <c r="F35" s="238">
        <v>4587.8</v>
      </c>
      <c r="G35" s="238">
        <v>7545.26</v>
      </c>
      <c r="H35" s="12"/>
      <c r="I35" s="292">
        <f>SUM(D2:E32)</f>
        <v>28933.9</v>
      </c>
      <c r="J35" s="292">
        <f>SUM(F2:G32)</f>
        <v>12605.26</v>
      </c>
      <c r="K35" s="454">
        <f>SUM(I2:I32)</f>
        <v>3793.8100000000004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1021.1100000000006</v>
      </c>
      <c r="E36" s="88">
        <f>ABS(E34-E35)</f>
        <v>2304.0500000000011</v>
      </c>
      <c r="F36" s="88">
        <f>ABS(F34-F35)</f>
        <v>213.80000000000018</v>
      </c>
      <c r="G36" s="88">
        <f>ABS(G34-G35)</f>
        <v>258.39999999999964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4.1" customHeight="1">
      <c r="B37" s="21"/>
      <c r="C37" s="581" t="s">
        <v>233</v>
      </c>
      <c r="D37" s="89">
        <f>ROUND(D36*1%,2)</f>
        <v>10.210000000000001</v>
      </c>
      <c r="E37" s="89">
        <f>ROUND(E36*1%,2)</f>
        <v>23.04</v>
      </c>
      <c r="F37" s="89">
        <f>ROUND(F36*1%,2)</f>
        <v>2.14</v>
      </c>
      <c r="G37" s="89">
        <f>ROUND(G36*1%,2)</f>
        <v>2.58</v>
      </c>
      <c r="H37" s="1"/>
      <c r="I37" s="363">
        <v>1571.51</v>
      </c>
      <c r="J37" s="363">
        <v>1081.71</v>
      </c>
      <c r="K37" s="363"/>
      <c r="L37" s="363"/>
      <c r="M37" s="366"/>
      <c r="N37" s="366"/>
      <c r="O37" s="366"/>
      <c r="P37" s="366"/>
    </row>
    <row r="38" spans="1:19" ht="13.5" customHeight="1">
      <c r="B38" s="21"/>
      <c r="C38" s="487" t="s">
        <v>234</v>
      </c>
      <c r="D38" s="89">
        <f>ROUND(3%*D35,2)</f>
        <v>389.92</v>
      </c>
      <c r="E38" s="89">
        <f>ROUND(3%*E35,2)</f>
        <v>378.34</v>
      </c>
      <c r="F38" s="89">
        <f>ROUND(3%*F35,2)</f>
        <v>137.63</v>
      </c>
      <c r="G38" s="89">
        <f>ROUND(3%*G35,2)</f>
        <v>226.36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5" customHeight="1">
      <c r="B39" s="21"/>
      <c r="C39" s="85" t="s">
        <v>7</v>
      </c>
      <c r="D39" s="87">
        <v>100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5" customHeight="1">
      <c r="B40" s="21"/>
      <c r="C40" s="85" t="s">
        <v>244</v>
      </c>
      <c r="D40" s="87">
        <f>ROUND(20*D33,2)</f>
        <v>300</v>
      </c>
      <c r="E40" s="87">
        <f>ROUND(20*E33,2)</f>
        <v>320</v>
      </c>
      <c r="F40" s="490">
        <f>ROUND(23*F33,2)</f>
        <v>276</v>
      </c>
      <c r="G40" s="88">
        <f>ROUND(23*G33,2)</f>
        <v>437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2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1.25" customHeight="1">
      <c r="B42" s="21"/>
      <c r="C42" s="242" t="s">
        <v>48</v>
      </c>
      <c r="D42" s="243"/>
      <c r="E42" s="240">
        <v>120</v>
      </c>
      <c r="F42" s="87"/>
      <c r="G42" s="87">
        <v>90</v>
      </c>
      <c r="I42" s="283"/>
      <c r="J42" s="366"/>
      <c r="K42" s="366"/>
      <c r="L42" s="366"/>
      <c r="M42" s="366"/>
      <c r="N42" s="366"/>
      <c r="O42" s="366"/>
      <c r="P42" s="366"/>
    </row>
    <row r="43" spans="1:19" ht="11.25" customHeight="1">
      <c r="B43" s="21"/>
      <c r="C43" s="242" t="s">
        <v>301</v>
      </c>
      <c r="D43" s="243"/>
      <c r="E43" s="240">
        <v>128</v>
      </c>
      <c r="F43" s="87"/>
      <c r="G43" s="87"/>
      <c r="I43" s="283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45" t="s">
        <v>77</v>
      </c>
      <c r="D44" s="456">
        <f>D37+D38+D39+D40-D41</f>
        <v>462.42</v>
      </c>
      <c r="E44" s="456">
        <f>E37+E38+E39+E40-E41-E42-E43</f>
        <v>342.5</v>
      </c>
      <c r="F44" s="456">
        <f>F37+F38+F40</f>
        <v>415.77</v>
      </c>
      <c r="G44" s="456">
        <f>G37+G38+G39+G40-G41-G42</f>
        <v>318.85000000000008</v>
      </c>
      <c r="H44" s="8"/>
      <c r="I44" s="366"/>
      <c r="J44" s="366"/>
      <c r="K44" s="366"/>
      <c r="L44" s="366"/>
      <c r="M44" s="366"/>
      <c r="N44" s="366"/>
      <c r="O44" s="366"/>
      <c r="P44" s="366"/>
    </row>
    <row r="45" spans="1:19" ht="14.1" customHeight="1">
      <c r="B45" s="21"/>
      <c r="C45" s="286" t="s">
        <v>45</v>
      </c>
      <c r="D45" s="287">
        <f>D37+D38+D39+D40</f>
        <v>800.13</v>
      </c>
      <c r="E45" s="287">
        <f>E37+E38+E39+E40</f>
        <v>771.38</v>
      </c>
      <c r="F45" s="287">
        <f>F37+F38+F39+F40</f>
        <v>415.77</v>
      </c>
      <c r="G45" s="287">
        <f>G37+G38+G39+G40</f>
        <v>665.94</v>
      </c>
      <c r="H45" s="8"/>
      <c r="I45" s="462"/>
      <c r="J45" s="366"/>
      <c r="K45" s="366"/>
      <c r="L45" s="366"/>
      <c r="M45" s="366"/>
      <c r="N45" s="366"/>
      <c r="O45" s="366"/>
      <c r="P45" s="366"/>
    </row>
    <row r="46" spans="1:19" ht="12.95" customHeight="1">
      <c r="B46" s="21"/>
      <c r="C46" s="169"/>
      <c r="D46" s="364"/>
      <c r="E46" s="462"/>
      <c r="F46" s="8"/>
      <c r="G46" s="8"/>
      <c r="I46" s="128"/>
      <c r="J46" s="520"/>
      <c r="K46" s="213"/>
      <c r="L46" s="213"/>
      <c r="M46" s="213"/>
      <c r="N46" s="213"/>
      <c r="O46" s="213"/>
      <c r="P46" s="213"/>
      <c r="Q46" s="7"/>
      <c r="R46" s="7"/>
      <c r="S46" s="521"/>
    </row>
    <row r="47" spans="1:19" ht="12.95" customHeight="1">
      <c r="A47" s="8"/>
      <c r="B47" s="31"/>
      <c r="C47" s="1"/>
      <c r="D47" s="12"/>
      <c r="E47" s="75"/>
      <c r="F47" s="8"/>
      <c r="G47" s="8"/>
      <c r="H47" s="8"/>
      <c r="I47" s="68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A48" s="8"/>
      <c r="B48" s="31"/>
      <c r="C48" s="1"/>
      <c r="D48" s="12"/>
      <c r="E48" s="12"/>
      <c r="F48" s="8"/>
      <c r="H48" s="8"/>
      <c r="I48" s="72"/>
      <c r="J48" s="522"/>
      <c r="K48" s="366"/>
      <c r="L48" s="366"/>
      <c r="M48" s="145"/>
      <c r="N48" s="366"/>
      <c r="O48" s="366"/>
      <c r="P48" s="366"/>
      <c r="Q48" s="1"/>
      <c r="R48" s="1"/>
      <c r="S48" s="523"/>
    </row>
    <row r="49" spans="1:19" ht="12.95" customHeight="1">
      <c r="B49" s="32"/>
      <c r="C49" s="1"/>
      <c r="D49" s="1"/>
      <c r="E49" s="11"/>
      <c r="H49" s="207"/>
      <c r="I49" s="68"/>
      <c r="J49" s="522"/>
      <c r="K49" s="366"/>
      <c r="L49" s="366"/>
      <c r="M49" s="366"/>
      <c r="N49" s="366"/>
      <c r="O49" s="366"/>
      <c r="P49" s="366"/>
      <c r="Q49" s="1"/>
      <c r="R49" s="1"/>
      <c r="S49" s="523"/>
    </row>
    <row r="50" spans="1:19" s="86" customFormat="1" ht="12.95" customHeight="1">
      <c r="B50" s="517"/>
      <c r="C50" s="518"/>
      <c r="D50" s="518"/>
      <c r="E50" s="518"/>
      <c r="F50" s="518"/>
      <c r="G50" s="518"/>
      <c r="H50" s="519"/>
      <c r="I50" s="561"/>
      <c r="J50" s="366"/>
      <c r="K50" s="366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.95" customHeight="1">
      <c r="C51" s="518"/>
      <c r="D51" s="518"/>
      <c r="E51" s="550"/>
      <c r="F51" s="550"/>
      <c r="G51" s="518"/>
      <c r="H51" s="168"/>
      <c r="I51" s="551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2" customHeight="1">
      <c r="A52" s="366"/>
      <c r="B52" s="366"/>
      <c r="C52" s="518"/>
      <c r="D52" s="518"/>
      <c r="E52" s="550"/>
      <c r="F52" s="550"/>
      <c r="G52" s="518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 ht="18.75">
      <c r="A53" s="366"/>
      <c r="B53" s="366"/>
      <c r="C53" s="366"/>
      <c r="D53" s="366"/>
      <c r="E53" s="144"/>
      <c r="H53" s="519"/>
      <c r="I53" s="518"/>
      <c r="J53" s="524"/>
      <c r="K53" s="518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>
      <c r="A54" s="366"/>
      <c r="B54" s="366"/>
      <c r="C54" s="366"/>
      <c r="D54" s="366"/>
      <c r="E54" s="144"/>
      <c r="I54" s="143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 ht="15" customHeight="1">
      <c r="A57" s="366"/>
      <c r="B57" s="366"/>
      <c r="C57" s="366"/>
      <c r="D57" s="366"/>
      <c r="E57" s="144"/>
      <c r="H57" s="550"/>
      <c r="I57" s="366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H58" s="168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 s="86" customFormat="1">
      <c r="A62" s="366"/>
      <c r="B62" s="366"/>
      <c r="C62" s="366"/>
      <c r="D62" s="366"/>
      <c r="E62" s="144"/>
      <c r="J62" s="522"/>
      <c r="K62" s="366"/>
      <c r="L62" s="366"/>
      <c r="M62" s="366"/>
      <c r="N62" s="366"/>
      <c r="O62" s="366"/>
      <c r="P62" s="366"/>
      <c r="Q62" s="366"/>
      <c r="R62" s="366"/>
      <c r="S62" s="166"/>
    </row>
    <row r="63" spans="1:19">
      <c r="A63" s="1"/>
      <c r="B63" s="1"/>
      <c r="C63" s="1"/>
      <c r="D63" s="1"/>
      <c r="E63" s="11"/>
      <c r="J63" s="525"/>
      <c r="K63" s="526"/>
      <c r="L63" s="526"/>
      <c r="M63" s="526"/>
      <c r="N63" s="526"/>
      <c r="O63" s="526"/>
      <c r="P63" s="526"/>
      <c r="Q63" s="526"/>
      <c r="R63" s="526"/>
      <c r="S63" s="527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11" priority="1">
      <formula>$B2=7</formula>
    </cfRule>
    <cfRule type="expression" dxfId="10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topLeftCell="A25" zoomScale="85" zoomScaleNormal="85" zoomScaleSheetLayoutView="70" zoomScalePageLayoutView="70" workbookViewId="0">
      <selection activeCell="K40" sqref="K40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082" t="s">
        <v>311</v>
      </c>
      <c r="B1" s="1082"/>
      <c r="C1" s="1082"/>
      <c r="D1" s="1082"/>
      <c r="E1" s="1082"/>
      <c r="F1" s="1082"/>
      <c r="G1" s="1082"/>
      <c r="H1" s="1082"/>
      <c r="I1" s="1082"/>
      <c r="J1" s="1082"/>
      <c r="K1" s="1082"/>
      <c r="L1" s="1082"/>
      <c r="M1" s="1082"/>
      <c r="V1" s="655" t="s">
        <v>60</v>
      </c>
      <c r="W1" s="667">
        <v>563.20000000000005</v>
      </c>
      <c r="X1" s="654" t="s">
        <v>317</v>
      </c>
      <c r="Y1" s="35" t="s">
        <v>318</v>
      </c>
    </row>
    <row r="2" spans="1:35" ht="15.75" thickBot="1">
      <c r="A2" s="1083"/>
      <c r="B2" s="1083"/>
      <c r="C2" s="1083"/>
      <c r="D2" s="1083"/>
      <c r="E2" s="1083"/>
      <c r="F2" s="1083"/>
      <c r="G2" s="1083"/>
      <c r="H2" s="1083"/>
      <c r="I2" s="1083"/>
      <c r="J2" s="1083"/>
      <c r="K2" s="1083"/>
      <c r="L2" s="1083"/>
      <c r="M2" s="1083"/>
      <c r="N2" s="670" t="s">
        <v>329</v>
      </c>
      <c r="O2" s="1106" t="s">
        <v>287</v>
      </c>
      <c r="P2" s="1106"/>
      <c r="Q2" s="1106"/>
      <c r="R2" s="366"/>
      <c r="S2" s="1106" t="s">
        <v>288</v>
      </c>
      <c r="T2" s="1106"/>
      <c r="U2" s="110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91" t="s">
        <v>28</v>
      </c>
      <c r="B3" s="1037"/>
      <c r="C3" s="1037"/>
      <c r="D3" s="1037"/>
      <c r="E3" s="1037"/>
      <c r="F3" s="1037"/>
      <c r="G3" s="1038"/>
      <c r="H3" s="1097" t="s">
        <v>323</v>
      </c>
      <c r="I3" s="1098"/>
      <c r="J3" s="1098"/>
      <c r="K3" s="1098"/>
      <c r="L3" s="1098"/>
      <c r="M3" s="1099"/>
      <c r="N3" s="670" t="s">
        <v>287</v>
      </c>
      <c r="O3" s="656" t="s">
        <v>2</v>
      </c>
      <c r="P3" s="656" t="s">
        <v>34</v>
      </c>
      <c r="Q3" s="656" t="s">
        <v>35</v>
      </c>
      <c r="R3" s="366"/>
      <c r="S3" s="656" t="s">
        <v>2</v>
      </c>
      <c r="T3" s="656" t="s">
        <v>34</v>
      </c>
      <c r="U3" s="656" t="s">
        <v>35</v>
      </c>
      <c r="V3" s="653"/>
      <c r="W3" s="653" t="s">
        <v>319</v>
      </c>
      <c r="X3" s="366"/>
      <c r="Y3" s="590"/>
      <c r="Z3" s="668">
        <f>563.2-U14</f>
        <v>-2231.3500000000004</v>
      </c>
      <c r="AA3" s="366"/>
      <c r="AB3" s="366"/>
      <c r="AC3" s="366"/>
      <c r="AD3" s="590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583" t="s">
        <v>34</v>
      </c>
      <c r="C4" s="36" t="s">
        <v>35</v>
      </c>
      <c r="D4" s="36" t="s">
        <v>38</v>
      </c>
      <c r="E4" s="36" t="s">
        <v>42</v>
      </c>
      <c r="F4" s="583" t="s">
        <v>36</v>
      </c>
      <c r="G4" s="100" t="s">
        <v>173</v>
      </c>
      <c r="H4" s="1078"/>
      <c r="I4" s="1079"/>
      <c r="J4" s="586" t="s">
        <v>35</v>
      </c>
      <c r="K4" s="586" t="s">
        <v>38</v>
      </c>
      <c r="L4" s="586" t="s">
        <v>42</v>
      </c>
      <c r="M4" s="100" t="s">
        <v>44</v>
      </c>
      <c r="N4" s="674" t="s">
        <v>328</v>
      </c>
      <c r="O4" s="662">
        <v>43924</v>
      </c>
      <c r="P4" s="656" t="s">
        <v>286</v>
      </c>
      <c r="Q4" s="663">
        <f>18*18</f>
        <v>324</v>
      </c>
      <c r="R4" s="449"/>
      <c r="S4" s="665">
        <v>43924</v>
      </c>
      <c r="T4" s="663" t="s">
        <v>64</v>
      </c>
      <c r="U4" s="663">
        <v>45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>
      <c r="A5" s="325">
        <v>43930</v>
      </c>
      <c r="B5" s="161" t="s">
        <v>321</v>
      </c>
      <c r="C5" s="275">
        <v>9.6</v>
      </c>
      <c r="D5" s="275">
        <v>9.6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080" t="s">
        <v>39</v>
      </c>
      <c r="I5" s="1055"/>
      <c r="J5" s="531">
        <v>1788.81</v>
      </c>
      <c r="K5" s="577">
        <f>500+500+788.81</f>
        <v>1788.81</v>
      </c>
      <c r="L5" s="160">
        <f>J5-K5</f>
        <v>0</v>
      </c>
      <c r="M5" s="101">
        <v>43924</v>
      </c>
      <c r="N5" s="675">
        <v>273.13</v>
      </c>
      <c r="O5" s="664">
        <v>43924</v>
      </c>
      <c r="P5" s="663" t="s">
        <v>64</v>
      </c>
      <c r="Q5" s="663">
        <v>211</v>
      </c>
      <c r="R5" s="366"/>
      <c r="S5" s="662">
        <v>43924</v>
      </c>
      <c r="T5" s="679" t="s">
        <v>286</v>
      </c>
      <c r="U5" s="663">
        <v>40</v>
      </c>
      <c r="V5" s="366"/>
      <c r="W5" s="199"/>
      <c r="X5" s="366"/>
      <c r="Y5" s="294"/>
      <c r="Z5" s="366"/>
      <c r="AA5" s="199"/>
      <c r="AB5" s="366"/>
      <c r="AC5" s="366"/>
      <c r="AD5" s="294"/>
      <c r="AE5" s="366"/>
      <c r="AF5" s="199"/>
      <c r="AG5" s="366"/>
      <c r="AH5" s="366"/>
      <c r="AI5" s="366"/>
    </row>
    <row r="6" spans="1:35" s="86" customFormat="1" ht="16.5" customHeight="1">
      <c r="A6" s="325">
        <v>43924</v>
      </c>
      <c r="B6" s="161" t="s">
        <v>205</v>
      </c>
      <c r="C6" s="275">
        <v>284.16000000000003</v>
      </c>
      <c r="D6" s="275">
        <v>284.16000000000003</v>
      </c>
      <c r="E6" s="576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/>
      <c r="H6" s="1094" t="s">
        <v>40</v>
      </c>
      <c r="I6" s="1095"/>
      <c r="J6" s="482">
        <v>1117.0999999999999</v>
      </c>
      <c r="K6" s="595">
        <f>200+350+100+290+177.1</f>
        <v>1117.0999999999999</v>
      </c>
      <c r="L6" s="481">
        <f>J6-K6</f>
        <v>0</v>
      </c>
      <c r="M6" s="101">
        <v>43924</v>
      </c>
      <c r="N6" s="675" t="s">
        <v>250</v>
      </c>
      <c r="O6" s="664">
        <v>43924</v>
      </c>
      <c r="P6" s="679" t="s">
        <v>315</v>
      </c>
      <c r="Q6" s="663">
        <v>150</v>
      </c>
      <c r="R6" s="366"/>
      <c r="S6" s="662">
        <v>43924</v>
      </c>
      <c r="T6" s="679" t="s">
        <v>315</v>
      </c>
      <c r="U6" s="663">
        <v>20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366"/>
      <c r="AG6" s="366"/>
      <c r="AH6" s="366"/>
      <c r="AI6" s="366"/>
    </row>
    <row r="7" spans="1:35" s="86" customFormat="1">
      <c r="A7" s="325">
        <v>43942</v>
      </c>
      <c r="B7" s="161" t="s">
        <v>205</v>
      </c>
      <c r="C7" s="275">
        <v>277.64999999999998</v>
      </c>
      <c r="D7" s="275">
        <v>277.64999999999998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514">
        <f>SUM(J5:J6)</f>
        <v>2905.91</v>
      </c>
      <c r="K7" s="366"/>
      <c r="L7" s="84"/>
      <c r="M7" s="314"/>
      <c r="N7" s="366"/>
      <c r="O7" s="664">
        <v>43924</v>
      </c>
      <c r="P7" s="679" t="s">
        <v>316</v>
      </c>
      <c r="Q7" s="663">
        <v>190</v>
      </c>
      <c r="R7" s="366"/>
      <c r="S7" s="662">
        <v>43924</v>
      </c>
      <c r="T7" s="679" t="s">
        <v>316</v>
      </c>
      <c r="U7" s="663">
        <v>45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62"/>
      <c r="AG7" s="1062"/>
      <c r="AH7" s="366"/>
      <c r="AI7" s="366"/>
    </row>
    <row r="8" spans="1:35" s="86" customFormat="1">
      <c r="A8" s="325">
        <v>43942</v>
      </c>
      <c r="B8" s="161" t="s">
        <v>254</v>
      </c>
      <c r="C8" s="275">
        <v>140.69999999999999</v>
      </c>
      <c r="D8" s="275">
        <v>140.69999999999999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4">
        <v>43936</v>
      </c>
      <c r="P8" s="679" t="s">
        <v>64</v>
      </c>
      <c r="Q8" s="663">
        <v>527.5</v>
      </c>
      <c r="R8" s="366"/>
      <c r="S8" s="664">
        <v>43936</v>
      </c>
      <c r="T8" s="679" t="s">
        <v>64</v>
      </c>
      <c r="U8" s="663">
        <v>293.75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1062"/>
      <c r="AG8" s="1062"/>
      <c r="AH8" s="366"/>
      <c r="AI8" s="366"/>
    </row>
    <row r="9" spans="1:35" s="86" customFormat="1">
      <c r="A9" s="325">
        <v>43950</v>
      </c>
      <c r="B9" s="161" t="s">
        <v>221</v>
      </c>
      <c r="C9" s="275">
        <v>238.99</v>
      </c>
      <c r="D9" s="275">
        <v>238.99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662">
        <v>43942</v>
      </c>
      <c r="P9" s="679" t="s">
        <v>187</v>
      </c>
      <c r="Q9" s="683">
        <v>237</v>
      </c>
      <c r="R9" s="366"/>
      <c r="S9" s="662">
        <v>43942</v>
      </c>
      <c r="T9" s="679" t="s">
        <v>187</v>
      </c>
      <c r="U9" s="663">
        <v>143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s="86" customFormat="1" ht="1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2"/>
      <c r="H10" s="340"/>
      <c r="I10" s="366"/>
      <c r="J10" s="366"/>
      <c r="K10" s="366"/>
      <c r="L10" s="366"/>
      <c r="M10" s="314"/>
      <c r="N10" s="598"/>
      <c r="O10" s="662">
        <v>43942</v>
      </c>
      <c r="P10" s="679" t="s">
        <v>286</v>
      </c>
      <c r="Q10" s="663">
        <v>400</v>
      </c>
      <c r="R10" s="366"/>
      <c r="S10" s="662">
        <v>43942</v>
      </c>
      <c r="T10" s="679" t="s">
        <v>286</v>
      </c>
      <c r="U10" s="663">
        <v>400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8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2"/>
      <c r="H11" s="43"/>
      <c r="I11" s="1"/>
      <c r="J11" s="366"/>
      <c r="K11" s="1"/>
      <c r="L11" s="1"/>
      <c r="M11" s="44"/>
      <c r="N11" s="598"/>
      <c r="O11" s="664">
        <v>43946</v>
      </c>
      <c r="P11" s="679" t="s">
        <v>64</v>
      </c>
      <c r="Q11" s="663">
        <v>480</v>
      </c>
      <c r="R11" s="366"/>
      <c r="S11" s="662">
        <v>43946</v>
      </c>
      <c r="T11" s="679" t="s">
        <v>64</v>
      </c>
      <c r="U11" s="663">
        <v>513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5.7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2"/>
      <c r="H12" s="43"/>
      <c r="I12" s="1"/>
      <c r="J12" s="366"/>
      <c r="K12" s="1"/>
      <c r="L12" s="1"/>
      <c r="M12" s="44"/>
      <c r="N12" s="598"/>
      <c r="O12" s="664">
        <v>43944</v>
      </c>
      <c r="P12" s="679" t="s">
        <v>331</v>
      </c>
      <c r="Q12" s="663">
        <v>1385</v>
      </c>
      <c r="R12" s="366"/>
      <c r="S12" s="664">
        <v>43944</v>
      </c>
      <c r="T12" s="679" t="s">
        <v>331</v>
      </c>
      <c r="U12" s="663">
        <v>1098</v>
      </c>
      <c r="V12" s="366"/>
      <c r="W12" s="366"/>
      <c r="X12" s="366"/>
      <c r="Y12" s="294"/>
      <c r="Z12" s="366"/>
      <c r="AA12" s="366"/>
      <c r="AB12" s="366"/>
      <c r="AC12" s="366"/>
      <c r="AD12" s="294"/>
      <c r="AE12" s="366"/>
      <c r="AF12" s="366"/>
      <c r="AG12" s="366"/>
      <c r="AH12" s="366"/>
      <c r="AI12" s="366"/>
    </row>
    <row r="13" spans="1:35" ht="14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2"/>
      <c r="H13" s="43"/>
      <c r="I13" s="1"/>
      <c r="J13" s="366"/>
      <c r="K13" s="1"/>
      <c r="L13" s="1"/>
      <c r="M13" s="44"/>
      <c r="N13" s="598"/>
      <c r="O13" s="684"/>
      <c r="P13" s="679" t="s">
        <v>332</v>
      </c>
      <c r="Q13" s="663">
        <v>590</v>
      </c>
      <c r="R13" s="366"/>
      <c r="S13" s="679"/>
      <c r="T13" s="679" t="s">
        <v>332</v>
      </c>
      <c r="U13" s="663">
        <v>196.8</v>
      </c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7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598"/>
      <c r="O14" s="448"/>
      <c r="P14" s="366"/>
      <c r="Q14" s="449">
        <f>SUM(Q4:Q13)</f>
        <v>4494.5</v>
      </c>
      <c r="R14" s="366"/>
      <c r="S14" s="366"/>
      <c r="T14" s="366"/>
      <c r="U14" s="666">
        <f>SUM(U4:U13)</f>
        <v>2794.55</v>
      </c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 ht="14.25" customHeight="1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598"/>
      <c r="O15" s="448"/>
      <c r="P15" s="366"/>
      <c r="Q15" s="449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 ht="15.75" customHeight="1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448"/>
      <c r="P18" s="366"/>
      <c r="Q18" s="366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295"/>
      <c r="O19" s="448"/>
      <c r="P19" s="366"/>
      <c r="Q19" s="199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>
      <c r="A20" s="325"/>
      <c r="B20" s="161"/>
      <c r="C20" s="275"/>
      <c r="D20" s="275"/>
      <c r="E20" s="576" t="str">
        <f t="shared" si="0"/>
        <v/>
      </c>
      <c r="F20" s="162" t="str">
        <f t="shared" si="1"/>
        <v/>
      </c>
      <c r="G20" s="162"/>
      <c r="H20" s="43"/>
      <c r="I20" s="1"/>
      <c r="J20" s="366"/>
      <c r="K20" s="1"/>
      <c r="L20" s="1"/>
      <c r="M20" s="44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Bot="1">
      <c r="A21" s="1092" t="s">
        <v>259</v>
      </c>
      <c r="B21" s="1093"/>
      <c r="C21" s="358">
        <f>SUM(C5:C20)</f>
        <v>951.10000000000014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448"/>
      <c r="P21" s="449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15.75" thickTop="1">
      <c r="A22" s="351"/>
      <c r="B22" s="352"/>
      <c r="C22" s="353"/>
      <c r="D22" s="353"/>
      <c r="E22" s="354"/>
      <c r="F22" s="352"/>
      <c r="G22" s="376"/>
      <c r="H22" s="1039" t="s">
        <v>16</v>
      </c>
      <c r="I22" s="1041" t="s">
        <v>17</v>
      </c>
      <c r="J22" s="1041" t="s">
        <v>21</v>
      </c>
      <c r="K22" s="1041"/>
      <c r="L22" s="1043" t="s">
        <v>93</v>
      </c>
      <c r="M22" s="1045" t="s">
        <v>95</v>
      </c>
      <c r="N22" s="1"/>
      <c r="O22" s="448"/>
      <c r="P22" s="366"/>
      <c r="Q22" s="366"/>
      <c r="R22" s="366"/>
      <c r="S22" s="366"/>
      <c r="T22" s="366"/>
      <c r="U22" s="449"/>
      <c r="V22" s="366"/>
      <c r="W22" s="366"/>
      <c r="X22" s="366"/>
      <c r="Y22" s="366"/>
      <c r="Z22" s="366"/>
      <c r="AA22" s="366"/>
      <c r="AB22" s="366"/>
      <c r="AC22" s="366"/>
      <c r="AD22" s="366"/>
      <c r="AE22" s="366"/>
      <c r="AF22" s="366"/>
      <c r="AG22" s="366"/>
      <c r="AH22" s="366"/>
      <c r="AI22" s="366"/>
    </row>
    <row r="23" spans="1:35" ht="24">
      <c r="A23" s="355"/>
      <c r="B23" s="201"/>
      <c r="C23" s="201"/>
      <c r="D23" s="201"/>
      <c r="E23" s="216"/>
      <c r="F23" s="201"/>
      <c r="G23" s="201"/>
      <c r="H23" s="1040"/>
      <c r="I23" s="1042"/>
      <c r="J23" s="587" t="s">
        <v>21</v>
      </c>
      <c r="K23" s="587" t="s">
        <v>25</v>
      </c>
      <c r="L23" s="1044"/>
      <c r="M23" s="1046"/>
      <c r="N23" s="1"/>
      <c r="O23" s="448"/>
      <c r="P23" s="84"/>
      <c r="Q23" s="366"/>
      <c r="R23" s="366"/>
      <c r="S23" s="366"/>
      <c r="T23" s="366"/>
      <c r="U23" s="366"/>
      <c r="V23" s="86"/>
      <c r="W23" s="86"/>
      <c r="X23" s="86"/>
    </row>
    <row r="24" spans="1:35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O24" s="448"/>
      <c r="P24" s="601"/>
      <c r="Q24" s="366"/>
      <c r="R24" s="84"/>
      <c r="S24" s="86"/>
      <c r="T24" s="86"/>
      <c r="U24" s="366"/>
      <c r="V24" s="86"/>
      <c r="W24" s="86"/>
      <c r="X24" s="86"/>
    </row>
    <row r="25" spans="1:35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>M24-I25-J25-K25+L25</f>
        <v>101446.18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>M25-I26-J26-K26+L26</f>
        <v>83639.329999999987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>M26-I27-J27-K27+L27</f>
        <v>107659.22999999998</v>
      </c>
      <c r="N27" s="1"/>
      <c r="O27" s="448"/>
      <c r="P27" s="84"/>
      <c r="Q27" s="366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>M27-I28-J28-K28+L28</f>
        <v>112611.86999999998</v>
      </c>
      <c r="N28" s="1"/>
      <c r="O28" s="448"/>
      <c r="P28" s="84"/>
      <c r="Q28" s="145"/>
      <c r="R28" s="84"/>
      <c r="S28" s="571"/>
      <c r="T28" s="86"/>
      <c r="U28" s="36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ref="M29:M33" si="2">M28-I29-J29-K29+L29</f>
        <v>98984.919999999984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1"/>
    </row>
    <row r="30" spans="1:35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1"/>
      <c r="O31" s="366"/>
      <c r="P31" s="84"/>
      <c r="Q31" s="145"/>
      <c r="R31" s="84"/>
      <c r="S31" s="571"/>
      <c r="T31" s="86"/>
      <c r="U31" s="86"/>
      <c r="V31" s="86"/>
      <c r="W31" s="86"/>
      <c r="X31" s="8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2"/>
        <v>94325.64999999998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210</v>
      </c>
      <c r="I33" s="297">
        <v>28933.9</v>
      </c>
      <c r="J33" s="438">
        <v>954.3</v>
      </c>
      <c r="K33" s="645">
        <v>1267.8599999999999</v>
      </c>
      <c r="L33" s="645">
        <v>22833.599999999999</v>
      </c>
      <c r="M33" s="104">
        <f t="shared" si="2"/>
        <v>86003.189999999973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646" t="s">
        <v>211</v>
      </c>
      <c r="I34" s="661">
        <v>23375.089999999997</v>
      </c>
      <c r="J34" s="648">
        <f>2414.8+6115</f>
        <v>8529.7999999999993</v>
      </c>
      <c r="K34" s="649">
        <v>977.16000000000008</v>
      </c>
      <c r="L34" s="649">
        <v>16277.199999999999</v>
      </c>
      <c r="M34" s="104">
        <f>M33-I34-J34-K34+L34</f>
        <v>69398.339999999967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1023" t="s">
        <v>36</v>
      </c>
      <c r="I35" s="1025" t="s">
        <v>178</v>
      </c>
      <c r="J35" s="1026"/>
      <c r="K35" s="1027"/>
      <c r="L35" s="1031" t="s">
        <v>159</v>
      </c>
      <c r="M35" s="1032"/>
      <c r="N35" s="1"/>
      <c r="P35" s="449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1024"/>
      <c r="I36" s="1028"/>
      <c r="J36" s="1029"/>
      <c r="K36" s="1030"/>
      <c r="L36" s="1033"/>
      <c r="M36" s="1034"/>
      <c r="N36" s="1"/>
      <c r="P36" s="449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102" t="s">
        <v>47</v>
      </c>
      <c r="J37" s="1102"/>
      <c r="K37" s="594">
        <v>328.13</v>
      </c>
      <c r="L37" s="282">
        <v>43936</v>
      </c>
      <c r="M37" s="44" t="s">
        <v>247</v>
      </c>
      <c r="N37" s="150"/>
      <c r="P37" s="449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100" t="s">
        <v>51</v>
      </c>
      <c r="J38" s="1100"/>
      <c r="K38" s="595">
        <v>71.83</v>
      </c>
      <c r="L38" s="282">
        <v>43936</v>
      </c>
      <c r="M38" s="44" t="s">
        <v>247</v>
      </c>
      <c r="N38" s="1"/>
      <c r="P38" s="449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100" t="s">
        <v>52</v>
      </c>
      <c r="J39" s="1100"/>
      <c r="K39" s="595">
        <v>5.63</v>
      </c>
      <c r="L39" s="282">
        <v>43936</v>
      </c>
      <c r="M39" s="44" t="s">
        <v>247</v>
      </c>
      <c r="N39" s="1"/>
      <c r="P39" s="680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100" t="s">
        <v>49</v>
      </c>
      <c r="J40" s="1100"/>
      <c r="K40" s="595">
        <v>371</v>
      </c>
      <c r="L40" s="282">
        <v>43941</v>
      </c>
      <c r="M40" s="44" t="s">
        <v>324</v>
      </c>
      <c r="N40" s="150"/>
      <c r="P40" s="681"/>
      <c r="Q40" s="366"/>
      <c r="R40" s="590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101" t="s">
        <v>59</v>
      </c>
      <c r="J41" s="1101"/>
      <c r="K41" s="457">
        <v>400.32</v>
      </c>
      <c r="L41" s="302" t="s">
        <v>177</v>
      </c>
      <c r="M41" s="44" t="s">
        <v>247</v>
      </c>
      <c r="N41" s="1"/>
      <c r="P41" s="682"/>
      <c r="Q41" s="366"/>
      <c r="R41" s="590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089" t="s">
        <v>68</v>
      </c>
      <c r="J42" s="1090"/>
      <c r="K42" s="595">
        <v>386.24</v>
      </c>
      <c r="L42" s="282">
        <v>43941</v>
      </c>
      <c r="M42" s="44" t="s">
        <v>247</v>
      </c>
      <c r="N42" s="1"/>
      <c r="O42" s="12"/>
      <c r="P42" s="682"/>
      <c r="Q42" s="590"/>
      <c r="R42" s="590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596" t="s">
        <v>174</v>
      </c>
      <c r="J43" s="597"/>
      <c r="K43" s="5">
        <v>518.58999999999992</v>
      </c>
      <c r="L43" s="282">
        <v>43936</v>
      </c>
      <c r="M43" s="44" t="s">
        <v>247</v>
      </c>
      <c r="N43" s="12"/>
      <c r="P43" s="449"/>
      <c r="Q43" s="590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350" t="s">
        <v>258</v>
      </c>
      <c r="I44" s="596" t="s">
        <v>176</v>
      </c>
      <c r="J44" s="597"/>
      <c r="K44" s="595" t="s">
        <v>258</v>
      </c>
      <c r="L44" s="282">
        <v>43941</v>
      </c>
      <c r="M44" s="44" t="s">
        <v>247</v>
      </c>
      <c r="N44" s="1"/>
      <c r="O44" s="12"/>
      <c r="P44" s="449"/>
      <c r="Q44" s="590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089" t="s">
        <v>81</v>
      </c>
      <c r="J45" s="1090"/>
      <c r="K45" s="595">
        <v>1154.3399999999999</v>
      </c>
      <c r="L45" s="282">
        <v>43936</v>
      </c>
      <c r="M45" s="44" t="s">
        <v>247</v>
      </c>
      <c r="N45" s="1"/>
      <c r="O45" s="366"/>
      <c r="P45" s="449"/>
      <c r="Q45" s="590"/>
      <c r="R45" s="590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089" t="s">
        <v>181</v>
      </c>
      <c r="J46" s="1090"/>
      <c r="K46" s="595">
        <v>10</v>
      </c>
      <c r="L46" s="282">
        <v>43936</v>
      </c>
      <c r="M46" s="44" t="s">
        <v>247</v>
      </c>
      <c r="N46" s="1"/>
      <c r="O46" s="12"/>
      <c r="P46" s="449"/>
      <c r="Q46" s="590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017" t="s">
        <v>61</v>
      </c>
      <c r="J47" s="1017"/>
      <c r="K47" s="93">
        <f>L6</f>
        <v>0</v>
      </c>
      <c r="L47" s="282">
        <v>43941</v>
      </c>
      <c r="M47" s="44" t="s">
        <v>247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017" t="s">
        <v>298</v>
      </c>
      <c r="J48" s="1017"/>
      <c r="K48" s="93">
        <v>73</v>
      </c>
      <c r="L48" s="282">
        <v>43941</v>
      </c>
      <c r="M48" s="44" t="s">
        <v>247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017" t="s">
        <v>299</v>
      </c>
      <c r="J49" s="1017"/>
      <c r="K49" s="93">
        <v>50</v>
      </c>
      <c r="L49" s="282">
        <v>43936</v>
      </c>
      <c r="M49" s="44" t="s">
        <v>247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017" t="s">
        <v>300</v>
      </c>
      <c r="J50" s="1017"/>
      <c r="K50" s="93">
        <v>150</v>
      </c>
      <c r="L50" s="282">
        <v>43951</v>
      </c>
      <c r="M50" s="44" t="s">
        <v>247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017" t="s">
        <v>325</v>
      </c>
      <c r="J51" s="1017"/>
      <c r="K51" s="93">
        <v>7.56</v>
      </c>
      <c r="L51" s="282">
        <v>43936</v>
      </c>
      <c r="M51" s="44" t="s">
        <v>247</v>
      </c>
      <c r="N51" s="1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07" t="s">
        <v>179</v>
      </c>
      <c r="I52" s="1108"/>
      <c r="J52" s="361">
        <f>SUM(K37:K51)</f>
        <v>3526.64</v>
      </c>
      <c r="K52" s="1018" t="s">
        <v>180</v>
      </c>
      <c r="L52" s="1018"/>
      <c r="M52" s="486"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081"/>
      <c r="I53" s="1081"/>
      <c r="J53" s="1081"/>
      <c r="K53" s="1081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082" t="s">
        <v>312</v>
      </c>
      <c r="B54" s="1082"/>
      <c r="C54" s="1082"/>
      <c r="D54" s="1082"/>
      <c r="E54" s="1082"/>
      <c r="F54" s="1082"/>
      <c r="G54" s="1082"/>
      <c r="H54" s="1082"/>
      <c r="I54" s="1082"/>
      <c r="J54" s="1082"/>
      <c r="K54" s="1082"/>
      <c r="L54" s="1082"/>
      <c r="M54" s="1082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083"/>
      <c r="B55" s="1083"/>
      <c r="C55" s="1083"/>
      <c r="D55" s="1083"/>
      <c r="E55" s="1083"/>
      <c r="F55" s="1083"/>
      <c r="G55" s="1083"/>
      <c r="H55" s="1083"/>
      <c r="I55" s="1083"/>
      <c r="J55" s="1083"/>
      <c r="K55" s="1083"/>
      <c r="L55" s="1083"/>
      <c r="M55" s="1083"/>
      <c r="N55" s="1"/>
      <c r="P55" s="449"/>
      <c r="Q55" s="365"/>
      <c r="R55" s="365"/>
      <c r="S55" s="590"/>
      <c r="T55" s="366"/>
      <c r="U55" s="366"/>
      <c r="V55" s="366"/>
      <c r="W55" s="366"/>
      <c r="X55" s="366"/>
    </row>
    <row r="56" spans="1:25" ht="15.75" thickTop="1">
      <c r="A56" s="1091" t="s">
        <v>28</v>
      </c>
      <c r="B56" s="1037"/>
      <c r="C56" s="1037"/>
      <c r="D56" s="1037"/>
      <c r="E56" s="1037"/>
      <c r="F56" s="1037"/>
      <c r="G56" s="1038"/>
      <c r="H56" s="1084" t="s">
        <v>322</v>
      </c>
      <c r="I56" s="1085"/>
      <c r="J56" s="1085"/>
      <c r="K56" s="1085"/>
      <c r="L56" s="1085"/>
      <c r="M56" s="1086"/>
      <c r="N56" s="1"/>
      <c r="P56" s="1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583" t="s">
        <v>34</v>
      </c>
      <c r="C57" s="36" t="s">
        <v>35</v>
      </c>
      <c r="D57" s="36" t="s">
        <v>38</v>
      </c>
      <c r="E57" s="36" t="s">
        <v>42</v>
      </c>
      <c r="F57" s="583" t="s">
        <v>36</v>
      </c>
      <c r="G57" s="100" t="s">
        <v>173</v>
      </c>
      <c r="H57" s="43"/>
      <c r="I57" s="586" t="s">
        <v>35</v>
      </c>
      <c r="J57" s="586" t="s">
        <v>38</v>
      </c>
      <c r="K57" s="586" t="s">
        <v>42</v>
      </c>
      <c r="L57" s="263" t="s">
        <v>44</v>
      </c>
      <c r="M57" s="671" t="s">
        <v>327</v>
      </c>
      <c r="N57" s="1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161" t="s">
        <v>263</v>
      </c>
      <c r="C58" s="275">
        <v>1008.8</v>
      </c>
      <c r="D58" s="275">
        <v>508.79999999999995</v>
      </c>
      <c r="E58" s="576">
        <f t="shared" ref="E58:E73" si="3">IF(C58-D58=0,"",C58-D58)</f>
        <v>500</v>
      </c>
      <c r="F58" s="162" t="str">
        <f t="shared" ref="F58:F73" si="4">IF(C58=0,"",IF(C58-D58=0,"оплачено","ОЖИДАЕТСЯ оплата"))</f>
        <v>ОЖИДАЕТСЯ оплата</v>
      </c>
      <c r="G58" s="162"/>
      <c r="H58" s="43"/>
      <c r="I58" s="588">
        <f>1191.06</f>
        <v>1191.06</v>
      </c>
      <c r="J58" s="588">
        <f>500+691.06</f>
        <v>1191.06</v>
      </c>
      <c r="K58" s="160">
        <f>I58-J58</f>
        <v>0</v>
      </c>
      <c r="L58" s="3">
        <v>43941</v>
      </c>
      <c r="M58" s="672">
        <v>266.8</v>
      </c>
      <c r="N58" s="1"/>
      <c r="Q58" s="366"/>
      <c r="S58" s="366"/>
      <c r="T58" s="84"/>
      <c r="U58" s="366"/>
      <c r="W58" s="366"/>
      <c r="X58" s="366"/>
    </row>
    <row r="59" spans="1:25">
      <c r="A59" s="325"/>
      <c r="B59" s="161"/>
      <c r="C59" s="275"/>
      <c r="D59" s="275"/>
      <c r="E59" s="576" t="str">
        <f t="shared" si="3"/>
        <v/>
      </c>
      <c r="F59" s="162" t="str">
        <f t="shared" si="4"/>
        <v/>
      </c>
      <c r="G59" s="162"/>
      <c r="H59" s="43"/>
      <c r="I59" s="293"/>
      <c r="J59" s="293"/>
      <c r="K59" s="444"/>
      <c r="L59" s="144"/>
      <c r="M59" s="434"/>
      <c r="N59" s="1"/>
      <c r="Q59" s="366"/>
      <c r="S59" s="366"/>
      <c r="T59" s="366"/>
      <c r="U59" s="366"/>
      <c r="W59" s="366"/>
      <c r="X59" s="366"/>
    </row>
    <row r="60" spans="1:25">
      <c r="A60" s="325"/>
      <c r="B60" s="161"/>
      <c r="C60" s="275"/>
      <c r="D60" s="275"/>
      <c r="E60" s="576" t="str">
        <f t="shared" si="3"/>
        <v/>
      </c>
      <c r="F60" s="162" t="str">
        <f t="shared" si="4"/>
        <v/>
      </c>
      <c r="G60" s="162"/>
      <c r="H60" s="43"/>
      <c r="I60" s="1"/>
      <c r="J60" s="366"/>
      <c r="K60" s="1"/>
      <c r="L60" s="1"/>
      <c r="M60" s="44"/>
      <c r="N60" s="1"/>
      <c r="T60" s="366"/>
      <c r="U60" s="366"/>
    </row>
    <row r="61" spans="1:25">
      <c r="A61" s="325"/>
      <c r="B61" s="161"/>
      <c r="C61" s="275"/>
      <c r="D61" s="275"/>
      <c r="E61" s="576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U61" s="366"/>
    </row>
    <row r="62" spans="1:25">
      <c r="A62" s="325">
        <v>43955</v>
      </c>
      <c r="B62" s="161" t="s">
        <v>330</v>
      </c>
      <c r="C62" s="275">
        <v>589.83000000000004</v>
      </c>
      <c r="D62" s="275">
        <v>589.83000000000004</v>
      </c>
      <c r="E62" s="576" t="str">
        <f t="shared" si="3"/>
        <v/>
      </c>
      <c r="F62" s="162" t="str">
        <f t="shared" si="4"/>
        <v>оплачено</v>
      </c>
      <c r="G62" s="162"/>
      <c r="H62" s="43"/>
      <c r="I62" s="1"/>
      <c r="J62" s="366"/>
      <c r="K62" s="1"/>
      <c r="L62" s="1"/>
      <c r="M62" s="44"/>
      <c r="N62" s="1"/>
      <c r="U62" s="366"/>
    </row>
    <row r="63" spans="1:25">
      <c r="A63" s="325">
        <v>43950</v>
      </c>
      <c r="B63" s="161" t="s">
        <v>330</v>
      </c>
      <c r="C63" s="275">
        <v>361.38</v>
      </c>
      <c r="D63" s="275">
        <v>361.38</v>
      </c>
      <c r="E63" s="576" t="str">
        <f t="shared" si="3"/>
        <v/>
      </c>
      <c r="F63" s="162" t="str">
        <f t="shared" si="4"/>
        <v>оплачено</v>
      </c>
      <c r="G63" s="162"/>
      <c r="H63" s="43"/>
      <c r="I63" s="1"/>
      <c r="J63" s="366"/>
      <c r="K63" s="1"/>
      <c r="L63" s="1"/>
      <c r="M63" s="44"/>
      <c r="N63" s="1"/>
      <c r="U63" s="366"/>
    </row>
    <row r="64" spans="1:25">
      <c r="A64" s="325">
        <v>43930</v>
      </c>
      <c r="B64" s="161" t="s">
        <v>321</v>
      </c>
      <c r="C64" s="275">
        <v>9.6</v>
      </c>
      <c r="D64" s="275">
        <v>9.6</v>
      </c>
      <c r="E64" s="576" t="str">
        <f t="shared" si="3"/>
        <v/>
      </c>
      <c r="F64" s="162" t="str">
        <f t="shared" si="4"/>
        <v>оплачено</v>
      </c>
      <c r="G64" s="162"/>
      <c r="H64" s="43"/>
      <c r="I64" s="1"/>
      <c r="J64" s="366"/>
      <c r="K64" s="1"/>
      <c r="L64" s="1"/>
      <c r="M64" s="44"/>
      <c r="N64" s="1"/>
    </row>
    <row r="65" spans="1:21">
      <c r="A65" s="325">
        <v>43929</v>
      </c>
      <c r="B65" s="161" t="s">
        <v>320</v>
      </c>
      <c r="C65" s="275">
        <v>95.7</v>
      </c>
      <c r="D65" s="275">
        <v>95.7</v>
      </c>
      <c r="E65" s="576" t="str">
        <f t="shared" si="3"/>
        <v/>
      </c>
      <c r="F65" s="162" t="str">
        <f t="shared" si="4"/>
        <v>оплачено</v>
      </c>
      <c r="G65" s="162"/>
      <c r="H65" s="43"/>
      <c r="I65" s="1"/>
      <c r="J65" s="366"/>
      <c r="K65" s="1"/>
      <c r="L65" s="1"/>
      <c r="M65" s="44"/>
      <c r="N65" s="1"/>
    </row>
    <row r="66" spans="1:21">
      <c r="A66" s="325">
        <v>43929</v>
      </c>
      <c r="B66" s="161" t="s">
        <v>320</v>
      </c>
      <c r="C66" s="275">
        <v>287.10000000000002</v>
      </c>
      <c r="D66" s="275">
        <v>287.10000000000002</v>
      </c>
      <c r="E66" s="576" t="str">
        <f t="shared" si="3"/>
        <v/>
      </c>
      <c r="F66" s="162" t="str">
        <f t="shared" si="4"/>
        <v>оплачено</v>
      </c>
      <c r="G66" s="162"/>
      <c r="H66" s="43"/>
      <c r="I66" s="1"/>
      <c r="J66" s="366"/>
      <c r="K66" s="1"/>
      <c r="L66" s="1"/>
      <c r="M66" s="44"/>
      <c r="N66" s="1"/>
      <c r="O66" s="366"/>
    </row>
    <row r="67" spans="1:21">
      <c r="A67" s="325">
        <v>43945</v>
      </c>
      <c r="B67" s="161" t="s">
        <v>222</v>
      </c>
      <c r="C67" s="275">
        <v>339.09</v>
      </c>
      <c r="D67" s="275">
        <v>339.09</v>
      </c>
      <c r="E67" s="576" t="str">
        <f t="shared" si="3"/>
        <v/>
      </c>
      <c r="F67" s="162" t="str">
        <f t="shared" si="4"/>
        <v>оплачено</v>
      </c>
      <c r="G67" s="162"/>
      <c r="H67" s="43"/>
      <c r="I67" s="1"/>
      <c r="J67" s="366"/>
      <c r="K67" s="1"/>
      <c r="L67" s="1"/>
      <c r="M67" s="44"/>
      <c r="N67" s="1"/>
      <c r="O67" s="366"/>
      <c r="P67" s="1"/>
    </row>
    <row r="68" spans="1:21" s="86" customFormat="1">
      <c r="A68" s="325">
        <v>43943</v>
      </c>
      <c r="B68" s="161" t="s">
        <v>320</v>
      </c>
      <c r="C68" s="275">
        <v>476.06</v>
      </c>
      <c r="D68" s="275">
        <v>476.06</v>
      </c>
      <c r="E68" s="673" t="str">
        <f t="shared" si="3"/>
        <v/>
      </c>
      <c r="F68" s="161" t="str">
        <f t="shared" si="4"/>
        <v>оплачено</v>
      </c>
      <c r="G68" s="162"/>
      <c r="H68" s="340"/>
      <c r="I68" s="366"/>
      <c r="J68" s="366"/>
      <c r="K68" s="366"/>
      <c r="L68" s="366"/>
      <c r="M68" s="314"/>
      <c r="N68" s="366"/>
      <c r="O68" s="84"/>
      <c r="P68" s="1"/>
      <c r="Q68" s="35"/>
      <c r="T68" s="35"/>
      <c r="U68" s="35"/>
    </row>
    <row r="69" spans="1:21">
      <c r="A69" s="325">
        <v>43942</v>
      </c>
      <c r="B69" s="161" t="s">
        <v>239</v>
      </c>
      <c r="C69" s="275">
        <v>264.5</v>
      </c>
      <c r="D69" s="275">
        <v>264.5</v>
      </c>
      <c r="E69" s="576" t="str">
        <f t="shared" si="3"/>
        <v/>
      </c>
      <c r="F69" s="162" t="str">
        <f t="shared" si="4"/>
        <v>оплачено</v>
      </c>
      <c r="G69" s="162"/>
      <c r="H69" s="43"/>
      <c r="I69" s="1"/>
      <c r="J69" s="366"/>
      <c r="K69" s="1"/>
      <c r="L69" s="1"/>
      <c r="M69" s="44"/>
      <c r="N69" s="1"/>
      <c r="O69" s="366"/>
      <c r="P69" s="366"/>
      <c r="T69" s="86"/>
    </row>
    <row r="70" spans="1:21">
      <c r="A70" s="325">
        <v>43935</v>
      </c>
      <c r="B70" s="161" t="s">
        <v>330</v>
      </c>
      <c r="C70" s="275">
        <v>1061.17</v>
      </c>
      <c r="D70" s="275">
        <v>1061.17</v>
      </c>
      <c r="E70" s="576" t="str">
        <f t="shared" si="3"/>
        <v/>
      </c>
      <c r="F70" s="162" t="str">
        <f t="shared" si="4"/>
        <v>оплачено</v>
      </c>
      <c r="G70" s="162"/>
      <c r="H70" s="43"/>
      <c r="I70" s="1"/>
      <c r="J70" s="366"/>
      <c r="K70" s="1"/>
      <c r="L70" s="1"/>
      <c r="M70" s="44"/>
      <c r="N70" s="1"/>
      <c r="O70" s="366"/>
      <c r="P70" s="150"/>
    </row>
    <row r="71" spans="1:21">
      <c r="A71" s="325">
        <v>43941</v>
      </c>
      <c r="B71" s="161" t="s">
        <v>330</v>
      </c>
      <c r="C71" s="275">
        <v>521.41</v>
      </c>
      <c r="D71" s="275">
        <v>521.41</v>
      </c>
      <c r="E71" s="576" t="str">
        <f t="shared" si="3"/>
        <v/>
      </c>
      <c r="F71" s="162" t="str">
        <f t="shared" si="4"/>
        <v>оплачено</v>
      </c>
      <c r="G71" s="162"/>
      <c r="H71" s="43"/>
      <c r="I71" s="1"/>
      <c r="J71" s="366"/>
      <c r="K71" s="1"/>
      <c r="L71" s="1"/>
      <c r="M71" s="44"/>
      <c r="N71" s="1"/>
      <c r="O71" s="366"/>
      <c r="P71" s="1"/>
    </row>
    <row r="72" spans="1:21">
      <c r="A72" s="325">
        <v>43942</v>
      </c>
      <c r="B72" s="161" t="s">
        <v>205</v>
      </c>
      <c r="C72" s="275">
        <v>134.16</v>
      </c>
      <c r="D72" s="275">
        <v>134.16</v>
      </c>
      <c r="E72" s="576" t="str">
        <f t="shared" si="3"/>
        <v/>
      </c>
      <c r="F72" s="162" t="str">
        <f t="shared" si="4"/>
        <v>оплачено</v>
      </c>
      <c r="G72" s="162"/>
      <c r="H72" s="43"/>
      <c r="I72" s="1"/>
      <c r="J72" s="366"/>
      <c r="K72" s="1"/>
      <c r="L72" s="1"/>
      <c r="M72" s="44"/>
      <c r="N72" s="1"/>
      <c r="O72" s="366"/>
      <c r="P72" s="1"/>
      <c r="Q72" s="86"/>
    </row>
    <row r="73" spans="1:21">
      <c r="A73" s="325">
        <v>43941</v>
      </c>
      <c r="B73" s="161" t="s">
        <v>255</v>
      </c>
      <c r="C73" s="275">
        <v>566.75</v>
      </c>
      <c r="D73" s="275">
        <v>566.75</v>
      </c>
      <c r="E73" s="576" t="str">
        <f t="shared" si="3"/>
        <v/>
      </c>
      <c r="F73" s="162" t="str">
        <f t="shared" si="4"/>
        <v>оплачено</v>
      </c>
      <c r="G73" s="162"/>
      <c r="H73" s="43"/>
      <c r="I73" s="1"/>
      <c r="J73" s="366"/>
      <c r="K73" s="1"/>
      <c r="L73" s="1"/>
      <c r="M73" s="44"/>
      <c r="N73" s="1"/>
      <c r="O73" s="366"/>
      <c r="P73" s="84"/>
    </row>
    <row r="74" spans="1:21" ht="15.75" thickBot="1">
      <c r="A74" s="1092" t="s">
        <v>259</v>
      </c>
      <c r="B74" s="1093"/>
      <c r="C74" s="358">
        <f>SUM(C58:C73)</f>
        <v>5715.5499999999993</v>
      </c>
      <c r="D74" s="358"/>
      <c r="E74" s="576">
        <f>SUM(E67:E73)</f>
        <v>0</v>
      </c>
      <c r="F74" s="162"/>
      <c r="G74" s="451"/>
      <c r="H74" s="43"/>
      <c r="I74" s="1"/>
      <c r="J74" s="366"/>
      <c r="K74" s="1"/>
      <c r="L74" s="1"/>
      <c r="M74" s="44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039" t="s">
        <v>16</v>
      </c>
      <c r="I75" s="1041" t="s">
        <v>17</v>
      </c>
      <c r="J75" s="1041" t="s">
        <v>21</v>
      </c>
      <c r="K75" s="1041"/>
      <c r="L75" s="1043" t="s">
        <v>93</v>
      </c>
      <c r="M75" s="1045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040"/>
      <c r="I76" s="1042"/>
      <c r="J76" s="587" t="s">
        <v>21</v>
      </c>
      <c r="K76" s="587" t="s">
        <v>25</v>
      </c>
      <c r="L76" s="1044"/>
      <c r="M76" s="1046"/>
      <c r="N76" s="1"/>
      <c r="O76" s="366"/>
      <c r="P76" s="439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589">
        <v>132.61000000000001</v>
      </c>
      <c r="L77" s="96">
        <v>22665.5</v>
      </c>
      <c r="M77" s="104">
        <f>L77-I77-J77-K77</f>
        <v>19996.989999999998</v>
      </c>
      <c r="N77" s="1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6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437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41129.589999999997</v>
      </c>
      <c r="N81" s="657">
        <v>38660.869999999995</v>
      </c>
      <c r="O81" s="145" t="s">
        <v>314</v>
      </c>
      <c r="P81" s="659">
        <f>M81-N81</f>
        <v>2468.7200000000012</v>
      </c>
      <c r="Q81" s="86"/>
      <c r="R81" s="86"/>
    </row>
    <row r="82" spans="1:26" ht="15.75" thickBot="1">
      <c r="A82" s="339"/>
      <c r="B82" s="199"/>
      <c r="C82" s="1"/>
      <c r="D82" s="273"/>
      <c r="E82" s="366"/>
      <c r="F82" s="366"/>
      <c r="G82" s="366"/>
      <c r="H82" s="379" t="s">
        <v>211</v>
      </c>
      <c r="I82" s="660">
        <v>11425.189999999999</v>
      </c>
      <c r="J82" s="432">
        <v>232.2</v>
      </c>
      <c r="K82" s="687">
        <v>262</v>
      </c>
      <c r="L82" s="433">
        <v>11864.4</v>
      </c>
      <c r="M82" s="104">
        <f>M81-I82-J82-K82+L82</f>
        <v>41074.6</v>
      </c>
      <c r="N82" s="1"/>
      <c r="O82" s="366"/>
      <c r="P82" s="437"/>
      <c r="Q82" s="86"/>
      <c r="R82" s="86"/>
      <c r="V82" s="1"/>
    </row>
    <row r="83" spans="1:26" ht="15.75" thickTop="1">
      <c r="A83" s="339"/>
      <c r="B83" s="199"/>
      <c r="C83" s="1"/>
      <c r="D83" s="273"/>
      <c r="E83" s="84"/>
      <c r="F83" s="366"/>
      <c r="G83" s="366"/>
      <c r="H83" s="1023" t="s">
        <v>36</v>
      </c>
      <c r="I83" s="1025" t="s">
        <v>178</v>
      </c>
      <c r="J83" s="1026"/>
      <c r="K83" s="1027"/>
      <c r="L83" s="1031" t="s">
        <v>159</v>
      </c>
      <c r="M83" s="1032"/>
      <c r="N83" s="1"/>
      <c r="O83" s="366"/>
      <c r="P83" s="685"/>
      <c r="Q83" s="86"/>
      <c r="R83" s="86"/>
      <c r="V83" s="1"/>
    </row>
    <row r="84" spans="1:26">
      <c r="A84" s="339"/>
      <c r="B84" s="199"/>
      <c r="C84" s="284"/>
      <c r="D84" s="273"/>
      <c r="E84" s="284"/>
      <c r="F84" s="366"/>
      <c r="G84" s="378"/>
      <c r="H84" s="1024"/>
      <c r="I84" s="1028"/>
      <c r="J84" s="1029"/>
      <c r="K84" s="1030"/>
      <c r="L84" s="1033"/>
      <c r="M84" s="1034"/>
      <c r="N84" s="1"/>
      <c r="O84" s="366"/>
      <c r="P84" s="685"/>
      <c r="Q84" s="86"/>
      <c r="R84" s="366"/>
      <c r="S84" s="1"/>
      <c r="V84" s="1"/>
      <c r="W84" s="1"/>
      <c r="X84" s="1"/>
      <c r="Y84" s="1"/>
    </row>
    <row r="85" spans="1:26">
      <c r="A85" s="339"/>
      <c r="B85" s="199"/>
      <c r="C85" s="199"/>
      <c r="D85" s="273"/>
      <c r="E85" s="199"/>
      <c r="F85" s="366"/>
      <c r="G85" s="378"/>
      <c r="H85" s="529" t="s">
        <v>250</v>
      </c>
      <c r="I85" s="1035" t="s">
        <v>47</v>
      </c>
      <c r="J85" s="1035"/>
      <c r="K85" s="677">
        <v>131.25</v>
      </c>
      <c r="L85" s="282">
        <v>43936</v>
      </c>
      <c r="M85" s="44" t="s">
        <v>247</v>
      </c>
      <c r="P85" s="685"/>
      <c r="R85" s="366"/>
      <c r="S85" s="1"/>
      <c r="T85" s="1"/>
      <c r="V85" s="282"/>
      <c r="W85" s="1"/>
      <c r="X85" s="1"/>
      <c r="Y85" s="1"/>
    </row>
    <row r="86" spans="1:26">
      <c r="A86" s="339"/>
      <c r="B86" s="366"/>
      <c r="C86" s="274"/>
      <c r="D86" s="273"/>
      <c r="E86" s="274"/>
      <c r="F86" s="366"/>
      <c r="G86" s="366"/>
      <c r="H86" s="529" t="s">
        <v>250</v>
      </c>
      <c r="I86" s="1020" t="s">
        <v>51</v>
      </c>
      <c r="J86" s="1020"/>
      <c r="K86" s="678">
        <v>21.35</v>
      </c>
      <c r="L86" s="282">
        <v>43936</v>
      </c>
      <c r="M86" s="44" t="s">
        <v>247</v>
      </c>
      <c r="P86" s="685"/>
      <c r="Q86" s="86"/>
      <c r="R86" s="86"/>
      <c r="S86" s="1"/>
      <c r="T86" s="1"/>
      <c r="V86" s="282"/>
      <c r="W86" s="1"/>
      <c r="X86" s="1"/>
      <c r="Y86" s="1"/>
    </row>
    <row r="87" spans="1:26">
      <c r="A87" s="340"/>
      <c r="B87" s="366"/>
      <c r="C87" s="366"/>
      <c r="D87" s="273"/>
      <c r="E87" s="199"/>
      <c r="F87" s="366"/>
      <c r="G87" s="366"/>
      <c r="H87" s="529" t="s">
        <v>250</v>
      </c>
      <c r="I87" s="1020" t="s">
        <v>52</v>
      </c>
      <c r="J87" s="1020"/>
      <c r="K87" s="678">
        <v>2.25</v>
      </c>
      <c r="L87" s="282">
        <v>43936</v>
      </c>
      <c r="M87" s="44" t="s">
        <v>247</v>
      </c>
      <c r="P87" s="685"/>
      <c r="Q87" s="86"/>
      <c r="R87" s="590"/>
      <c r="S87" s="1"/>
      <c r="T87" s="1"/>
      <c r="V87" s="282"/>
      <c r="W87" s="282"/>
      <c r="X87" s="282"/>
      <c r="Y87" s="1"/>
      <c r="Z87" s="1"/>
    </row>
    <row r="88" spans="1:26">
      <c r="A88" s="340"/>
      <c r="B88" s="366"/>
      <c r="C88" s="366"/>
      <c r="D88" s="273"/>
      <c r="E88" s="366"/>
      <c r="F88" s="366"/>
      <c r="G88" s="366"/>
      <c r="H88" s="529" t="s">
        <v>250</v>
      </c>
      <c r="I88" s="1020" t="s">
        <v>49</v>
      </c>
      <c r="J88" s="1020"/>
      <c r="K88" s="678">
        <v>89</v>
      </c>
      <c r="L88" s="282">
        <v>43941</v>
      </c>
      <c r="M88" s="44" t="s">
        <v>324</v>
      </c>
      <c r="O88" s="150"/>
      <c r="P88" s="685"/>
      <c r="Q88" s="366"/>
      <c r="S88" s="1"/>
      <c r="T88" s="282"/>
      <c r="U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1088" t="s">
        <v>59</v>
      </c>
      <c r="J89" s="1088"/>
      <c r="K89" s="457">
        <v>387.7</v>
      </c>
      <c r="L89" s="302" t="s">
        <v>177</v>
      </c>
      <c r="M89" s="44" t="s">
        <v>247</v>
      </c>
      <c r="O89" s="150"/>
      <c r="P89" s="685"/>
      <c r="Q89" s="480"/>
      <c r="R89" s="590"/>
      <c r="S89" s="1"/>
      <c r="T89" s="282"/>
      <c r="U89" s="1"/>
      <c r="V89" s="1"/>
      <c r="W89" s="282"/>
      <c r="X89" s="282"/>
      <c r="Y89" s="1"/>
      <c r="Z89" s="1"/>
    </row>
    <row r="90" spans="1:26">
      <c r="A90" s="340"/>
      <c r="B90" s="199"/>
      <c r="C90" s="199"/>
      <c r="D90" s="273"/>
      <c r="E90" s="199"/>
      <c r="F90" s="366"/>
      <c r="G90" s="366"/>
      <c r="H90" s="529" t="s">
        <v>250</v>
      </c>
      <c r="I90" s="1089" t="s">
        <v>68</v>
      </c>
      <c r="J90" s="1090"/>
      <c r="K90" s="678">
        <v>57.65</v>
      </c>
      <c r="L90" s="282">
        <v>43941</v>
      </c>
      <c r="M90" s="44" t="s">
        <v>247</v>
      </c>
      <c r="P90" s="686"/>
      <c r="Q90" s="86"/>
      <c r="R90" s="590"/>
      <c r="S90" s="1"/>
      <c r="T90" s="282"/>
      <c r="U90" s="1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199"/>
      <c r="F91" s="366"/>
      <c r="G91" s="366"/>
      <c r="H91" s="529" t="s">
        <v>250</v>
      </c>
      <c r="I91" s="1021" t="s">
        <v>174</v>
      </c>
      <c r="J91" s="1022"/>
      <c r="K91" s="678">
        <v>257.08999999999997</v>
      </c>
      <c r="L91" s="282">
        <v>43936</v>
      </c>
      <c r="M91" s="44" t="s">
        <v>247</v>
      </c>
      <c r="O91" s="150"/>
      <c r="P91" s="686"/>
      <c r="R91" s="590"/>
      <c r="S91" s="1"/>
      <c r="T91" s="282"/>
      <c r="U91" s="282"/>
      <c r="V91" s="282"/>
      <c r="W91" s="1"/>
      <c r="X91" s="1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258</v>
      </c>
      <c r="I92" s="584" t="s">
        <v>176</v>
      </c>
      <c r="J92" s="585"/>
      <c r="K92" s="678" t="s">
        <v>258</v>
      </c>
      <c r="L92" s="282">
        <v>43941</v>
      </c>
      <c r="M92" s="44" t="s">
        <v>247</v>
      </c>
      <c r="P92" s="686"/>
      <c r="R92" s="485"/>
      <c r="S92" s="1"/>
      <c r="T92" s="1"/>
      <c r="U92" s="282"/>
      <c r="V92" s="282"/>
      <c r="W92" s="282"/>
      <c r="X92" s="282"/>
      <c r="Y92" s="1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1021" t="s">
        <v>81</v>
      </c>
      <c r="J93" s="1022"/>
      <c r="K93" s="678">
        <v>616.88</v>
      </c>
      <c r="L93" s="282">
        <v>43931</v>
      </c>
      <c r="M93" s="44" t="s">
        <v>247</v>
      </c>
      <c r="P93" s="686"/>
      <c r="Q93" s="485"/>
      <c r="R93" s="365"/>
      <c r="S93" s="1"/>
      <c r="T93" s="282"/>
      <c r="U93" s="282"/>
      <c r="V93" s="282"/>
      <c r="W93" s="282"/>
      <c r="X93" s="282"/>
      <c r="Y93" s="366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326</v>
      </c>
      <c r="I94" s="1021" t="s">
        <v>53</v>
      </c>
      <c r="J94" s="1022"/>
      <c r="K94" s="455">
        <v>10</v>
      </c>
      <c r="L94" s="282">
        <v>43936</v>
      </c>
      <c r="M94" s="44" t="s">
        <v>247</v>
      </c>
      <c r="P94" s="686"/>
      <c r="Q94" s="590"/>
      <c r="R94" s="86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1087" t="s">
        <v>61</v>
      </c>
      <c r="J95" s="1087"/>
      <c r="K95" s="676">
        <f>K58</f>
        <v>0</v>
      </c>
      <c r="L95" s="282">
        <v>43941</v>
      </c>
      <c r="M95" s="44" t="s">
        <v>247</v>
      </c>
      <c r="P95" s="685"/>
      <c r="Q95" s="590"/>
      <c r="S95" s="366"/>
      <c r="T95" s="282"/>
      <c r="U95" s="1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350"/>
      <c r="I96" s="1017" t="s">
        <v>300</v>
      </c>
      <c r="J96" s="1017"/>
      <c r="K96" s="676">
        <v>100</v>
      </c>
      <c r="L96" s="282">
        <v>43951</v>
      </c>
      <c r="M96" s="44" t="s">
        <v>247</v>
      </c>
      <c r="P96" s="686"/>
      <c r="Q96" s="590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017" t="s">
        <v>325</v>
      </c>
      <c r="J97" s="1017"/>
      <c r="K97" s="676">
        <v>3.78</v>
      </c>
      <c r="L97" s="282">
        <v>43936</v>
      </c>
      <c r="M97" s="44" t="s">
        <v>247</v>
      </c>
      <c r="P97" s="686"/>
      <c r="Q97" s="366"/>
      <c r="S97" s="366"/>
      <c r="T97" s="282"/>
      <c r="U97" s="282"/>
      <c r="V97" s="282"/>
      <c r="W97" s="282"/>
      <c r="X97" s="282"/>
      <c r="Y97" s="1"/>
      <c r="Z97" s="1"/>
    </row>
    <row r="98" spans="1:26" ht="15.75" thickBot="1">
      <c r="A98" s="341"/>
      <c r="B98" s="330"/>
      <c r="C98" s="331"/>
      <c r="D98" s="342"/>
      <c r="E98" s="330"/>
      <c r="F98" s="331"/>
      <c r="G98" s="331"/>
      <c r="H98" s="1107" t="s">
        <v>179</v>
      </c>
      <c r="I98" s="1108"/>
      <c r="J98" s="361">
        <f>SUM(K85:K96)</f>
        <v>1673.17</v>
      </c>
      <c r="K98" s="1018" t="s">
        <v>180</v>
      </c>
      <c r="L98" s="1018"/>
      <c r="M98" s="535">
        <f>SUM(K85:K97)</f>
        <v>1676.95</v>
      </c>
      <c r="P98" s="686"/>
      <c r="Q98" s="86"/>
      <c r="R98" s="365"/>
      <c r="S98" s="366"/>
      <c r="T98" s="282"/>
      <c r="U98" s="282"/>
      <c r="V98" s="1"/>
      <c r="W98" s="282"/>
      <c r="X98" s="282"/>
      <c r="Y98" s="1"/>
      <c r="Z98" s="1"/>
    </row>
    <row r="99" spans="1:26" ht="15.75" thickTop="1">
      <c r="C99" s="507"/>
      <c r="D99" s="507"/>
      <c r="P99" s="6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>
      <c r="C100" s="447"/>
      <c r="P100" s="686"/>
      <c r="R100" s="1"/>
      <c r="S100" s="1"/>
      <c r="T100" s="282"/>
      <c r="U100" s="282"/>
      <c r="V100" s="1"/>
      <c r="W100" s="1"/>
      <c r="X100" s="1"/>
      <c r="Y100" s="1"/>
      <c r="Z100" s="1"/>
    </row>
    <row r="101" spans="1:26">
      <c r="C101" s="447"/>
      <c r="P101" s="686"/>
      <c r="R101" s="1"/>
      <c r="S101" s="1"/>
      <c r="T101" s="1"/>
      <c r="U101" s="282"/>
      <c r="V101" s="1"/>
      <c r="W101" s="1"/>
      <c r="X101" s="1"/>
      <c r="Y101" s="1"/>
      <c r="Z101" s="1"/>
    </row>
    <row r="102" spans="1:26">
      <c r="C102" s="447"/>
      <c r="E102" s="86"/>
      <c r="P102" s="686"/>
      <c r="Q102" s="365"/>
      <c r="R102" s="1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P103" s="686"/>
      <c r="Q103" s="505"/>
      <c r="R103" s="1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K104" s="506"/>
      <c r="P104" s="686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7"/>
      <c r="P105" s="686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7"/>
      <c r="M106" s="506"/>
      <c r="P106" s="686"/>
      <c r="T106" s="1"/>
      <c r="U106" s="1"/>
      <c r="Z106" s="1"/>
    </row>
    <row r="107" spans="1:26">
      <c r="C107" s="447"/>
      <c r="P107" s="686"/>
      <c r="Q107" s="1"/>
      <c r="U107" s="1"/>
      <c r="Z107" s="1"/>
    </row>
    <row r="108" spans="1:26">
      <c r="C108" s="447"/>
      <c r="M108" s="1"/>
      <c r="P108" s="658"/>
      <c r="Q108" s="1"/>
      <c r="U108" s="1"/>
      <c r="Z108" s="1"/>
    </row>
    <row r="109" spans="1:26">
      <c r="C109" s="447"/>
      <c r="M109" s="1"/>
      <c r="P109" s="449"/>
      <c r="Q109" s="1"/>
      <c r="U109" s="1"/>
    </row>
    <row r="110" spans="1:26">
      <c r="C110" s="447"/>
      <c r="M110" s="1"/>
      <c r="P110" s="449"/>
    </row>
    <row r="111" spans="1:26">
      <c r="C111" s="447"/>
      <c r="M111" s="366"/>
      <c r="P111" s="449"/>
    </row>
    <row r="112" spans="1:26">
      <c r="C112" s="447"/>
      <c r="M112" s="366"/>
      <c r="P112" s="449"/>
    </row>
    <row r="113" spans="3:16">
      <c r="C113" s="447"/>
      <c r="M113" s="1"/>
      <c r="P113" s="449"/>
    </row>
    <row r="114" spans="3:16">
      <c r="C114" s="447"/>
      <c r="M114" s="1"/>
      <c r="P114" s="449"/>
    </row>
    <row r="115" spans="3:16">
      <c r="C115" s="447"/>
      <c r="M115" s="1"/>
      <c r="P115" s="449"/>
    </row>
    <row r="116" spans="3:16">
      <c r="C116" s="447"/>
      <c r="M116" s="1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  <c r="P124" s="449"/>
    </row>
    <row r="125" spans="3:16">
      <c r="C125" s="447"/>
      <c r="P125" s="449"/>
    </row>
    <row r="126" spans="3:16">
      <c r="C126" s="447"/>
      <c r="P126" s="449"/>
    </row>
    <row r="127" spans="3:16">
      <c r="C127" s="447"/>
      <c r="P127" s="449"/>
    </row>
    <row r="128" spans="3:16">
      <c r="C128" s="447"/>
    </row>
  </sheetData>
  <mergeCells count="61"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I49:J49"/>
    <mergeCell ref="I50:J50"/>
    <mergeCell ref="K52:L52"/>
    <mergeCell ref="H53:K53"/>
    <mergeCell ref="I51:J51"/>
    <mergeCell ref="AF7:AF8"/>
    <mergeCell ref="AG7:AG8"/>
    <mergeCell ref="M22:M23"/>
    <mergeCell ref="H35:H36"/>
    <mergeCell ref="I35:K36"/>
    <mergeCell ref="L35:M36"/>
    <mergeCell ref="O2:Q2"/>
    <mergeCell ref="A21:B21"/>
    <mergeCell ref="H22:H23"/>
    <mergeCell ref="I22:I23"/>
    <mergeCell ref="J22:K22"/>
    <mergeCell ref="L22:L23"/>
    <mergeCell ref="H5:I5"/>
    <mergeCell ref="H6:I6"/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8" activePane="bottomRight" state="frozen"/>
      <selection pane="topRight" activeCell="B1" sqref="B1"/>
      <selection pane="bottomLeft" activeCell="A4" sqref="A4"/>
      <selection pane="bottomRight" activeCell="J36" sqref="J3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6"/>
      <c r="G2" s="226">
        <v>454.5</v>
      </c>
      <c r="H2" s="85"/>
      <c r="I2" s="465">
        <v>94.1</v>
      </c>
      <c r="J2" s="464"/>
      <c r="K2" s="464"/>
      <c r="L2" s="464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6"/>
      <c r="G3" s="22">
        <v>175.2</v>
      </c>
      <c r="H3" s="226"/>
      <c r="I3" s="465">
        <v>138.4</v>
      </c>
      <c r="J3" s="464"/>
      <c r="K3" s="464"/>
      <c r="L3" s="464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6">
        <v>273.5</v>
      </c>
      <c r="G4" s="226"/>
      <c r="H4" s="226"/>
      <c r="I4" s="465">
        <v>110.4</v>
      </c>
      <c r="J4" s="464"/>
      <c r="K4" s="464"/>
      <c r="L4" s="464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6">
        <v>114</v>
      </c>
      <c r="G5" s="226"/>
      <c r="H5" s="85"/>
      <c r="I5" s="465">
        <v>67.099999999999994</v>
      </c>
      <c r="J5" s="464"/>
      <c r="K5" s="464"/>
      <c r="L5" s="464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6"/>
      <c r="G6" s="226">
        <v>213.5</v>
      </c>
      <c r="H6" s="85"/>
      <c r="I6" s="465">
        <v>51</v>
      </c>
      <c r="J6" s="464"/>
      <c r="K6" s="464"/>
      <c r="L6" s="464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6"/>
      <c r="G7" s="226">
        <v>282.8</v>
      </c>
      <c r="H7" s="85"/>
      <c r="I7" s="465"/>
      <c r="J7" s="464"/>
      <c r="K7" s="464"/>
      <c r="L7" s="464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6"/>
      <c r="G8" s="226">
        <v>233.6</v>
      </c>
      <c r="H8" s="85"/>
      <c r="I8" s="465">
        <v>71.650000000000006</v>
      </c>
      <c r="J8" s="464"/>
      <c r="K8" s="464"/>
      <c r="L8" s="464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6">
        <v>172</v>
      </c>
      <c r="G9" s="226"/>
      <c r="H9" s="18"/>
      <c r="I9" s="465">
        <v>131.35</v>
      </c>
      <c r="J9" s="464"/>
      <c r="K9" s="464"/>
      <c r="L9" s="464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6">
        <v>96.4</v>
      </c>
      <c r="G10" s="226"/>
      <c r="H10" s="431"/>
      <c r="I10" s="465">
        <v>206.9</v>
      </c>
      <c r="J10" s="464"/>
      <c r="K10" s="464"/>
      <c r="L10" s="464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6"/>
      <c r="G11" s="226">
        <v>636.95000000000005</v>
      </c>
      <c r="H11" s="226"/>
      <c r="I11" s="465">
        <v>269.3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6"/>
      <c r="G12" s="226">
        <v>229.2</v>
      </c>
      <c r="H12" s="226"/>
      <c r="I12" s="465">
        <v>123.9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6"/>
      <c r="G13" s="226">
        <v>328.6</v>
      </c>
      <c r="H13" s="226"/>
      <c r="I13" s="465">
        <v>136.30000000000001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6">
        <v>111.4</v>
      </c>
      <c r="G14" s="226"/>
      <c r="H14" s="226"/>
      <c r="I14" s="465"/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2</v>
      </c>
      <c r="C15" s="17">
        <v>43935</v>
      </c>
      <c r="D15" s="22">
        <v>1053.0999999999999</v>
      </c>
      <c r="E15" s="22"/>
      <c r="F15" s="226">
        <v>421.5</v>
      </c>
      <c r="G15" s="226"/>
      <c r="H15" s="586"/>
      <c r="I15" s="116">
        <v>30.2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A16" s="35" t="s">
        <v>333</v>
      </c>
      <c r="B16" s="16">
        <f t="shared" si="0"/>
        <v>3</v>
      </c>
      <c r="C16" s="17">
        <v>43936</v>
      </c>
      <c r="D16" s="22"/>
      <c r="E16" s="22">
        <v>577.4</v>
      </c>
      <c r="F16" s="226"/>
      <c r="G16" s="226">
        <v>218</v>
      </c>
      <c r="H16" s="14"/>
      <c r="I16" s="465">
        <v>62.9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6"/>
      <c r="G17" s="226">
        <v>479.5</v>
      </c>
      <c r="H17" s="14"/>
      <c r="I17" s="465">
        <f>14+106.8</f>
        <v>120.8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6"/>
      <c r="G18" s="226">
        <v>596.70000000000005</v>
      </c>
      <c r="H18" s="226"/>
      <c r="I18" s="465">
        <v>139.5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6"/>
      <c r="G19" s="226"/>
      <c r="H19" s="14">
        <v>626.04</v>
      </c>
      <c r="I19" s="465">
        <v>60.45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7</v>
      </c>
      <c r="C20" s="17">
        <v>43940</v>
      </c>
      <c r="D20" s="22">
        <v>488</v>
      </c>
      <c r="E20" s="22"/>
      <c r="F20" s="226"/>
      <c r="G20" s="226"/>
      <c r="H20" s="22">
        <v>425.7</v>
      </c>
      <c r="I20" s="468"/>
      <c r="J20" s="466"/>
      <c r="K20" s="466"/>
      <c r="L20" s="466"/>
    </row>
    <row r="21" spans="1:16" s="86" customFormat="1" ht="11.1" customHeight="1">
      <c r="B21" s="460">
        <f t="shared" si="0"/>
        <v>1</v>
      </c>
      <c r="C21" s="17">
        <v>43941</v>
      </c>
      <c r="D21" s="22"/>
      <c r="E21" s="22">
        <v>390</v>
      </c>
      <c r="F21" s="226"/>
      <c r="G21" s="226">
        <v>496.1</v>
      </c>
      <c r="H21" s="226"/>
      <c r="I21" s="468"/>
      <c r="J21" s="466"/>
      <c r="K21" s="466"/>
      <c r="L21" s="466"/>
    </row>
    <row r="22" spans="1:16" s="86" customFormat="1" ht="11.1" customHeight="1">
      <c r="B22" s="460">
        <f>IF(C22="","",WEEKDAY(C22,2))</f>
        <v>2</v>
      </c>
      <c r="C22" s="17">
        <v>43942</v>
      </c>
      <c r="D22" s="22"/>
      <c r="E22" s="22">
        <v>1379.1</v>
      </c>
      <c r="F22" s="226"/>
      <c r="G22" s="226">
        <v>646.4</v>
      </c>
      <c r="H22" s="226"/>
      <c r="I22" s="468">
        <v>138.69999999999999</v>
      </c>
      <c r="J22" s="466"/>
      <c r="K22" s="466"/>
      <c r="L22" s="466"/>
    </row>
    <row r="23" spans="1:16" s="86" customFormat="1" ht="11.1" customHeight="1">
      <c r="B23" s="460">
        <f t="shared" si="0"/>
        <v>3</v>
      </c>
      <c r="C23" s="17">
        <v>43943</v>
      </c>
      <c r="D23" s="22">
        <v>686.01</v>
      </c>
      <c r="E23" s="22"/>
      <c r="F23" s="226"/>
      <c r="G23" s="226">
        <v>448.5</v>
      </c>
      <c r="H23" s="476"/>
      <c r="I23" s="468">
        <v>73.2</v>
      </c>
      <c r="J23" s="466"/>
      <c r="K23" s="466"/>
      <c r="L23" s="466"/>
    </row>
    <row r="24" spans="1:16" s="86" customFormat="1" ht="10.5" customHeight="1">
      <c r="B24" s="460">
        <f t="shared" si="0"/>
        <v>4</v>
      </c>
      <c r="C24" s="17">
        <v>43944</v>
      </c>
      <c r="D24" s="22">
        <v>678.9</v>
      </c>
      <c r="E24" s="22"/>
      <c r="F24" s="226">
        <v>696.9</v>
      </c>
      <c r="G24" s="226"/>
      <c r="H24" s="226"/>
      <c r="I24" s="468">
        <v>246</v>
      </c>
      <c r="J24" s="466"/>
      <c r="K24" s="466"/>
      <c r="L24" s="466"/>
    </row>
    <row r="25" spans="1:16" s="86" customFormat="1" ht="11.1" customHeight="1">
      <c r="B25" s="460">
        <f t="shared" si="0"/>
        <v>5</v>
      </c>
      <c r="C25" s="17">
        <v>43945</v>
      </c>
      <c r="D25" s="22"/>
      <c r="E25" s="22">
        <v>1057.55</v>
      </c>
      <c r="F25" s="226"/>
      <c r="G25" s="226">
        <v>540.9</v>
      </c>
      <c r="H25" s="226"/>
      <c r="I25" s="468">
        <v>193.1</v>
      </c>
      <c r="J25" s="466"/>
      <c r="K25" s="466"/>
      <c r="L25" s="477"/>
    </row>
    <row r="26" spans="1:16" s="86" customFormat="1" ht="11.1" customHeight="1">
      <c r="B26" s="460">
        <f t="shared" si="0"/>
        <v>6</v>
      </c>
      <c r="C26" s="17">
        <v>43946</v>
      </c>
      <c r="D26" s="22"/>
      <c r="E26" s="22">
        <v>704.7</v>
      </c>
      <c r="F26" s="22"/>
      <c r="G26" s="478">
        <v>302</v>
      </c>
      <c r="H26" s="226"/>
      <c r="I26" s="468"/>
      <c r="J26" s="466"/>
      <c r="K26" s="466"/>
      <c r="L26" s="477"/>
    </row>
    <row r="27" spans="1:16" s="86" customFormat="1" ht="11.1" customHeight="1">
      <c r="B27" s="460">
        <f t="shared" si="0"/>
        <v>7</v>
      </c>
      <c r="C27" s="17">
        <v>43947</v>
      </c>
      <c r="D27" s="22">
        <v>561.5</v>
      </c>
      <c r="E27" s="22"/>
      <c r="F27" s="226"/>
      <c r="G27" s="611">
        <v>499.3</v>
      </c>
      <c r="H27" s="226"/>
      <c r="I27" s="467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1</v>
      </c>
      <c r="C28" s="17">
        <v>43948</v>
      </c>
      <c r="D28" s="22">
        <v>606.29999999999995</v>
      </c>
      <c r="E28" s="22"/>
      <c r="F28" s="226">
        <v>371.5</v>
      </c>
      <c r="G28" s="226"/>
      <c r="H28" s="226"/>
      <c r="I28" s="467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2</v>
      </c>
      <c r="C29" s="17">
        <v>43949</v>
      </c>
      <c r="D29" s="22"/>
      <c r="E29" s="22">
        <v>362</v>
      </c>
      <c r="F29" s="226">
        <v>400.9</v>
      </c>
      <c r="G29" s="226"/>
      <c r="H29" s="226"/>
      <c r="I29" s="467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3</v>
      </c>
      <c r="C30" s="17">
        <v>43950</v>
      </c>
      <c r="D30" s="22"/>
      <c r="E30" s="226">
        <v>767.35</v>
      </c>
      <c r="G30" s="226">
        <v>344.1</v>
      </c>
      <c r="H30" s="226"/>
      <c r="I30" s="467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4</v>
      </c>
      <c r="C31" s="17">
        <v>43951</v>
      </c>
      <c r="D31" s="22">
        <v>483.27</v>
      </c>
      <c r="E31" s="22"/>
      <c r="F31" s="226">
        <v>589.5</v>
      </c>
      <c r="G31" s="226"/>
      <c r="H31" s="22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612" t="s">
        <v>225</v>
      </c>
      <c r="D33" s="85">
        <f>COUNT(D2:D32)</f>
        <v>16</v>
      </c>
      <c r="E33" s="85">
        <f>COUNT(E2:E32)</f>
        <v>14</v>
      </c>
      <c r="F33" s="85">
        <f>COUNT(F2:F32)</f>
        <v>10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12749.57</v>
      </c>
      <c r="E34" s="238">
        <f>SUM(E2:E32)</f>
        <v>10625.52</v>
      </c>
      <c r="F34" s="238">
        <f>SUM(F2:F32)</f>
        <v>3247.6</v>
      </c>
      <c r="G34" s="238">
        <f>SUM(G2:G32)</f>
        <v>7125.85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3.9" customHeight="1" thickBot="1">
      <c r="B35" s="21"/>
      <c r="C35" s="85" t="s">
        <v>22</v>
      </c>
      <c r="D35" s="238">
        <v>11636.67</v>
      </c>
      <c r="E35" s="238">
        <v>9634.7199999999993</v>
      </c>
      <c r="F35" s="238">
        <v>3172.2</v>
      </c>
      <c r="G35" s="238">
        <v>6927.05</v>
      </c>
      <c r="H35" s="12"/>
      <c r="I35" s="292">
        <f>SUM(D2:E32)</f>
        <v>23375.089999999997</v>
      </c>
      <c r="J35" s="292">
        <f>SUM(F2:G32)+H19+H20</f>
        <v>11425.189999999999</v>
      </c>
      <c r="K35" s="454">
        <f>SUM(I2:I32)</f>
        <v>2465.2500000000005</v>
      </c>
      <c r="L35" s="363"/>
      <c r="M35" s="366"/>
      <c r="N35" s="366"/>
      <c r="O35" s="366"/>
      <c r="P35" s="366"/>
    </row>
    <row r="36" spans="1:19" ht="13.9" customHeight="1">
      <c r="B36" s="21"/>
      <c r="C36" s="85" t="s">
        <v>5</v>
      </c>
      <c r="D36" s="88">
        <f>ABS(D34-D35)</f>
        <v>1112.8999999999996</v>
      </c>
      <c r="E36" s="88">
        <f>ABS(E34-E35)</f>
        <v>990.80000000000109</v>
      </c>
      <c r="F36" s="88">
        <f>ABS(F34-F35)</f>
        <v>75.400000000000091</v>
      </c>
      <c r="G36" s="88">
        <f>ABS(G34-G35)</f>
        <v>198.80000000000018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3.9" customHeight="1">
      <c r="B37" s="21"/>
      <c r="C37" s="581" t="s">
        <v>233</v>
      </c>
      <c r="D37" s="89">
        <f>ROUND(D36*1%,2)</f>
        <v>11.13</v>
      </c>
      <c r="E37" s="89">
        <f>ROUND(E36*1%,2)</f>
        <v>9.91</v>
      </c>
      <c r="F37" s="89">
        <f>ROUND(F36*1%,2)</f>
        <v>0.75</v>
      </c>
      <c r="G37" s="89">
        <f>ROUND(G36*1%,2)</f>
        <v>1.99</v>
      </c>
      <c r="H37" s="1"/>
      <c r="I37" s="363">
        <v>1359.18</v>
      </c>
      <c r="J37" s="363">
        <v>949.72</v>
      </c>
      <c r="K37" s="363"/>
      <c r="L37" s="363"/>
      <c r="M37" s="366"/>
      <c r="N37" s="366"/>
      <c r="O37" s="366"/>
      <c r="P37" s="366"/>
    </row>
    <row r="38" spans="1:19" ht="13.9" customHeight="1">
      <c r="B38" s="21"/>
      <c r="C38" s="487" t="s">
        <v>234</v>
      </c>
      <c r="D38" s="89">
        <f>ROUND(3%*D35,2)</f>
        <v>349.1</v>
      </c>
      <c r="E38" s="89">
        <f>ROUND(3%*E35,2)</f>
        <v>289.04000000000002</v>
      </c>
      <c r="F38" s="89">
        <f>ROUND(3%*F35,2)</f>
        <v>95.17</v>
      </c>
      <c r="G38" s="89">
        <f>ROUND(3%*G35,2)</f>
        <v>207.81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9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9" customHeight="1">
      <c r="B40" s="21"/>
      <c r="C40" s="85" t="s">
        <v>244</v>
      </c>
      <c r="D40" s="87">
        <f>ROUND(20*D33,2)</f>
        <v>320</v>
      </c>
      <c r="E40" s="87">
        <f>ROUND(20*E33,2)</f>
        <v>280</v>
      </c>
      <c r="F40" s="490">
        <f>ROUND(23*F33,2)</f>
        <v>230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3.9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3.9" customHeight="1">
      <c r="B42" s="21"/>
      <c r="C42" s="242" t="s">
        <v>48</v>
      </c>
      <c r="D42" s="243"/>
      <c r="E42" s="240">
        <v>120</v>
      </c>
      <c r="F42" s="87"/>
      <c r="G42" s="87"/>
      <c r="I42" s="283"/>
      <c r="J42" s="145"/>
      <c r="K42" s="366"/>
      <c r="L42" s="366"/>
      <c r="M42" s="366"/>
      <c r="N42" s="366"/>
      <c r="O42" s="366"/>
      <c r="P42" s="366"/>
    </row>
    <row r="43" spans="1:19" ht="13.9" customHeight="1">
      <c r="B43" s="21"/>
      <c r="C43" s="245" t="s">
        <v>77</v>
      </c>
      <c r="D43" s="456">
        <f>D37+D38+D39+D40-D41</f>
        <v>392.52000000000004</v>
      </c>
      <c r="E43" s="456">
        <f>E37+E38+E39+E40-E41-E42</f>
        <v>328.07000000000005</v>
      </c>
      <c r="F43" s="456">
        <f>F37+F38+F39+F40-F41-F42</f>
        <v>325.92</v>
      </c>
      <c r="G43" s="456">
        <f>G37+G38+G39+G40-G41-G42</f>
        <v>366.71</v>
      </c>
      <c r="H43" s="8"/>
      <c r="I43" s="145"/>
      <c r="J43" s="366"/>
      <c r="K43" s="366"/>
      <c r="L43" s="366"/>
      <c r="M43" s="366"/>
      <c r="N43" s="366"/>
      <c r="O43" s="366"/>
      <c r="P43" s="366"/>
    </row>
    <row r="44" spans="1:19" ht="13.9" customHeight="1">
      <c r="B44" s="21"/>
      <c r="C44" s="286" t="s">
        <v>45</v>
      </c>
      <c r="D44" s="287">
        <f>D37+D38+D39+D40</f>
        <v>730.23</v>
      </c>
      <c r="E44" s="287">
        <f>E37+E38+E39+E40</f>
        <v>628.95000000000005</v>
      </c>
      <c r="F44" s="287">
        <f>F37+F38+F39+F40</f>
        <v>325.92</v>
      </c>
      <c r="G44" s="287">
        <f>G37+G38+G39+G40</f>
        <v>623.79999999999995</v>
      </c>
      <c r="H44" s="8"/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G48" s="8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561"/>
      <c r="J49" s="366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9"/>
  <sheetViews>
    <sheetView topLeftCell="A28" zoomScale="85" zoomScaleNormal="85" zoomScaleSheetLayoutView="70" zoomScalePageLayoutView="70" workbookViewId="0">
      <selection activeCell="K89" sqref="K8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082" t="s">
        <v>359</v>
      </c>
      <c r="B1" s="1082"/>
      <c r="C1" s="1082"/>
      <c r="D1" s="1082"/>
      <c r="E1" s="1082"/>
      <c r="F1" s="1082"/>
      <c r="G1" s="1082"/>
      <c r="H1" s="1082"/>
      <c r="I1" s="1082"/>
      <c r="J1" s="1082"/>
      <c r="K1" s="1082"/>
      <c r="L1" s="1082"/>
      <c r="M1" s="1082"/>
      <c r="V1" s="693"/>
      <c r="W1" s="667"/>
      <c r="X1" s="694"/>
    </row>
    <row r="2" spans="1:35" ht="15.75" thickBot="1">
      <c r="A2" s="1083"/>
      <c r="B2" s="1083"/>
      <c r="C2" s="1083"/>
      <c r="D2" s="1083"/>
      <c r="E2" s="1083"/>
      <c r="F2" s="1083"/>
      <c r="G2" s="1083"/>
      <c r="H2" s="1083"/>
      <c r="I2" s="1083"/>
      <c r="J2" s="1083"/>
      <c r="K2" s="1083"/>
      <c r="L2" s="1083"/>
      <c r="M2" s="1083"/>
      <c r="N2" s="695"/>
      <c r="O2" s="1106" t="s">
        <v>287</v>
      </c>
      <c r="P2" s="1106"/>
      <c r="Q2" s="1106"/>
      <c r="R2" s="366"/>
      <c r="S2" s="1106" t="s">
        <v>288</v>
      </c>
      <c r="T2" s="1106"/>
      <c r="U2" s="110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091" t="s">
        <v>335</v>
      </c>
      <c r="B3" s="1037"/>
      <c r="C3" s="1037"/>
      <c r="D3" s="1037"/>
      <c r="E3" s="1037"/>
      <c r="F3" s="1037"/>
      <c r="G3" s="1038"/>
      <c r="H3" s="1097" t="s">
        <v>339</v>
      </c>
      <c r="I3" s="1098"/>
      <c r="J3" s="1098"/>
      <c r="K3" s="1098"/>
      <c r="L3" s="1098"/>
      <c r="M3" s="1099"/>
      <c r="N3" s="695"/>
      <c r="O3" s="699" t="s">
        <v>2</v>
      </c>
      <c r="P3" s="699" t="s">
        <v>34</v>
      </c>
      <c r="Q3" s="699" t="s">
        <v>35</v>
      </c>
      <c r="R3" s="366"/>
      <c r="S3" s="699" t="s">
        <v>2</v>
      </c>
      <c r="T3" s="699" t="s">
        <v>34</v>
      </c>
      <c r="U3" s="699" t="s">
        <v>35</v>
      </c>
      <c r="V3" s="696"/>
      <c r="W3" s="696"/>
      <c r="X3" s="366"/>
      <c r="Y3" s="696"/>
      <c r="Z3" s="668"/>
      <c r="AA3" s="366"/>
      <c r="AB3" s="366"/>
      <c r="AC3" s="366"/>
      <c r="AD3" s="696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688" t="s">
        <v>34</v>
      </c>
      <c r="C4" s="36" t="s">
        <v>35</v>
      </c>
      <c r="D4" s="36" t="s">
        <v>38</v>
      </c>
      <c r="E4" s="36" t="s">
        <v>42</v>
      </c>
      <c r="F4" s="688" t="s">
        <v>36</v>
      </c>
      <c r="G4" s="100" t="s">
        <v>173</v>
      </c>
      <c r="H4" s="1078"/>
      <c r="I4" s="1079"/>
      <c r="J4" s="689" t="s">
        <v>35</v>
      </c>
      <c r="K4" s="689" t="s">
        <v>38</v>
      </c>
      <c r="L4" s="689" t="s">
        <v>42</v>
      </c>
      <c r="M4" s="100" t="s">
        <v>44</v>
      </c>
      <c r="N4" s="522"/>
      <c r="O4" s="662">
        <v>43959</v>
      </c>
      <c r="P4" s="714" t="s">
        <v>338</v>
      </c>
      <c r="Q4" s="663">
        <v>975</v>
      </c>
      <c r="R4" s="449">
        <f>Q4+U4</f>
        <v>1265</v>
      </c>
      <c r="S4" s="662">
        <v>43959</v>
      </c>
      <c r="T4" s="714" t="s">
        <v>338</v>
      </c>
      <c r="U4" s="663">
        <v>290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43957</v>
      </c>
      <c r="B5" s="161" t="s">
        <v>337</v>
      </c>
      <c r="C5" s="275">
        <v>128.15</v>
      </c>
      <c r="D5" s="275">
        <v>128.15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094" t="s">
        <v>40</v>
      </c>
      <c r="I5" s="1095"/>
      <c r="J5" s="482">
        <v>999.89</v>
      </c>
      <c r="K5" s="737">
        <f>670+230+99.89</f>
        <v>999.89</v>
      </c>
      <c r="L5" s="481">
        <f>J5-K5</f>
        <v>0</v>
      </c>
      <c r="M5" s="101">
        <v>43955</v>
      </c>
      <c r="N5" s="449"/>
      <c r="O5" s="662">
        <v>43962</v>
      </c>
      <c r="P5" s="714" t="s">
        <v>101</v>
      </c>
      <c r="Q5" s="663">
        <v>104.64</v>
      </c>
      <c r="R5" s="366"/>
      <c r="S5" s="662">
        <v>43962</v>
      </c>
      <c r="T5" s="714" t="s">
        <v>101</v>
      </c>
      <c r="U5" s="663">
        <v>52.32</v>
      </c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43962</v>
      </c>
      <c r="B6" s="161" t="s">
        <v>256</v>
      </c>
      <c r="C6" s="275">
        <v>306.48</v>
      </c>
      <c r="D6" s="275">
        <v>306.48</v>
      </c>
      <c r="E6" s="576" t="str">
        <f t="shared" ref="E6:E19" si="0">IF(C6-D6=0,"",C6-D6)</f>
        <v/>
      </c>
      <c r="F6" s="162" t="str">
        <f t="shared" ref="F6:F19" si="1">IF(C6=0,"",IF(C6-D6=0,"оплачено","ОЖИДАЕТСЯ оплата"))</f>
        <v>оплачено</v>
      </c>
      <c r="G6" s="162"/>
      <c r="H6" s="340"/>
      <c r="I6" s="366"/>
      <c r="J6" s="514">
        <f>SUM(J5:J5)</f>
        <v>999.89</v>
      </c>
      <c r="K6" s="366"/>
      <c r="L6" s="84"/>
      <c r="M6" s="314"/>
      <c r="N6" s="366"/>
      <c r="O6" s="662">
        <v>43960</v>
      </c>
      <c r="P6" s="714" t="s">
        <v>27</v>
      </c>
      <c r="Q6" s="663">
        <v>659.75</v>
      </c>
      <c r="R6" s="366"/>
      <c r="S6" s="662">
        <v>43960</v>
      </c>
      <c r="T6" s="714" t="s">
        <v>27</v>
      </c>
      <c r="U6" s="663">
        <v>100.2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62"/>
      <c r="AG6" s="1062"/>
      <c r="AH6" s="366"/>
      <c r="AI6" s="366"/>
    </row>
    <row r="7" spans="1:35" s="86" customFormat="1">
      <c r="A7" s="325">
        <v>43964</v>
      </c>
      <c r="B7" s="161" t="s">
        <v>254</v>
      </c>
      <c r="C7" s="275">
        <v>131.94999999999999</v>
      </c>
      <c r="D7" s="275">
        <v>131.94999999999999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366"/>
      <c r="K7" s="366"/>
      <c r="L7" s="366"/>
      <c r="M7" s="314"/>
      <c r="N7" s="366"/>
      <c r="O7" s="662">
        <v>43960</v>
      </c>
      <c r="P7" s="714" t="s">
        <v>133</v>
      </c>
      <c r="Q7" s="663">
        <v>590</v>
      </c>
      <c r="R7" s="366"/>
      <c r="S7" s="662">
        <v>43960</v>
      </c>
      <c r="T7" s="714" t="s">
        <v>133</v>
      </c>
      <c r="U7" s="663">
        <v>339.1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62"/>
      <c r="AG7" s="1062"/>
      <c r="AH7" s="366"/>
      <c r="AI7" s="366"/>
    </row>
    <row r="8" spans="1:35" s="86" customFormat="1">
      <c r="A8" s="325">
        <v>43963</v>
      </c>
      <c r="B8" s="161" t="s">
        <v>341</v>
      </c>
      <c r="C8" s="275">
        <v>1235.4000000000001</v>
      </c>
      <c r="D8" s="275">
        <v>1235.4000000000001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2">
        <v>43964</v>
      </c>
      <c r="P8" s="714" t="s">
        <v>64</v>
      </c>
      <c r="Q8" s="683">
        <f>274.6*2.5</f>
        <v>686.5</v>
      </c>
      <c r="R8" s="366"/>
      <c r="S8" s="662">
        <v>43964</v>
      </c>
      <c r="T8" s="714" t="s">
        <v>64</v>
      </c>
      <c r="U8" s="663">
        <f>232.7*2.5</f>
        <v>581.75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43964</v>
      </c>
      <c r="B9" s="161" t="s">
        <v>342</v>
      </c>
      <c r="C9" s="275">
        <v>2038.62</v>
      </c>
      <c r="D9" s="275">
        <v>2038.62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697"/>
      <c r="O9" s="662">
        <v>43962</v>
      </c>
      <c r="P9" s="714" t="s">
        <v>133</v>
      </c>
      <c r="Q9" s="663">
        <v>206.4</v>
      </c>
      <c r="R9" s="366"/>
      <c r="S9" s="662">
        <v>43962</v>
      </c>
      <c r="T9" s="714" t="s">
        <v>133</v>
      </c>
      <c r="U9" s="663">
        <v>253.6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43965</v>
      </c>
      <c r="B10" s="161" t="s">
        <v>330</v>
      </c>
      <c r="C10" s="275">
        <v>205.58</v>
      </c>
      <c r="D10" s="275">
        <v>205.58</v>
      </c>
      <c r="E10" s="576" t="str">
        <f t="shared" si="0"/>
        <v/>
      </c>
      <c r="F10" s="162" t="str">
        <f t="shared" si="1"/>
        <v>оплачено</v>
      </c>
      <c r="G10" s="162"/>
      <c r="H10" s="43"/>
      <c r="I10" s="1"/>
      <c r="J10" s="366"/>
      <c r="K10" s="1"/>
      <c r="L10" s="1"/>
      <c r="M10" s="44"/>
      <c r="N10" s="697"/>
      <c r="O10" s="664" t="s">
        <v>348</v>
      </c>
      <c r="P10" s="58" t="s">
        <v>132</v>
      </c>
      <c r="Q10" s="718">
        <v>1200</v>
      </c>
      <c r="R10" s="366"/>
      <c r="S10" s="662"/>
      <c r="T10" s="714" t="s">
        <v>347</v>
      </c>
      <c r="U10" s="663">
        <v>2000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>
        <v>43970</v>
      </c>
      <c r="B11" s="161" t="s">
        <v>350</v>
      </c>
      <c r="C11" s="275">
        <v>1202</v>
      </c>
      <c r="D11" s="275">
        <v>1202</v>
      </c>
      <c r="E11" s="576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697"/>
      <c r="O11" s="664" t="s">
        <v>348</v>
      </c>
      <c r="P11" s="58" t="s">
        <v>349</v>
      </c>
      <c r="Q11" s="663"/>
      <c r="R11" s="366"/>
      <c r="S11" s="664">
        <v>43976</v>
      </c>
      <c r="T11" s="714" t="s">
        <v>27</v>
      </c>
      <c r="U11" s="663">
        <v>344.25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>
        <v>43979</v>
      </c>
      <c r="B12" s="161" t="s">
        <v>350</v>
      </c>
      <c r="C12" s="275">
        <v>298.24</v>
      </c>
      <c r="D12" s="275">
        <v>298.24</v>
      </c>
      <c r="E12" s="576" t="str">
        <f t="shared" si="0"/>
        <v/>
      </c>
      <c r="F12" s="162" t="str">
        <f t="shared" si="1"/>
        <v>оплачено</v>
      </c>
      <c r="G12" s="162"/>
      <c r="H12" s="43"/>
      <c r="I12" s="1"/>
      <c r="J12" s="366"/>
      <c r="K12" s="1"/>
      <c r="L12" s="1"/>
      <c r="M12" s="44"/>
      <c r="N12" s="697"/>
      <c r="O12" s="664">
        <v>43976</v>
      </c>
      <c r="P12" s="722" t="s">
        <v>27</v>
      </c>
      <c r="Q12" s="663">
        <v>374.55</v>
      </c>
      <c r="R12" s="366"/>
      <c r="S12" s="714"/>
      <c r="T12" s="714"/>
      <c r="U12" s="663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>
        <v>43981</v>
      </c>
      <c r="B13" s="161" t="s">
        <v>354</v>
      </c>
      <c r="C13" s="275">
        <v>903.69</v>
      </c>
      <c r="D13" s="275">
        <v>903.69</v>
      </c>
      <c r="E13" s="576" t="str">
        <f t="shared" si="0"/>
        <v/>
      </c>
      <c r="F13" s="162" t="str">
        <f t="shared" si="1"/>
        <v>оплачено</v>
      </c>
      <c r="G13" s="162"/>
      <c r="H13" s="43"/>
      <c r="I13" s="1"/>
      <c r="J13" s="366"/>
      <c r="K13" s="1"/>
      <c r="L13" s="1"/>
      <c r="M13" s="44"/>
      <c r="N13" s="697"/>
      <c r="O13" s="684"/>
      <c r="P13" s="714"/>
      <c r="Q13" s="663"/>
      <c r="R13" s="366"/>
      <c r="S13" s="714"/>
      <c r="T13" s="714"/>
      <c r="U13" s="476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697"/>
      <c r="O14" s="684"/>
      <c r="P14" s="714"/>
      <c r="Q14" s="663"/>
      <c r="R14" s="366"/>
      <c r="S14" s="714"/>
      <c r="T14" s="714"/>
      <c r="U14" s="663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295"/>
      <c r="O15" s="684"/>
      <c r="P15" s="714"/>
      <c r="Q15" s="714"/>
      <c r="R15" s="366"/>
      <c r="S15" s="714"/>
      <c r="T15" s="714"/>
      <c r="U15" s="663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684"/>
      <c r="P16" s="714"/>
      <c r="Q16" s="714"/>
      <c r="R16" s="366"/>
      <c r="S16" s="714"/>
      <c r="T16" s="714"/>
      <c r="U16" s="663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684"/>
      <c r="P17" s="714"/>
      <c r="Q17" s="714"/>
      <c r="R17" s="366"/>
      <c r="S17" s="714"/>
      <c r="T17" s="714"/>
      <c r="U17" s="663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684"/>
      <c r="P18" s="714"/>
      <c r="Q18" s="161"/>
      <c r="R18" s="366"/>
      <c r="S18" s="714"/>
      <c r="T18" s="714"/>
      <c r="U18" s="663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150"/>
      <c r="O19" s="684"/>
      <c r="P19" s="663"/>
      <c r="Q19" s="714"/>
      <c r="R19" s="366"/>
      <c r="S19" s="714"/>
      <c r="T19" s="714"/>
      <c r="U19" s="663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092" t="s">
        <v>259</v>
      </c>
      <c r="B20" s="1093"/>
      <c r="C20" s="358">
        <f>SUM(C5:C19)</f>
        <v>6450.1100000000006</v>
      </c>
      <c r="D20" s="358"/>
      <c r="E20" s="160">
        <f>SUM(E5:E19)</f>
        <v>0</v>
      </c>
      <c r="F20" s="162"/>
      <c r="G20" s="451"/>
      <c r="H20" s="43"/>
      <c r="I20" s="1"/>
      <c r="J20" s="366"/>
      <c r="K20" s="1"/>
      <c r="L20" s="1"/>
      <c r="M20" s="44"/>
      <c r="N20" s="1"/>
      <c r="O20" s="684"/>
      <c r="P20" s="663"/>
      <c r="Q20" s="714"/>
      <c r="R20" s="366"/>
      <c r="S20" s="714"/>
      <c r="T20" s="714"/>
      <c r="U20" s="663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39" t="s">
        <v>16</v>
      </c>
      <c r="I21" s="1041" t="s">
        <v>17</v>
      </c>
      <c r="J21" s="1041" t="s">
        <v>21</v>
      </c>
      <c r="K21" s="1041"/>
      <c r="L21" s="1043" t="s">
        <v>93</v>
      </c>
      <c r="M21" s="1045" t="s">
        <v>95</v>
      </c>
      <c r="N21" s="1"/>
      <c r="O21" s="448"/>
      <c r="P21" s="366"/>
      <c r="Q21" s="366">
        <f>SUM(Q4:Q20)</f>
        <v>4796.8400000000011</v>
      </c>
      <c r="R21" s="366"/>
      <c r="S21" s="366"/>
      <c r="T21" s="366"/>
      <c r="U21" s="449">
        <f>SUM(U4:U20)</f>
        <v>3961.22</v>
      </c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040"/>
      <c r="I22" s="1042"/>
      <c r="J22" s="692" t="s">
        <v>21</v>
      </c>
      <c r="K22" s="692" t="s">
        <v>25</v>
      </c>
      <c r="L22" s="1044"/>
      <c r="M22" s="1046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2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2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2"/>
        <v>112611.86999999998</v>
      </c>
      <c r="N27" s="1"/>
      <c r="O27" s="448"/>
      <c r="P27" s="84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2"/>
        <v>98984.919999999984</v>
      </c>
      <c r="N28" s="1"/>
      <c r="O28" s="366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2"/>
        <v>91825.64999999998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2"/>
        <v>89703.379999999976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2"/>
        <v>94325.64999999998</v>
      </c>
      <c r="N31" s="1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297">
        <v>28933.9</v>
      </c>
      <c r="J32" s="438">
        <v>954.3</v>
      </c>
      <c r="K32" s="645">
        <v>1267.8599999999999</v>
      </c>
      <c r="L32" s="645">
        <v>22833.599999999999</v>
      </c>
      <c r="M32" s="104">
        <f t="shared" si="2"/>
        <v>86003.189999999973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104">
        <v>70105.570000000007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727" t="s">
        <v>9</v>
      </c>
      <c r="I34" s="661">
        <f>'зп май'!J35</f>
        <v>22761.37</v>
      </c>
      <c r="J34" s="648">
        <f>116.9+42+40.8+6+67.5+160+87+4.9+69+6+31.5+264.5+501.5+19+1.4+367.5</f>
        <v>1785.5</v>
      </c>
      <c r="K34" s="649">
        <v>996.7</v>
      </c>
      <c r="L34" s="649">
        <v>30847</v>
      </c>
      <c r="M34" s="104">
        <f>M33-I34-J34-K34+L34</f>
        <v>75409.000000000015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1023" t="s">
        <v>36</v>
      </c>
      <c r="I35" s="1025" t="s">
        <v>178</v>
      </c>
      <c r="J35" s="1026"/>
      <c r="K35" s="1027"/>
      <c r="L35" s="1031" t="s">
        <v>159</v>
      </c>
      <c r="M35" s="1032"/>
      <c r="N35" s="1"/>
      <c r="P35" s="84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1024"/>
      <c r="I36" s="1028"/>
      <c r="J36" s="1029"/>
      <c r="K36" s="1030"/>
      <c r="L36" s="1033"/>
      <c r="M36" s="1034"/>
      <c r="N36" s="1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102" t="s">
        <v>47</v>
      </c>
      <c r="J37" s="1102"/>
      <c r="K37" s="711">
        <v>328.13</v>
      </c>
      <c r="L37" s="282">
        <v>43966</v>
      </c>
      <c r="M37" s="44" t="s">
        <v>269</v>
      </c>
      <c r="N37" s="150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100" t="s">
        <v>51</v>
      </c>
      <c r="J38" s="1100"/>
      <c r="K38" s="712">
        <v>71.83</v>
      </c>
      <c r="L38" s="282">
        <v>43966</v>
      </c>
      <c r="M38" s="44" t="s">
        <v>269</v>
      </c>
      <c r="N38" s="1"/>
      <c r="O38" s="12"/>
      <c r="P38" s="84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100" t="s">
        <v>52</v>
      </c>
      <c r="J39" s="1100"/>
      <c r="K39" s="712">
        <v>5.63</v>
      </c>
      <c r="L39" s="282">
        <v>43966</v>
      </c>
      <c r="M39" s="44" t="s">
        <v>269</v>
      </c>
      <c r="N39" s="1"/>
      <c r="P39" s="84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100" t="s">
        <v>49</v>
      </c>
      <c r="J40" s="1100"/>
      <c r="K40" s="724">
        <v>314</v>
      </c>
      <c r="L40" s="282">
        <v>43971</v>
      </c>
      <c r="M40" s="44" t="s">
        <v>41</v>
      </c>
      <c r="N40" s="150"/>
      <c r="P40" s="760"/>
      <c r="Q40" s="366"/>
      <c r="R40" s="696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101" t="s">
        <v>59</v>
      </c>
      <c r="J41" s="1101"/>
      <c r="K41" s="725">
        <v>101.89</v>
      </c>
      <c r="L41" s="302" t="s">
        <v>177</v>
      </c>
      <c r="M41" s="44" t="s">
        <v>269</v>
      </c>
      <c r="N41" s="1"/>
      <c r="P41" s="685"/>
      <c r="Q41" s="366"/>
      <c r="R41" s="696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089" t="s">
        <v>68</v>
      </c>
      <c r="J42" s="1090"/>
      <c r="K42" s="699">
        <f>191.92+87</f>
        <v>278.91999999999996</v>
      </c>
      <c r="L42" s="282">
        <v>43971</v>
      </c>
      <c r="M42" s="44" t="s">
        <v>269</v>
      </c>
      <c r="O42" s="12"/>
      <c r="P42" s="682"/>
      <c r="Q42" s="696"/>
      <c r="R42" s="696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700" t="s">
        <v>174</v>
      </c>
      <c r="J43" s="701"/>
      <c r="K43" s="5">
        <f>337.71+180.88</f>
        <v>518.58999999999992</v>
      </c>
      <c r="L43" s="282">
        <v>43966</v>
      </c>
      <c r="M43" s="44" t="s">
        <v>269</v>
      </c>
      <c r="N43" s="12"/>
      <c r="P43" s="682"/>
      <c r="Q43" s="696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726" t="s">
        <v>241</v>
      </c>
      <c r="I44" s="700" t="s">
        <v>176</v>
      </c>
      <c r="J44" s="701"/>
      <c r="K44" s="699" t="s">
        <v>258</v>
      </c>
      <c r="L44" s="282">
        <v>43971</v>
      </c>
      <c r="M44" s="44" t="s">
        <v>269</v>
      </c>
      <c r="N44" s="1"/>
      <c r="O44" s="12"/>
      <c r="P44" s="449"/>
      <c r="Q44" s="696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089" t="s">
        <v>81</v>
      </c>
      <c r="J45" s="1090"/>
      <c r="K45" s="699">
        <v>1143.98</v>
      </c>
      <c r="L45" s="282">
        <v>43966</v>
      </c>
      <c r="M45" s="44" t="s">
        <v>269</v>
      </c>
      <c r="N45" s="1" t="s">
        <v>351</v>
      </c>
      <c r="O45" s="366"/>
      <c r="P45" s="449"/>
      <c r="Q45" s="696"/>
      <c r="R45" s="696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089" t="s">
        <v>181</v>
      </c>
      <c r="J46" s="1090"/>
      <c r="K46" s="699">
        <v>10</v>
      </c>
      <c r="L46" s="282">
        <v>43966</v>
      </c>
      <c r="M46" s="44" t="s">
        <v>269</v>
      </c>
      <c r="N46" s="1"/>
      <c r="O46" s="12"/>
      <c r="P46" s="145"/>
      <c r="Q46" s="696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 t="s">
        <v>343</v>
      </c>
      <c r="B47" s="199"/>
      <c r="C47" s="366"/>
      <c r="D47" s="273"/>
      <c r="E47" s="232"/>
      <c r="F47" s="366"/>
      <c r="G47" s="366"/>
      <c r="H47" s="529" t="s">
        <v>250</v>
      </c>
      <c r="I47" s="1017" t="s">
        <v>61</v>
      </c>
      <c r="J47" s="1017"/>
      <c r="K47" s="93">
        <f>L5</f>
        <v>0</v>
      </c>
      <c r="L47" s="282">
        <v>43971</v>
      </c>
      <c r="M47" s="44" t="s">
        <v>269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017" t="s">
        <v>298</v>
      </c>
      <c r="J48" s="1017"/>
      <c r="K48" s="93">
        <v>73</v>
      </c>
      <c r="L48" s="282">
        <v>43971</v>
      </c>
      <c r="M48" s="44" t="s">
        <v>269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017" t="s">
        <v>299</v>
      </c>
      <c r="J49" s="1017"/>
      <c r="K49" s="93">
        <v>50</v>
      </c>
      <c r="L49" s="282">
        <v>43966</v>
      </c>
      <c r="M49" s="44" t="s">
        <v>269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017" t="s">
        <v>300</v>
      </c>
      <c r="J50" s="1017"/>
      <c r="K50" s="93">
        <v>150</v>
      </c>
      <c r="L50" s="282">
        <v>43981</v>
      </c>
      <c r="M50" s="44" t="s">
        <v>269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017" t="s">
        <v>325</v>
      </c>
      <c r="J51" s="1017"/>
      <c r="K51" s="93">
        <v>18</v>
      </c>
      <c r="L51" s="282">
        <v>43966</v>
      </c>
      <c r="M51" s="44" t="s">
        <v>269</v>
      </c>
      <c r="N51" s="1"/>
      <c r="O51" s="150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07" t="s">
        <v>179</v>
      </c>
      <c r="I52" s="1108"/>
      <c r="J52" s="361">
        <f>SUM(K37:K51)</f>
        <v>3063.97</v>
      </c>
      <c r="K52" s="1018" t="s">
        <v>180</v>
      </c>
      <c r="L52" s="1018"/>
      <c r="M52" s="486">
        <f>K47</f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081"/>
      <c r="I53" s="1081"/>
      <c r="J53" s="1081"/>
      <c r="K53" s="1081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082" t="s">
        <v>357</v>
      </c>
      <c r="B54" s="1082"/>
      <c r="C54" s="1082"/>
      <c r="D54" s="1082"/>
      <c r="E54" s="1082"/>
      <c r="F54" s="1082"/>
      <c r="G54" s="1082"/>
      <c r="H54" s="1082"/>
      <c r="I54" s="1082"/>
      <c r="J54" s="1082"/>
      <c r="K54" s="1082"/>
      <c r="L54" s="1082"/>
      <c r="M54" s="1082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083"/>
      <c r="B55" s="1083"/>
      <c r="C55" s="1083"/>
      <c r="D55" s="1083"/>
      <c r="E55" s="1083"/>
      <c r="F55" s="1083"/>
      <c r="G55" s="1083"/>
      <c r="H55" s="1083"/>
      <c r="I55" s="1083"/>
      <c r="J55" s="1083"/>
      <c r="K55" s="1083"/>
      <c r="L55" s="1083"/>
      <c r="M55" s="1083"/>
      <c r="N55" s="1"/>
      <c r="P55" s="449"/>
      <c r="Q55" s="365"/>
      <c r="R55" s="365"/>
      <c r="S55" s="696"/>
      <c r="T55" s="366"/>
      <c r="U55" s="366"/>
      <c r="V55" s="366"/>
      <c r="W55" s="366"/>
      <c r="X55" s="366"/>
    </row>
    <row r="56" spans="1:25" ht="15.75" thickTop="1">
      <c r="A56" s="1091" t="s">
        <v>346</v>
      </c>
      <c r="B56" s="1037"/>
      <c r="C56" s="1037"/>
      <c r="D56" s="1037"/>
      <c r="E56" s="1037"/>
      <c r="F56" s="1037"/>
      <c r="G56" s="1038"/>
      <c r="H56" s="1121" t="s">
        <v>345</v>
      </c>
      <c r="I56" s="1122"/>
      <c r="J56" s="1122"/>
      <c r="K56" s="1122"/>
      <c r="L56" s="1122"/>
      <c r="M56" s="1123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688" t="s">
        <v>34</v>
      </c>
      <c r="C57" s="36" t="s">
        <v>35</v>
      </c>
      <c r="D57" s="36" t="s">
        <v>38</v>
      </c>
      <c r="E57" s="36" t="s">
        <v>42</v>
      </c>
      <c r="F57" s="688" t="s">
        <v>36</v>
      </c>
      <c r="G57" s="100" t="s">
        <v>173</v>
      </c>
      <c r="H57" s="715" t="s">
        <v>2</v>
      </c>
      <c r="I57" s="1105" t="s">
        <v>34</v>
      </c>
      <c r="J57" s="1105"/>
      <c r="K57" s="713" t="s">
        <v>35</v>
      </c>
      <c r="L57" s="1124" t="s">
        <v>173</v>
      </c>
      <c r="M57" s="1125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720" t="s">
        <v>263</v>
      </c>
      <c r="C58" s="275">
        <v>1008.8</v>
      </c>
      <c r="D58" s="275">
        <f>508.8+250+250</f>
        <v>1008.8</v>
      </c>
      <c r="E58" s="576" t="str">
        <f t="shared" ref="E58:E63" si="3">IF(C58-D58=0,"",C58-D58)</f>
        <v/>
      </c>
      <c r="F58" s="162" t="str">
        <f t="shared" ref="F58:F63" si="4">IF(C58=0,"",IF(C58-D58=0,"оплачено","ОЖИДАЕТСЯ оплата"))</f>
        <v>оплачено</v>
      </c>
      <c r="G58" s="162"/>
      <c r="H58" s="717">
        <f t="shared" ref="H58:I63" si="5">S4</f>
        <v>43959</v>
      </c>
      <c r="I58" s="1115" t="str">
        <f t="shared" si="5"/>
        <v>jess nail</v>
      </c>
      <c r="J58" s="1116"/>
      <c r="K58" s="481">
        <f t="shared" ref="K58:K63" si="6">U4</f>
        <v>290</v>
      </c>
      <c r="L58" s="1117"/>
      <c r="M58" s="1118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43955</v>
      </c>
      <c r="B59" s="719" t="s">
        <v>330</v>
      </c>
      <c r="C59" s="275">
        <v>589.83000000000004</v>
      </c>
      <c r="D59" s="275">
        <v>589.83000000000004</v>
      </c>
      <c r="E59" s="576" t="str">
        <f t="shared" si="3"/>
        <v/>
      </c>
      <c r="F59" s="162" t="str">
        <f t="shared" si="4"/>
        <v>оплачено</v>
      </c>
      <c r="G59" s="162"/>
      <c r="H59" s="717">
        <f t="shared" si="5"/>
        <v>43962</v>
      </c>
      <c r="I59" s="1115" t="str">
        <f t="shared" si="5"/>
        <v>джамп</v>
      </c>
      <c r="J59" s="1116"/>
      <c r="K59" s="481">
        <f t="shared" si="6"/>
        <v>52.32</v>
      </c>
      <c r="L59" s="1117"/>
      <c r="M59" s="1118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43950</v>
      </c>
      <c r="B60" s="161" t="s">
        <v>330</v>
      </c>
      <c r="C60" s="275">
        <v>361.38</v>
      </c>
      <c r="D60" s="275">
        <v>361.38</v>
      </c>
      <c r="E60" s="576" t="str">
        <f t="shared" si="3"/>
        <v/>
      </c>
      <c r="F60" s="162" t="str">
        <f t="shared" si="4"/>
        <v>оплачено</v>
      </c>
      <c r="G60" s="162"/>
      <c r="H60" s="717">
        <f t="shared" si="5"/>
        <v>43960</v>
      </c>
      <c r="I60" s="1115" t="str">
        <f t="shared" si="5"/>
        <v>граттол</v>
      </c>
      <c r="J60" s="1116"/>
      <c r="K60" s="481">
        <f t="shared" si="6"/>
        <v>100.2</v>
      </c>
      <c r="L60" s="1119"/>
      <c r="M60" s="1120"/>
      <c r="N60" s="1"/>
      <c r="P60" s="449"/>
      <c r="T60" s="366"/>
      <c r="U60" s="366"/>
    </row>
    <row r="61" spans="1:25">
      <c r="A61" s="325">
        <v>43956</v>
      </c>
      <c r="B61" s="161" t="s">
        <v>336</v>
      </c>
      <c r="C61" s="275">
        <v>331.25</v>
      </c>
      <c r="D61" s="275">
        <v>331.25</v>
      </c>
      <c r="E61" s="576" t="str">
        <f t="shared" si="3"/>
        <v/>
      </c>
      <c r="F61" s="162" t="str">
        <f t="shared" si="4"/>
        <v>оплачено</v>
      </c>
      <c r="G61" s="162"/>
      <c r="H61" s="717">
        <f t="shared" si="5"/>
        <v>43960</v>
      </c>
      <c r="I61" s="1115" t="str">
        <f t="shared" si="5"/>
        <v>киеми</v>
      </c>
      <c r="J61" s="1116"/>
      <c r="K61" s="481">
        <f t="shared" si="6"/>
        <v>339.1</v>
      </c>
      <c r="L61" s="1119"/>
      <c r="M61" s="1120"/>
      <c r="N61" s="1"/>
      <c r="P61" s="449"/>
      <c r="U61" s="366"/>
    </row>
    <row r="62" spans="1:25">
      <c r="A62" s="325">
        <v>43957</v>
      </c>
      <c r="B62" s="161" t="s">
        <v>320</v>
      </c>
      <c r="C62" s="275">
        <v>376.62</v>
      </c>
      <c r="D62" s="275">
        <v>376.62</v>
      </c>
      <c r="E62" s="576" t="str">
        <f t="shared" si="3"/>
        <v/>
      </c>
      <c r="F62" s="162" t="str">
        <f t="shared" si="4"/>
        <v>оплачено</v>
      </c>
      <c r="G62" s="162"/>
      <c r="H62" s="717">
        <f t="shared" si="5"/>
        <v>43964</v>
      </c>
      <c r="I62" s="1115" t="str">
        <f t="shared" si="5"/>
        <v>насир</v>
      </c>
      <c r="J62" s="1116"/>
      <c r="K62" s="481">
        <f t="shared" si="6"/>
        <v>581.75</v>
      </c>
      <c r="L62" s="1119"/>
      <c r="M62" s="1120"/>
      <c r="N62" s="1"/>
      <c r="P62" s="571"/>
      <c r="U62" s="366"/>
    </row>
    <row r="63" spans="1:25">
      <c r="A63" s="325">
        <v>43957</v>
      </c>
      <c r="B63" s="161" t="s">
        <v>337</v>
      </c>
      <c r="C63" s="275">
        <v>128.15</v>
      </c>
      <c r="D63" s="275">
        <v>128.15</v>
      </c>
      <c r="E63" s="576" t="str">
        <f t="shared" si="3"/>
        <v/>
      </c>
      <c r="F63" s="162" t="str">
        <f t="shared" si="4"/>
        <v>оплачено</v>
      </c>
      <c r="G63" s="162"/>
      <c r="H63" s="717">
        <f t="shared" si="5"/>
        <v>43962</v>
      </c>
      <c r="I63" s="1115" t="str">
        <f t="shared" si="5"/>
        <v>киеми</v>
      </c>
      <c r="J63" s="1116"/>
      <c r="K63" s="481">
        <f t="shared" si="6"/>
        <v>253.6</v>
      </c>
      <c r="L63" s="1119"/>
      <c r="M63" s="1120"/>
      <c r="N63" s="1"/>
      <c r="P63" s="86"/>
      <c r="U63" s="366"/>
    </row>
    <row r="64" spans="1:25" ht="14.45" customHeight="1">
      <c r="A64" s="325">
        <v>43962</v>
      </c>
      <c r="B64" s="161" t="s">
        <v>101</v>
      </c>
      <c r="C64" s="731">
        <v>194.74</v>
      </c>
      <c r="D64" s="732">
        <v>194.74</v>
      </c>
      <c r="E64" s="576" t="str">
        <f t="shared" ref="E64:E73" si="7">IF(C64-D64=0,"",C64-D64)</f>
        <v/>
      </c>
      <c r="F64" s="162" t="str">
        <f t="shared" ref="F64:F73" si="8">IF(C64=0,"",IF(C64-D64=0,"оплачено","ОЖИДАЕТСЯ оплата"))</f>
        <v>оплачено</v>
      </c>
      <c r="G64" s="162"/>
      <c r="H64" s="717" t="str">
        <f>IF(S10="","",S10)</f>
        <v/>
      </c>
      <c r="I64" s="1115" t="str">
        <f>IF(T10="","",T10)</f>
        <v>зингер</v>
      </c>
      <c r="J64" s="1116"/>
      <c r="K64" s="481">
        <f>IF(U10="","",U10)</f>
        <v>2000</v>
      </c>
      <c r="L64" s="1054"/>
      <c r="M64" s="1112"/>
      <c r="N64" s="1"/>
      <c r="P64" s="86"/>
    </row>
    <row r="65" spans="1:21" ht="14.45" customHeight="1">
      <c r="A65" s="325">
        <v>43962</v>
      </c>
      <c r="B65" s="161" t="s">
        <v>336</v>
      </c>
      <c r="C65" s="275">
        <v>377</v>
      </c>
      <c r="D65" s="275">
        <v>377</v>
      </c>
      <c r="E65" s="576" t="str">
        <f t="shared" si="7"/>
        <v/>
      </c>
      <c r="F65" s="162" t="str">
        <f t="shared" si="8"/>
        <v>оплачено</v>
      </c>
      <c r="G65" s="162"/>
      <c r="H65" s="717">
        <v>43976</v>
      </c>
      <c r="I65" s="1115" t="str">
        <f t="shared" ref="I65" si="9">IF(T11="","",T11)</f>
        <v>граттол</v>
      </c>
      <c r="J65" s="1116"/>
      <c r="K65" s="481">
        <v>344.25</v>
      </c>
      <c r="L65" s="1054"/>
      <c r="M65" s="1112"/>
      <c r="N65" s="1"/>
    </row>
    <row r="66" spans="1:21" ht="14.45" customHeight="1">
      <c r="A66" s="325">
        <v>43963</v>
      </c>
      <c r="B66" s="161" t="s">
        <v>221</v>
      </c>
      <c r="C66" s="275">
        <v>295.05</v>
      </c>
      <c r="D66" s="275">
        <v>295.05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ref="H66:H73" si="10">IF(S12="","",S12)</f>
        <v/>
      </c>
      <c r="I66" s="1115" t="str">
        <f>IF(T12="","",T12)</f>
        <v/>
      </c>
      <c r="J66" s="1116"/>
      <c r="K66" s="481" t="str">
        <f>IF(U12="","",U12)</f>
        <v/>
      </c>
      <c r="L66" s="1054"/>
      <c r="M66" s="1112"/>
      <c r="N66" s="1"/>
      <c r="O66" s="366"/>
    </row>
    <row r="67" spans="1:21">
      <c r="A67" s="325">
        <v>43963</v>
      </c>
      <c r="B67" s="161" t="s">
        <v>330</v>
      </c>
      <c r="C67" s="275">
        <v>471.64</v>
      </c>
      <c r="D67" s="275">
        <v>471.64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10"/>
        <v/>
      </c>
      <c r="I67" s="1115" t="str">
        <f t="shared" ref="I67:I73" si="11">IF(T13="","",T13)</f>
        <v/>
      </c>
      <c r="J67" s="1116"/>
      <c r="K67" s="481" t="str">
        <f>IF(U13="","",U13)</f>
        <v/>
      </c>
      <c r="L67" s="1054"/>
      <c r="M67" s="1112"/>
      <c r="N67" s="1"/>
      <c r="O67" s="366"/>
    </row>
    <row r="68" spans="1:21" s="86" customFormat="1">
      <c r="A68" s="325">
        <v>43963</v>
      </c>
      <c r="B68" s="161" t="s">
        <v>341</v>
      </c>
      <c r="C68" s="275">
        <v>88.32</v>
      </c>
      <c r="D68" s="275">
        <v>88.32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10"/>
        <v/>
      </c>
      <c r="I68" s="1115" t="str">
        <f t="shared" si="11"/>
        <v/>
      </c>
      <c r="J68" s="1116"/>
      <c r="K68" s="481" t="str">
        <f t="shared" ref="K68:K73" si="12">IF(U14="","",U14)</f>
        <v/>
      </c>
      <c r="L68" s="1119"/>
      <c r="M68" s="1120"/>
      <c r="N68" s="366"/>
      <c r="O68" s="84"/>
      <c r="P68" s="1"/>
      <c r="Q68" s="35"/>
      <c r="T68" s="35"/>
      <c r="U68" s="35"/>
    </row>
    <row r="69" spans="1:21">
      <c r="A69" s="325">
        <v>43964</v>
      </c>
      <c r="B69" s="161" t="s">
        <v>222</v>
      </c>
      <c r="C69" s="275">
        <v>370.74</v>
      </c>
      <c r="D69" s="275">
        <v>370.74</v>
      </c>
      <c r="E69" s="576" t="str">
        <f t="shared" si="7"/>
        <v/>
      </c>
      <c r="F69" s="162" t="str">
        <f t="shared" si="8"/>
        <v>оплачено</v>
      </c>
      <c r="G69" s="162"/>
      <c r="H69" s="717" t="str">
        <f t="shared" si="10"/>
        <v/>
      </c>
      <c r="I69" s="1115" t="str">
        <f t="shared" si="11"/>
        <v/>
      </c>
      <c r="J69" s="1116"/>
      <c r="K69" s="481" t="str">
        <f t="shared" si="12"/>
        <v/>
      </c>
      <c r="L69" s="1054"/>
      <c r="M69" s="1112"/>
      <c r="N69" s="1"/>
      <c r="O69" s="366"/>
      <c r="P69" s="1"/>
      <c r="T69" s="86"/>
    </row>
    <row r="70" spans="1:21">
      <c r="A70" s="325">
        <v>43972</v>
      </c>
      <c r="B70" s="161" t="s">
        <v>336</v>
      </c>
      <c r="C70" s="275">
        <v>107</v>
      </c>
      <c r="D70" s="275">
        <v>107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10"/>
        <v/>
      </c>
      <c r="I70" s="1115" t="str">
        <f t="shared" si="11"/>
        <v/>
      </c>
      <c r="J70" s="1116"/>
      <c r="K70" s="481" t="str">
        <f t="shared" si="12"/>
        <v/>
      </c>
      <c r="L70" s="1054"/>
      <c r="M70" s="1112"/>
      <c r="N70" s="1"/>
      <c r="O70" s="366"/>
      <c r="P70" s="366"/>
    </row>
    <row r="71" spans="1:21">
      <c r="A71" s="325">
        <v>43973</v>
      </c>
      <c r="B71" s="276" t="s">
        <v>263</v>
      </c>
      <c r="C71" s="721">
        <v>441.44</v>
      </c>
      <c r="D71" s="275"/>
      <c r="E71" s="576">
        <f t="shared" si="7"/>
        <v>441.44</v>
      </c>
      <c r="F71" s="162" t="str">
        <f t="shared" si="8"/>
        <v>ОЖИДАЕТСЯ оплата</v>
      </c>
      <c r="G71" s="162"/>
      <c r="H71" s="717" t="str">
        <f t="shared" si="10"/>
        <v/>
      </c>
      <c r="I71" s="1115" t="str">
        <f t="shared" si="11"/>
        <v/>
      </c>
      <c r="J71" s="1116"/>
      <c r="K71" s="481" t="str">
        <f t="shared" si="12"/>
        <v/>
      </c>
      <c r="L71" s="1054"/>
      <c r="M71" s="1112"/>
      <c r="N71" s="1"/>
      <c r="O71" s="84"/>
      <c r="P71" s="150"/>
    </row>
    <row r="72" spans="1:21">
      <c r="A72" s="325">
        <v>43985</v>
      </c>
      <c r="B72" s="161" t="s">
        <v>320</v>
      </c>
      <c r="C72" s="275">
        <v>308.64999999999998</v>
      </c>
      <c r="D72" s="275"/>
      <c r="E72" s="576">
        <f t="shared" si="7"/>
        <v>308.64999999999998</v>
      </c>
      <c r="F72" s="162" t="str">
        <f t="shared" si="8"/>
        <v>ОЖИДАЕТСЯ оплата</v>
      </c>
      <c r="G72" s="162"/>
      <c r="H72" s="717" t="str">
        <f t="shared" si="10"/>
        <v/>
      </c>
      <c r="I72" s="1115" t="str">
        <f t="shared" si="11"/>
        <v/>
      </c>
      <c r="J72" s="1116"/>
      <c r="K72" s="481" t="str">
        <f t="shared" si="12"/>
        <v/>
      </c>
      <c r="L72" s="1054"/>
      <c r="M72" s="1112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10"/>
        <v/>
      </c>
      <c r="I73" s="1115" t="str">
        <f t="shared" si="11"/>
        <v/>
      </c>
      <c r="J73" s="1116"/>
      <c r="K73" s="481" t="str">
        <f t="shared" si="12"/>
        <v/>
      </c>
      <c r="L73" s="1054"/>
      <c r="M73" s="1112"/>
      <c r="N73" s="1"/>
      <c r="O73" s="366"/>
      <c r="P73" s="1"/>
    </row>
    <row r="74" spans="1:21" ht="15.75" thickBot="1">
      <c r="A74" s="1092" t="s">
        <v>259</v>
      </c>
      <c r="B74" s="1093"/>
      <c r="C74" s="358">
        <f>SUM(C58:C73)</f>
        <v>5450.61</v>
      </c>
      <c r="D74" s="358"/>
      <c r="E74" s="576">
        <f>SUM(E58:E73)</f>
        <v>750.08999999999992</v>
      </c>
      <c r="F74" s="162"/>
      <c r="G74" s="451"/>
      <c r="H74" s="1109" t="s">
        <v>259</v>
      </c>
      <c r="I74" s="1110"/>
      <c r="J74" s="1111"/>
      <c r="K74" s="716">
        <f>SUM(K58:K73)</f>
        <v>3961.22</v>
      </c>
      <c r="L74" s="1113"/>
      <c r="M74" s="1114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039" t="s">
        <v>16</v>
      </c>
      <c r="I75" s="1041" t="s">
        <v>17</v>
      </c>
      <c r="J75" s="1041" t="s">
        <v>21</v>
      </c>
      <c r="K75" s="1041"/>
      <c r="L75" s="1043" t="s">
        <v>93</v>
      </c>
      <c r="M75" s="1045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040"/>
      <c r="I76" s="1042"/>
      <c r="J76" s="692" t="s">
        <v>21</v>
      </c>
      <c r="K76" s="692" t="s">
        <v>25</v>
      </c>
      <c r="L76" s="1044"/>
      <c r="M76" s="1046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695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 ht="15.75" thickBot="1">
      <c r="A83" s="339"/>
      <c r="B83" s="199"/>
      <c r="C83" s="1"/>
      <c r="D83" s="273"/>
      <c r="E83" s="366"/>
      <c r="F83" s="366"/>
      <c r="G83" s="366"/>
      <c r="H83" s="646" t="s">
        <v>9</v>
      </c>
      <c r="I83" s="661">
        <v>13612.520000000002</v>
      </c>
      <c r="J83" s="648">
        <f>19+42+25.5+33+4+25+7.5+18+170+1+9+37.5+2+1.4</f>
        <v>394.9</v>
      </c>
      <c r="K83" s="734">
        <f>112.8+296.38+33.5</f>
        <v>442.68</v>
      </c>
      <c r="L83" s="649">
        <f>14352+1353+311+316+73+278</f>
        <v>16683</v>
      </c>
      <c r="M83" s="744">
        <v>37929.35</v>
      </c>
      <c r="N83" s="761" t="s">
        <v>355</v>
      </c>
      <c r="O83" s="762"/>
      <c r="P83" s="437"/>
      <c r="Q83" s="742"/>
      <c r="R83" s="86"/>
      <c r="V83" s="1"/>
    </row>
    <row r="84" spans="1:26" ht="15.75" thickTop="1">
      <c r="A84" s="339"/>
      <c r="B84" s="199"/>
      <c r="C84" s="1"/>
      <c r="D84" s="273"/>
      <c r="E84" s="84"/>
      <c r="F84" s="366"/>
      <c r="G84" s="366"/>
      <c r="H84" s="1023" t="s">
        <v>36</v>
      </c>
      <c r="I84" s="1025" t="s">
        <v>178</v>
      </c>
      <c r="J84" s="1026"/>
      <c r="K84" s="1027"/>
      <c r="L84" s="1031" t="s">
        <v>159</v>
      </c>
      <c r="M84" s="1032"/>
      <c r="N84" s="1"/>
      <c r="O84" s="366"/>
      <c r="P84" s="437"/>
      <c r="Q84" s="86"/>
      <c r="R84" s="86"/>
      <c r="V84" s="1"/>
    </row>
    <row r="85" spans="1:26">
      <c r="A85" s="339"/>
      <c r="B85" s="199"/>
      <c r="C85" s="284"/>
      <c r="D85" s="273"/>
      <c r="E85" s="284"/>
      <c r="F85" s="366"/>
      <c r="G85" s="378"/>
      <c r="H85" s="1024"/>
      <c r="I85" s="1028"/>
      <c r="J85" s="1029"/>
      <c r="K85" s="1030"/>
      <c r="L85" s="1033"/>
      <c r="M85" s="1034"/>
      <c r="N85" s="1"/>
      <c r="O85" s="84"/>
      <c r="P85" s="685"/>
      <c r="Q85" s="86"/>
      <c r="R85" s="366"/>
      <c r="S85" s="1"/>
      <c r="V85" s="1"/>
      <c r="W85" s="1"/>
      <c r="X85" s="1"/>
      <c r="Y85" s="1"/>
    </row>
    <row r="86" spans="1:26">
      <c r="A86" s="339"/>
      <c r="B86" s="199"/>
      <c r="C86" s="199"/>
      <c r="D86" s="273"/>
      <c r="E86" s="199"/>
      <c r="F86" s="366"/>
      <c r="G86" s="378"/>
      <c r="H86" s="529" t="s">
        <v>250</v>
      </c>
      <c r="I86" s="1035" t="s">
        <v>47</v>
      </c>
      <c r="J86" s="1035"/>
      <c r="K86" s="698">
        <v>131.25</v>
      </c>
      <c r="L86" s="282">
        <v>43966</v>
      </c>
      <c r="M86" s="44" t="s">
        <v>269</v>
      </c>
      <c r="O86" s="366"/>
      <c r="P86" s="685"/>
      <c r="Q86" s="86"/>
      <c r="R86" s="366"/>
      <c r="S86" s="1"/>
      <c r="T86" s="1"/>
      <c r="V86" s="282"/>
      <c r="W86" s="1"/>
      <c r="X86" s="1"/>
      <c r="Y86" s="1"/>
    </row>
    <row r="87" spans="1:26">
      <c r="A87" s="339"/>
      <c r="B87" s="366"/>
      <c r="C87" s="274"/>
      <c r="D87" s="273"/>
      <c r="E87" s="274"/>
      <c r="F87" s="366"/>
      <c r="G87" s="366"/>
      <c r="H87" s="529" t="s">
        <v>250</v>
      </c>
      <c r="I87" s="1020" t="s">
        <v>51</v>
      </c>
      <c r="J87" s="1020"/>
      <c r="K87" s="699">
        <v>21.35</v>
      </c>
      <c r="L87" s="282">
        <v>43966</v>
      </c>
      <c r="M87" s="44" t="s">
        <v>269</v>
      </c>
      <c r="O87" s="366"/>
      <c r="P87" s="685"/>
      <c r="Q87" s="571"/>
      <c r="R87" s="86"/>
      <c r="S87" s="1"/>
      <c r="T87" s="1"/>
      <c r="V87" s="282"/>
      <c r="W87" s="1"/>
      <c r="X87" s="1"/>
      <c r="Y87" s="1"/>
    </row>
    <row r="88" spans="1:26">
      <c r="A88" s="340"/>
      <c r="B88" s="366"/>
      <c r="C88" s="366"/>
      <c r="D88" s="273"/>
      <c r="E88" s="199"/>
      <c r="F88" s="366"/>
      <c r="G88" s="366"/>
      <c r="H88" s="529" t="s">
        <v>250</v>
      </c>
      <c r="I88" s="1020" t="s">
        <v>52</v>
      </c>
      <c r="J88" s="1020"/>
      <c r="K88" s="699">
        <v>2.25</v>
      </c>
      <c r="L88" s="282">
        <v>43966</v>
      </c>
      <c r="M88" s="44" t="s">
        <v>269</v>
      </c>
      <c r="O88" s="366"/>
      <c r="P88" s="685"/>
      <c r="Q88" s="86"/>
      <c r="R88" s="753"/>
      <c r="S88" s="1"/>
      <c r="T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1020" t="s">
        <v>49</v>
      </c>
      <c r="J89" s="1020"/>
      <c r="K89" s="699">
        <v>89</v>
      </c>
      <c r="L89" s="282">
        <v>43971</v>
      </c>
      <c r="M89" s="44" t="s">
        <v>41</v>
      </c>
      <c r="O89" s="84"/>
      <c r="P89" s="685"/>
      <c r="Q89" s="366"/>
      <c r="R89" s="86"/>
      <c r="S89" s="1"/>
      <c r="T89" s="282"/>
      <c r="U89" s="1"/>
      <c r="V89" s="282"/>
      <c r="W89" s="282"/>
      <c r="X89" s="282"/>
      <c r="Y89" s="1"/>
      <c r="Z89" s="1"/>
    </row>
    <row r="90" spans="1:26">
      <c r="A90" s="340"/>
      <c r="B90" s="366"/>
      <c r="C90" s="366"/>
      <c r="D90" s="273"/>
      <c r="E90" s="366"/>
      <c r="F90" s="366"/>
      <c r="G90" s="366"/>
      <c r="H90" s="529" t="s">
        <v>250</v>
      </c>
      <c r="I90" s="1088" t="s">
        <v>59</v>
      </c>
      <c r="J90" s="1088"/>
      <c r="K90" s="457">
        <v>274.99</v>
      </c>
      <c r="L90" s="302" t="s">
        <v>177</v>
      </c>
      <c r="M90" s="44" t="s">
        <v>269</v>
      </c>
      <c r="N90" s="506"/>
      <c r="O90" s="84"/>
      <c r="P90" s="685"/>
      <c r="Q90" s="480"/>
      <c r="R90" s="753"/>
      <c r="S90" s="1"/>
      <c r="T90" s="282"/>
      <c r="U90" s="1"/>
      <c r="V90" s="1"/>
      <c r="W90" s="282"/>
      <c r="X90" s="282"/>
      <c r="Y90" s="1"/>
      <c r="Z90" s="1"/>
    </row>
    <row r="91" spans="1:26">
      <c r="A91" s="340"/>
      <c r="B91" s="199"/>
      <c r="C91" s="199"/>
      <c r="D91" s="273"/>
      <c r="E91" s="199"/>
      <c r="F91" s="366"/>
      <c r="G91" s="366"/>
      <c r="H91" s="529" t="s">
        <v>250</v>
      </c>
      <c r="I91" s="1089" t="s">
        <v>68</v>
      </c>
      <c r="J91" s="1090"/>
      <c r="K91" s="699">
        <v>52.62</v>
      </c>
      <c r="L91" s="282">
        <v>43971</v>
      </c>
      <c r="M91" s="44" t="s">
        <v>269</v>
      </c>
      <c r="O91" s="366"/>
      <c r="P91" s="437"/>
      <c r="Q91" s="86"/>
      <c r="R91" s="753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250</v>
      </c>
      <c r="I92" s="1021" t="s">
        <v>174</v>
      </c>
      <c r="J92" s="1022"/>
      <c r="K92" s="699">
        <v>257.08999999999997</v>
      </c>
      <c r="L92" s="282">
        <v>43966</v>
      </c>
      <c r="M92" s="44" t="s">
        <v>269</v>
      </c>
      <c r="O92" s="84"/>
      <c r="P92" s="86"/>
      <c r="Q92" s="86"/>
      <c r="R92" s="753"/>
      <c r="S92" s="1"/>
      <c r="T92" s="282"/>
      <c r="U92" s="282"/>
      <c r="V92" s="282"/>
      <c r="W92" s="1"/>
      <c r="X92" s="1"/>
      <c r="Y92" s="1"/>
      <c r="Z92" s="1"/>
    </row>
    <row r="93" spans="1:26">
      <c r="A93" s="340"/>
      <c r="B93" s="199"/>
      <c r="C93" s="366"/>
      <c r="D93" s="273"/>
      <c r="E93" s="199"/>
      <c r="F93" s="366"/>
      <c r="G93" s="366"/>
      <c r="H93" s="726" t="s">
        <v>241</v>
      </c>
      <c r="I93" s="690" t="s">
        <v>176</v>
      </c>
      <c r="J93" s="691"/>
      <c r="K93" s="699" t="s">
        <v>258</v>
      </c>
      <c r="L93" s="282">
        <v>43971</v>
      </c>
      <c r="M93" s="44" t="s">
        <v>269</v>
      </c>
      <c r="O93" s="84"/>
      <c r="P93" s="86"/>
      <c r="Q93" s="86"/>
      <c r="R93" s="485"/>
      <c r="S93" s="1"/>
      <c r="T93" s="1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250</v>
      </c>
      <c r="I94" s="1021" t="s">
        <v>81</v>
      </c>
      <c r="J94" s="1022"/>
      <c r="K94" s="703">
        <v>616.88</v>
      </c>
      <c r="L94" s="282">
        <v>43961</v>
      </c>
      <c r="M94" s="44" t="s">
        <v>269</v>
      </c>
      <c r="O94" s="84"/>
      <c r="P94" s="86"/>
      <c r="Q94" s="485"/>
      <c r="R94" s="365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1021" t="s">
        <v>53</v>
      </c>
      <c r="J95" s="1022"/>
      <c r="K95" s="455">
        <v>10</v>
      </c>
      <c r="L95" s="282">
        <v>43966</v>
      </c>
      <c r="M95" s="44" t="s">
        <v>269</v>
      </c>
      <c r="O95" s="84"/>
      <c r="P95" s="86"/>
      <c r="Q95" s="753"/>
      <c r="R95" s="86"/>
      <c r="S95" s="1"/>
      <c r="T95" s="282"/>
      <c r="U95" s="282"/>
      <c r="V95" s="282"/>
      <c r="W95" s="282"/>
      <c r="X95" s="282"/>
      <c r="Y95" s="366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1017" t="s">
        <v>300</v>
      </c>
      <c r="J96" s="1017"/>
      <c r="K96" s="676">
        <v>100</v>
      </c>
      <c r="L96" s="282">
        <v>43981</v>
      </c>
      <c r="M96" s="44" t="s">
        <v>269</v>
      </c>
      <c r="O96" s="84"/>
      <c r="P96" s="86"/>
      <c r="Q96" s="753"/>
      <c r="R96" s="86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704" t="s">
        <v>250</v>
      </c>
      <c r="I97" s="1017" t="s">
        <v>325</v>
      </c>
      <c r="J97" s="1017"/>
      <c r="K97" s="676">
        <v>9</v>
      </c>
      <c r="L97" s="282">
        <v>43966</v>
      </c>
      <c r="M97" s="44" t="s">
        <v>269</v>
      </c>
      <c r="O97" s="84"/>
      <c r="P97" s="86"/>
      <c r="Q97" s="366"/>
      <c r="R97" s="86"/>
      <c r="S97" s="366"/>
      <c r="T97" s="282"/>
      <c r="U97" s="282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232"/>
      <c r="F98" s="366"/>
      <c r="G98" s="366"/>
      <c r="H98" s="736" t="s">
        <v>250</v>
      </c>
      <c r="I98" s="1106" t="s">
        <v>344</v>
      </c>
      <c r="J98" s="1106"/>
      <c r="K98" s="676">
        <v>273.95</v>
      </c>
      <c r="L98" s="282"/>
      <c r="M98" s="44"/>
      <c r="O98" s="84"/>
      <c r="P98" s="86"/>
      <c r="Q98" s="366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 ht="15.75" thickBot="1">
      <c r="A99" s="341"/>
      <c r="B99" s="330"/>
      <c r="C99" s="331"/>
      <c r="D99" s="342"/>
      <c r="E99" s="330"/>
      <c r="F99" s="331"/>
      <c r="G99" s="331"/>
      <c r="H99" s="1107" t="s">
        <v>179</v>
      </c>
      <c r="I99" s="1108"/>
      <c r="J99" s="361">
        <f>SUM(K86:K96)</f>
        <v>1555.4299999999998</v>
      </c>
      <c r="K99" s="1018" t="s">
        <v>180</v>
      </c>
      <c r="L99" s="1018"/>
      <c r="M99" s="535"/>
      <c r="O99" s="84"/>
      <c r="P99" s="86"/>
      <c r="Q99" s="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 ht="15.75" thickTop="1">
      <c r="C100" s="507"/>
      <c r="D100" s="507"/>
      <c r="O100" s="84"/>
      <c r="P100" s="86"/>
      <c r="Q100" s="86"/>
      <c r="R100" s="365"/>
      <c r="S100" s="366"/>
      <c r="T100" s="282"/>
      <c r="U100" s="282"/>
      <c r="V100" s="1"/>
      <c r="W100" s="282"/>
      <c r="X100" s="282"/>
      <c r="Y100" s="1"/>
      <c r="Z100" s="1"/>
    </row>
    <row r="101" spans="1:26">
      <c r="C101" s="447"/>
      <c r="O101" s="84"/>
      <c r="P101" s="86"/>
      <c r="Q101" s="86"/>
      <c r="R101" s="366"/>
      <c r="S101" s="1"/>
      <c r="T101" s="282"/>
      <c r="U101" s="282"/>
      <c r="V101" s="1"/>
      <c r="W101" s="1"/>
      <c r="X101" s="1"/>
      <c r="Y101" s="1"/>
      <c r="Z101" s="1"/>
    </row>
    <row r="102" spans="1:26">
      <c r="C102" s="447"/>
      <c r="O102" s="84"/>
      <c r="P102" s="86"/>
      <c r="Q102" s="86"/>
      <c r="R102" s="366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E103" s="86"/>
      <c r="O103" s="84"/>
      <c r="P103" s="86"/>
      <c r="Q103" s="365"/>
      <c r="R103" s="366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O104" s="84"/>
      <c r="P104" s="86"/>
      <c r="Q104" s="505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>
      <c r="C105" s="447"/>
      <c r="K105" s="506"/>
      <c r="O105" s="84"/>
      <c r="P105" s="86"/>
      <c r="Q105" s="366"/>
      <c r="R105" s="366"/>
      <c r="S105" s="1"/>
      <c r="T105" s="1"/>
      <c r="U105" s="1"/>
      <c r="W105" s="1"/>
      <c r="X105" s="1"/>
      <c r="Y105" s="1"/>
      <c r="Z105" s="1"/>
    </row>
    <row r="106" spans="1:26">
      <c r="C106" s="447"/>
      <c r="O106" s="84"/>
      <c r="P106" s="86"/>
      <c r="Q106" s="366"/>
      <c r="R106" s="366"/>
      <c r="S106" s="1"/>
      <c r="T106" s="1"/>
      <c r="U106" s="1"/>
      <c r="W106" s="1"/>
      <c r="X106" s="1"/>
      <c r="Y106" s="1"/>
      <c r="Z106" s="1"/>
    </row>
    <row r="107" spans="1:26">
      <c r="C107" s="447"/>
      <c r="M107" s="506"/>
      <c r="O107" s="84"/>
      <c r="P107" s="86"/>
      <c r="Q107" s="86"/>
      <c r="R107" s="86"/>
      <c r="T107" s="1"/>
      <c r="U107" s="1"/>
      <c r="Z107" s="1"/>
    </row>
    <row r="108" spans="1:26">
      <c r="C108" s="447"/>
      <c r="O108" s="84"/>
      <c r="P108" s="86"/>
      <c r="Q108" s="366"/>
      <c r="R108" s="86"/>
      <c r="U108" s="1"/>
      <c r="Z108" s="1"/>
    </row>
    <row r="109" spans="1:26">
      <c r="C109" s="447"/>
      <c r="M109" s="1"/>
      <c r="O109" s="84"/>
      <c r="P109" s="86"/>
      <c r="Q109" s="366"/>
      <c r="R109" s="86"/>
      <c r="U109" s="1"/>
      <c r="Z109" s="1"/>
    </row>
    <row r="110" spans="1:26">
      <c r="C110" s="447"/>
      <c r="M110" s="1"/>
      <c r="O110" s="84"/>
      <c r="P110" s="86"/>
      <c r="Q110" s="366"/>
      <c r="R110" s="86"/>
      <c r="U110" s="1"/>
    </row>
    <row r="111" spans="1:26">
      <c r="C111" s="447"/>
      <c r="M111" s="1"/>
      <c r="O111" s="84"/>
      <c r="P111" s="86"/>
      <c r="Q111" s="86"/>
      <c r="R111" s="86"/>
    </row>
    <row r="112" spans="1:26">
      <c r="C112" s="447"/>
      <c r="M112" s="366"/>
      <c r="O112" s="84"/>
      <c r="P112" s="86"/>
      <c r="Q112" s="86"/>
      <c r="R112" s="86"/>
    </row>
    <row r="113" spans="3:18">
      <c r="C113" s="447"/>
      <c r="M113" s="366"/>
      <c r="O113" s="84"/>
      <c r="P113" s="86"/>
      <c r="Q113" s="86"/>
      <c r="R113" s="86"/>
    </row>
    <row r="114" spans="3:18">
      <c r="C114" s="447"/>
      <c r="M114" s="1"/>
      <c r="O114" s="84"/>
      <c r="P114" s="86"/>
      <c r="Q114" s="86"/>
      <c r="R114" s="86"/>
    </row>
    <row r="115" spans="3:18">
      <c r="C115" s="447"/>
      <c r="M115" s="1"/>
      <c r="O115" s="84"/>
      <c r="P115" s="86"/>
      <c r="Q115" s="86"/>
      <c r="R115" s="86"/>
    </row>
    <row r="116" spans="3:18">
      <c r="C116" s="447"/>
      <c r="M116" s="1"/>
      <c r="O116" s="84"/>
      <c r="P116" s="86"/>
      <c r="Q116" s="86"/>
      <c r="R116" s="86"/>
    </row>
    <row r="117" spans="3:18">
      <c r="C117" s="447"/>
      <c r="M117" s="1"/>
      <c r="O117" s="84"/>
      <c r="P117" s="86"/>
      <c r="Q117" s="86"/>
      <c r="R117" s="86"/>
    </row>
    <row r="118" spans="3:18">
      <c r="C118" s="447"/>
      <c r="O118" s="84"/>
      <c r="P118" s="86"/>
      <c r="Q118" s="86"/>
      <c r="R118" s="86"/>
    </row>
    <row r="119" spans="3:18">
      <c r="C119" s="447"/>
      <c r="O119" s="84"/>
      <c r="P119" s="86"/>
      <c r="Q119" s="86"/>
      <c r="R119" s="86"/>
    </row>
    <row r="120" spans="3:18">
      <c r="C120" s="447"/>
      <c r="O120" s="84"/>
      <c r="P120" s="86"/>
      <c r="Q120" s="86"/>
      <c r="R120" s="86"/>
    </row>
    <row r="121" spans="3:18">
      <c r="C121" s="447"/>
      <c r="O121" s="84"/>
      <c r="P121" s="86"/>
      <c r="Q121" s="86"/>
      <c r="R121" s="86"/>
    </row>
    <row r="122" spans="3:18">
      <c r="C122" s="447"/>
      <c r="O122" s="84"/>
      <c r="P122" s="86"/>
      <c r="Q122" s="86"/>
      <c r="R122" s="86"/>
    </row>
    <row r="123" spans="3:18">
      <c r="C123" s="447"/>
      <c r="O123" s="84"/>
      <c r="P123" s="86"/>
      <c r="Q123" s="86"/>
      <c r="R123" s="86"/>
    </row>
    <row r="124" spans="3:18">
      <c r="C124" s="447"/>
    </row>
    <row r="125" spans="3:18">
      <c r="C125" s="447"/>
    </row>
    <row r="126" spans="3:18">
      <c r="C126" s="447"/>
    </row>
    <row r="127" spans="3:18">
      <c r="C127" s="447"/>
    </row>
    <row r="128" spans="3:18">
      <c r="C128" s="447"/>
    </row>
    <row r="129" spans="3:3">
      <c r="C129" s="447"/>
    </row>
  </sheetData>
  <mergeCells count="96">
    <mergeCell ref="H4:I4"/>
    <mergeCell ref="A1:M2"/>
    <mergeCell ref="O2:Q2"/>
    <mergeCell ref="S2:U2"/>
    <mergeCell ref="A3:G3"/>
    <mergeCell ref="H3:M3"/>
    <mergeCell ref="I39:J39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5:H36"/>
    <mergeCell ref="I35:K36"/>
    <mergeCell ref="L35:M36"/>
    <mergeCell ref="I37:J37"/>
    <mergeCell ref="I38:J38"/>
    <mergeCell ref="K52:L52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I51:J51"/>
    <mergeCell ref="H52:I52"/>
    <mergeCell ref="H75:H76"/>
    <mergeCell ref="I75:I76"/>
    <mergeCell ref="J75:K75"/>
    <mergeCell ref="L75:L76"/>
    <mergeCell ref="M75:M76"/>
    <mergeCell ref="H53:K53"/>
    <mergeCell ref="A54:M55"/>
    <mergeCell ref="A56:G56"/>
    <mergeCell ref="H56:M56"/>
    <mergeCell ref="A74:B74"/>
    <mergeCell ref="I57:J57"/>
    <mergeCell ref="L57:M57"/>
    <mergeCell ref="I58:J58"/>
    <mergeCell ref="I59:J59"/>
    <mergeCell ref="I60:J60"/>
    <mergeCell ref="I61:J61"/>
    <mergeCell ref="I62:J62"/>
    <mergeCell ref="I63:J63"/>
    <mergeCell ref="I64:J64"/>
    <mergeCell ref="I65:J65"/>
    <mergeCell ref="L68:M68"/>
    <mergeCell ref="I88:J88"/>
    <mergeCell ref="I89:J89"/>
    <mergeCell ref="I90:J90"/>
    <mergeCell ref="I91:J91"/>
    <mergeCell ref="I92:J92"/>
    <mergeCell ref="H84:H85"/>
    <mergeCell ref="I84:K85"/>
    <mergeCell ref="L84:M85"/>
    <mergeCell ref="I86:J86"/>
    <mergeCell ref="I87:J87"/>
    <mergeCell ref="I96:J96"/>
    <mergeCell ref="I97:J97"/>
    <mergeCell ref="H99:I99"/>
    <mergeCell ref="K99:L99"/>
    <mergeCell ref="I94:J94"/>
    <mergeCell ref="I95:J95"/>
    <mergeCell ref="I98:J98"/>
    <mergeCell ref="L69:M69"/>
    <mergeCell ref="I66:J66"/>
    <mergeCell ref="I67:J67"/>
    <mergeCell ref="I68:J68"/>
    <mergeCell ref="I69:J69"/>
    <mergeCell ref="L63:M63"/>
    <mergeCell ref="L64:M64"/>
    <mergeCell ref="L65:M65"/>
    <mergeCell ref="L66:M66"/>
    <mergeCell ref="L67:M67"/>
    <mergeCell ref="L58:M58"/>
    <mergeCell ref="L59:M59"/>
    <mergeCell ref="L60:M60"/>
    <mergeCell ref="L61:M61"/>
    <mergeCell ref="L62:M62"/>
    <mergeCell ref="H74:J74"/>
    <mergeCell ref="L70:M70"/>
    <mergeCell ref="L71:M71"/>
    <mergeCell ref="L72:M72"/>
    <mergeCell ref="L73:M73"/>
    <mergeCell ref="L74:M74"/>
    <mergeCell ref="I71:J71"/>
    <mergeCell ref="I72:J72"/>
    <mergeCell ref="I73:J73"/>
    <mergeCell ref="I70:J70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15</vt:i4>
      </vt:variant>
    </vt:vector>
  </HeadingPairs>
  <TitlesOfParts>
    <vt:vector size="31" baseType="lpstr">
      <vt:lpstr>ОБЩЕЕ</vt:lpstr>
      <vt:lpstr>ОБЩАЯ СВЕРКА</vt:lpstr>
      <vt:lpstr>ФЕВРАЛЬ</vt:lpstr>
      <vt:lpstr>ЗП ФЕВРАЛЬ</vt:lpstr>
      <vt:lpstr>МАРТ</vt:lpstr>
      <vt:lpstr>ЗП МАРТ</vt:lpstr>
      <vt:lpstr>апрель</vt:lpstr>
      <vt:lpstr>зп апрель</vt:lpstr>
      <vt:lpstr>май</vt:lpstr>
      <vt:lpstr>зп май</vt:lpstr>
      <vt:lpstr>ИЮНЬ</vt:lpstr>
      <vt:lpstr>ЗП ИЮНЬ</vt:lpstr>
      <vt:lpstr>июЛь</vt:lpstr>
      <vt:lpstr>ЗП июЛь</vt:lpstr>
      <vt:lpstr>АВГУСТ</vt:lpstr>
      <vt:lpstr>ЗП АВГУСТ</vt:lpstr>
      <vt:lpstr>АВГУСТ!Область_печати</vt:lpstr>
      <vt:lpstr>апрель!Область_печати</vt:lpstr>
      <vt:lpstr>'ЗП АВГУСТ'!Область_печати</vt:lpstr>
      <vt:lpstr>'зп апрель'!Область_печати</vt:lpstr>
      <vt:lpstr>'ЗП июЛь'!Область_печати</vt:lpstr>
      <vt:lpstr>'ЗП ИЮНЬ'!Область_печати</vt:lpstr>
      <vt:lpstr>'зп май'!Область_печати</vt:lpstr>
      <vt:lpstr>'ЗП МАРТ'!Область_печати</vt:lpstr>
      <vt:lpstr>'ЗП ФЕВРАЛЬ'!Область_печати</vt:lpstr>
      <vt:lpstr>июЛь!Область_печати</vt:lpstr>
      <vt:lpstr>ИЮНЬ!Область_печати</vt:lpstr>
      <vt:lpstr>май!Область_печати</vt:lpstr>
      <vt:lpstr>МАРТ!Область_печати</vt:lpstr>
      <vt:lpstr>'ОБЩАЯ СВЕРКА'!Область_печати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2020-08-03T18:20:01Z</cp:lastPrinted>
  <dcterms:created xsi:type="dcterms:W3CDTF">2019-05-31T14:37:56Z</dcterms:created>
  <dcterms:modified xsi:type="dcterms:W3CDTF">2020-08-13T18:06:51Z</dcterms:modified>
</cp:coreProperties>
</file>