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lucky-lady\"/>
    </mc:Choice>
  </mc:AlternateContent>
  <bookViews>
    <workbookView xWindow="0" yWindow="0" windowWidth="23040" windowHeight="8490" tabRatio="959" activeTab="9"/>
  </bookViews>
  <sheets>
    <sheet name="ОБЩЕЕ" sheetId="3" r:id="rId1"/>
    <sheet name="ОБЩАЯ СВЕРКА" sheetId="6" r:id="rId2"/>
    <sheet name="сверка ДЕКАБРЬ" sheetId="23" r:id="rId3"/>
    <sheet name="ЗП ДЕКАБРЬ" sheetId="24" r:id="rId4"/>
    <sheet name="сверка ЯНВАРЬ" sheetId="26" r:id="rId5"/>
    <sheet name="ЗП ЯНВАРЬ" sheetId="25" r:id="rId6"/>
    <sheet name="ФЕВРАЛЬ" sheetId="27" r:id="rId7"/>
    <sheet name="ЗП ФЕВРАЛЬ" sheetId="28" r:id="rId8"/>
    <sheet name="расчетный лист" sheetId="29" r:id="rId9"/>
    <sheet name="МАРТ" sheetId="30" r:id="rId10"/>
    <sheet name="ЗП МАРТ" sheetId="31" r:id="rId11"/>
  </sheets>
  <definedNames>
    <definedName name="_xlnm.Print_Area" localSheetId="10">'ЗП МАРТ'!$B$1:$G$44</definedName>
    <definedName name="_xlnm.Print_Area" localSheetId="7">'ЗП ФЕВРАЛЬ'!$B$1:$G$44</definedName>
    <definedName name="_xlnm.Print_Area" localSheetId="9">МАРТ!$A$48:$M$90</definedName>
    <definedName name="_xlnm.Print_Area" localSheetId="1">'ОБЩАЯ СВЕРКА'!$A$1:$Q$29</definedName>
    <definedName name="_xlnm.Print_Area" localSheetId="2">'сверка ДЕКАБРЬ'!$A$1:$M$41</definedName>
    <definedName name="_xlnm.Print_Area" localSheetId="4">'сверка ЯНВАРЬ'!$A$45:$M$87</definedName>
    <definedName name="_xlnm.Print_Area" localSheetId="6">ФЕВРАЛЬ!$A$48:$M$90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0" i="30" l="1"/>
  <c r="J52" i="30" l="1"/>
  <c r="K89" i="30"/>
  <c r="J46" i="30"/>
  <c r="K45" i="30"/>
  <c r="K6" i="30"/>
  <c r="D23" i="31" l="1"/>
  <c r="AF15" i="30" l="1"/>
  <c r="AF13" i="30"/>
  <c r="AA16" i="30"/>
  <c r="W13" i="30"/>
  <c r="AA8" i="30" l="1"/>
  <c r="AF7" i="30"/>
  <c r="AF9" i="30"/>
  <c r="AF5" i="30"/>
  <c r="AA11" i="30"/>
  <c r="AA9" i="30"/>
  <c r="W5" i="30"/>
  <c r="I35" i="31" l="1"/>
  <c r="C68" i="30"/>
  <c r="P25" i="30" l="1"/>
  <c r="P26" i="30"/>
  <c r="P27" i="30"/>
  <c r="P28" i="30"/>
  <c r="P29" i="30"/>
  <c r="P30" i="30"/>
  <c r="P31" i="30"/>
  <c r="P32" i="30"/>
  <c r="P24" i="30"/>
  <c r="C21" i="27"/>
  <c r="R28" i="30"/>
  <c r="R27" i="30"/>
  <c r="R26" i="30"/>
  <c r="R25" i="30"/>
  <c r="K100" i="6"/>
  <c r="R32" i="30"/>
  <c r="R31" i="30"/>
  <c r="R30" i="30"/>
  <c r="J188" i="6"/>
  <c r="R29" i="30"/>
  <c r="K138" i="6"/>
  <c r="K65" i="6"/>
  <c r="K29" i="6"/>
  <c r="Q31" i="30"/>
  <c r="Q32" i="30"/>
  <c r="Q30" i="30"/>
  <c r="Q29" i="30"/>
  <c r="Q28" i="30"/>
  <c r="Q27" i="30"/>
  <c r="Q26" i="30"/>
  <c r="Q25" i="30"/>
  <c r="Q24" i="30"/>
  <c r="S27" i="30" l="1"/>
  <c r="S31" i="30"/>
  <c r="S29" i="30"/>
  <c r="S25" i="30"/>
  <c r="S32" i="30"/>
  <c r="S30" i="30"/>
  <c r="S28" i="30"/>
  <c r="S26" i="30"/>
  <c r="P43" i="27"/>
  <c r="I35" i="25" l="1"/>
  <c r="G59" i="3" l="1"/>
  <c r="E5" i="30" l="1"/>
  <c r="F5" i="30"/>
  <c r="E9" i="27"/>
  <c r="F9" i="27"/>
  <c r="E52" i="30"/>
  <c r="F52" i="30"/>
  <c r="G58" i="3" l="1"/>
  <c r="G57" i="3"/>
  <c r="I35" i="28"/>
  <c r="E53" i="30"/>
  <c r="F53" i="30"/>
  <c r="E54" i="30"/>
  <c r="F54" i="30"/>
  <c r="E55" i="30"/>
  <c r="F55" i="30"/>
  <c r="E56" i="30"/>
  <c r="F56" i="30"/>
  <c r="E57" i="30"/>
  <c r="F57" i="30"/>
  <c r="E58" i="30"/>
  <c r="F58" i="30"/>
  <c r="E59" i="30"/>
  <c r="F59" i="30"/>
  <c r="E60" i="30"/>
  <c r="F60" i="30"/>
  <c r="G60" i="30"/>
  <c r="F61" i="30"/>
  <c r="G61" i="30"/>
  <c r="E62" i="30"/>
  <c r="F62" i="30"/>
  <c r="G62" i="30"/>
  <c r="E63" i="30"/>
  <c r="F63" i="30"/>
  <c r="G63" i="30"/>
  <c r="E64" i="30"/>
  <c r="F64" i="30"/>
  <c r="G64" i="30"/>
  <c r="E65" i="30"/>
  <c r="F65" i="30"/>
  <c r="G65" i="30"/>
  <c r="E66" i="30"/>
  <c r="F66" i="30"/>
  <c r="G66" i="30"/>
  <c r="E67" i="30"/>
  <c r="F67" i="30"/>
  <c r="G67" i="30"/>
  <c r="E6" i="30"/>
  <c r="F6" i="30"/>
  <c r="E7" i="30"/>
  <c r="F7" i="30"/>
  <c r="E8" i="30"/>
  <c r="F8" i="30"/>
  <c r="E9" i="30"/>
  <c r="F9" i="30"/>
  <c r="E10" i="30"/>
  <c r="F10" i="30"/>
  <c r="G10" i="30"/>
  <c r="E11" i="30"/>
  <c r="F11" i="30"/>
  <c r="G11" i="30"/>
  <c r="E12" i="30"/>
  <c r="F12" i="30"/>
  <c r="G12" i="30"/>
  <c r="E13" i="30"/>
  <c r="F13" i="30"/>
  <c r="G13" i="30"/>
  <c r="E14" i="30"/>
  <c r="F14" i="30"/>
  <c r="G14" i="30"/>
  <c r="E15" i="30"/>
  <c r="F15" i="30"/>
  <c r="G15" i="30"/>
  <c r="E16" i="30"/>
  <c r="F16" i="30"/>
  <c r="G16" i="30"/>
  <c r="E17" i="30"/>
  <c r="F17" i="30"/>
  <c r="G17" i="30"/>
  <c r="E18" i="30"/>
  <c r="F18" i="30"/>
  <c r="G18" i="30"/>
  <c r="E19" i="30"/>
  <c r="F19" i="30"/>
  <c r="G19" i="30"/>
  <c r="E20" i="30"/>
  <c r="F20" i="30"/>
  <c r="G20" i="30"/>
  <c r="D61" i="3"/>
  <c r="K35" i="31"/>
  <c r="O53" i="3" s="1"/>
  <c r="J35" i="31"/>
  <c r="L56" i="3" s="1"/>
  <c r="D33" i="31"/>
  <c r="D40" i="31" s="1"/>
  <c r="BB40" i="3"/>
  <c r="BA40" i="3"/>
  <c r="AZ40" i="3"/>
  <c r="AY40" i="3"/>
  <c r="BD36" i="3"/>
  <c r="BB36" i="3"/>
  <c r="BB38" i="3" s="1"/>
  <c r="BB39" i="3" s="1"/>
  <c r="BB45" i="3" s="1"/>
  <c r="BA36" i="3"/>
  <c r="BA38" i="3" s="1"/>
  <c r="BA39" i="3" s="1"/>
  <c r="AZ36" i="3"/>
  <c r="AZ38" i="3" s="1"/>
  <c r="AZ39" i="3" s="1"/>
  <c r="AZ45" i="3" s="1"/>
  <c r="BB34" i="3"/>
  <c r="BB42" i="3" s="1"/>
  <c r="BA34" i="3"/>
  <c r="BA42" i="3" s="1"/>
  <c r="BA46" i="3" s="1"/>
  <c r="AZ34" i="3"/>
  <c r="AZ42" i="3" s="1"/>
  <c r="BC32" i="3"/>
  <c r="AW32" i="3"/>
  <c r="AW31" i="3"/>
  <c r="AW30" i="3"/>
  <c r="AW29" i="3"/>
  <c r="AW28" i="3"/>
  <c r="AW27" i="3"/>
  <c r="AW26" i="3"/>
  <c r="AW25" i="3"/>
  <c r="AW24" i="3"/>
  <c r="AY23" i="3"/>
  <c r="AW23" i="3"/>
  <c r="AW22" i="3"/>
  <c r="AW21" i="3"/>
  <c r="AW20" i="3"/>
  <c r="AW19" i="3"/>
  <c r="AW18" i="3"/>
  <c r="AW17" i="3"/>
  <c r="AW16" i="3"/>
  <c r="AW15" i="3"/>
  <c r="AW14" i="3"/>
  <c r="AW13" i="3"/>
  <c r="AW12" i="3"/>
  <c r="AW11" i="3"/>
  <c r="AW10" i="3"/>
  <c r="AW9" i="3"/>
  <c r="AW8" i="3"/>
  <c r="AW7" i="3"/>
  <c r="AW6" i="3"/>
  <c r="AY5" i="3"/>
  <c r="BC36" i="3" s="1"/>
  <c r="AW5" i="3"/>
  <c r="AW4" i="3"/>
  <c r="AW3" i="3"/>
  <c r="Q189" i="6"/>
  <c r="M71" i="30"/>
  <c r="M72" i="30" s="1"/>
  <c r="M73" i="30" s="1"/>
  <c r="M74" i="30" s="1"/>
  <c r="K187" i="6"/>
  <c r="K183" i="6"/>
  <c r="M170" i="6"/>
  <c r="M171" i="6" s="1"/>
  <c r="M172" i="6" s="1"/>
  <c r="M173" i="6" s="1"/>
  <c r="M174" i="6" s="1"/>
  <c r="M169" i="6"/>
  <c r="F166" i="6"/>
  <c r="E166" i="6"/>
  <c r="F165" i="6"/>
  <c r="E165" i="6"/>
  <c r="F164" i="6"/>
  <c r="E164" i="6"/>
  <c r="F163" i="6"/>
  <c r="E163" i="6"/>
  <c r="F162" i="6"/>
  <c r="E162" i="6"/>
  <c r="F161" i="6"/>
  <c r="E161" i="6"/>
  <c r="F160" i="6"/>
  <c r="E160" i="6"/>
  <c r="F159" i="6"/>
  <c r="E159" i="6"/>
  <c r="F158" i="6"/>
  <c r="E158" i="6"/>
  <c r="F157" i="6"/>
  <c r="E157" i="6"/>
  <c r="F156" i="6"/>
  <c r="E156" i="6"/>
  <c r="F155" i="6"/>
  <c r="F154" i="6"/>
  <c r="F153" i="6"/>
  <c r="J152" i="6"/>
  <c r="F152" i="6"/>
  <c r="L151" i="6"/>
  <c r="F151" i="6"/>
  <c r="L150" i="6"/>
  <c r="F150" i="6"/>
  <c r="G38" i="31"/>
  <c r="F38" i="31"/>
  <c r="E38" i="31"/>
  <c r="D38" i="31"/>
  <c r="G34" i="31"/>
  <c r="G36" i="31" s="1"/>
  <c r="G37" i="31" s="1"/>
  <c r="F34" i="31"/>
  <c r="F36" i="31" s="1"/>
  <c r="F37" i="31" s="1"/>
  <c r="E34" i="31"/>
  <c r="E36" i="31" s="1"/>
  <c r="E37" i="31" s="1"/>
  <c r="D34" i="31"/>
  <c r="D36" i="31" s="1"/>
  <c r="D37" i="31" s="1"/>
  <c r="G33" i="31"/>
  <c r="G40" i="31" s="1"/>
  <c r="F33" i="31"/>
  <c r="F40" i="31" s="1"/>
  <c r="E33" i="31"/>
  <c r="E40" i="31" s="1"/>
  <c r="B32" i="31"/>
  <c r="B31" i="31"/>
  <c r="B30" i="31"/>
  <c r="B29" i="31"/>
  <c r="B28" i="31"/>
  <c r="B27" i="31"/>
  <c r="B26" i="31"/>
  <c r="B25" i="31"/>
  <c r="B24" i="31"/>
  <c r="B23" i="31"/>
  <c r="B22" i="31"/>
  <c r="B21" i="31"/>
  <c r="B20" i="31"/>
  <c r="B19" i="31"/>
  <c r="B18" i="31"/>
  <c r="B17" i="31"/>
  <c r="B16" i="31"/>
  <c r="B15" i="31"/>
  <c r="B14" i="31"/>
  <c r="B13" i="31"/>
  <c r="B12" i="31"/>
  <c r="B11" i="31"/>
  <c r="B10" i="31"/>
  <c r="B9" i="31"/>
  <c r="B8" i="31"/>
  <c r="B7" i="31"/>
  <c r="B6" i="31"/>
  <c r="B5" i="31"/>
  <c r="B4" i="31"/>
  <c r="B3" i="31"/>
  <c r="B2" i="31"/>
  <c r="K52" i="30"/>
  <c r="M24" i="30"/>
  <c r="M25" i="30" s="1"/>
  <c r="M26" i="30" s="1"/>
  <c r="M27" i="30" s="1"/>
  <c r="M28" i="30" s="1"/>
  <c r="M29" i="30" s="1"/>
  <c r="M30" i="30" s="1"/>
  <c r="M31" i="30" s="1"/>
  <c r="M32" i="30" s="1"/>
  <c r="C21" i="30"/>
  <c r="J7" i="30"/>
  <c r="L6" i="30"/>
  <c r="L5" i="30"/>
  <c r="M74" i="27"/>
  <c r="M73" i="27"/>
  <c r="J90" i="30" l="1"/>
  <c r="E68" i="30"/>
  <c r="E21" i="30"/>
  <c r="AZ46" i="3"/>
  <c r="BB46" i="3"/>
  <c r="BA45" i="3"/>
  <c r="AY34" i="3"/>
  <c r="AY42" i="3" s="1"/>
  <c r="AY46" i="3" s="1"/>
  <c r="AY45" i="3" s="1"/>
  <c r="AY36" i="3"/>
  <c r="AY38" i="3" s="1"/>
  <c r="AY39" i="3" s="1"/>
  <c r="E44" i="31"/>
  <c r="E43" i="31"/>
  <c r="G44" i="31"/>
  <c r="G43" i="31"/>
  <c r="D44" i="31"/>
  <c r="D43" i="31"/>
  <c r="F44" i="31"/>
  <c r="F43" i="31"/>
  <c r="D11" i="27"/>
  <c r="M31" i="27" l="1"/>
  <c r="M32" i="27" s="1"/>
  <c r="D38" i="28" l="1"/>
  <c r="B26" i="28"/>
  <c r="F33" i="28"/>
  <c r="D34" i="28"/>
  <c r="F34" i="28" l="1"/>
  <c r="E38" i="28"/>
  <c r="E34" i="28"/>
  <c r="E33" i="28"/>
  <c r="J35" i="28"/>
  <c r="K6" i="27" l="1"/>
  <c r="C68" i="27" l="1"/>
  <c r="K35" i="28" l="1"/>
  <c r="G62" i="27"/>
  <c r="G63" i="27"/>
  <c r="G64" i="27"/>
  <c r="G65" i="27"/>
  <c r="G66" i="27"/>
  <c r="G67" i="27"/>
  <c r="F59" i="27"/>
  <c r="E54" i="27" l="1"/>
  <c r="F54" i="27"/>
  <c r="E55" i="27"/>
  <c r="F55" i="27"/>
  <c r="E56" i="27"/>
  <c r="F56" i="27"/>
  <c r="E57" i="27"/>
  <c r="F57" i="27"/>
  <c r="E58" i="27"/>
  <c r="F58" i="27"/>
  <c r="E59" i="27"/>
  <c r="E60" i="27"/>
  <c r="F60" i="27"/>
  <c r="E61" i="27"/>
  <c r="F61" i="27"/>
  <c r="E62" i="27"/>
  <c r="F62" i="27"/>
  <c r="E63" i="27"/>
  <c r="F63" i="27"/>
  <c r="E64" i="27"/>
  <c r="F64" i="27"/>
  <c r="E65" i="27"/>
  <c r="F65" i="27"/>
  <c r="E66" i="27"/>
  <c r="F66" i="27"/>
  <c r="E67" i="27"/>
  <c r="F67" i="27"/>
  <c r="F53" i="27"/>
  <c r="E53" i="27"/>
  <c r="E6" i="27"/>
  <c r="F6" i="27"/>
  <c r="E7" i="27"/>
  <c r="F7" i="27"/>
  <c r="E8" i="27"/>
  <c r="F8" i="27"/>
  <c r="E10" i="27"/>
  <c r="F10" i="27"/>
  <c r="E11" i="27"/>
  <c r="F11" i="27"/>
  <c r="E12" i="27"/>
  <c r="F12" i="27"/>
  <c r="E13" i="27"/>
  <c r="F13" i="27"/>
  <c r="E14" i="27"/>
  <c r="F14" i="27"/>
  <c r="E15" i="27"/>
  <c r="F15" i="27"/>
  <c r="E16" i="27"/>
  <c r="F16" i="27"/>
  <c r="E17" i="27"/>
  <c r="F17" i="27"/>
  <c r="E18" i="27"/>
  <c r="F18" i="27"/>
  <c r="E19" i="27"/>
  <c r="F19" i="27"/>
  <c r="E20" i="27"/>
  <c r="F20" i="27"/>
  <c r="F5" i="27"/>
  <c r="E5" i="27"/>
  <c r="E68" i="27" l="1"/>
  <c r="E21" i="27"/>
  <c r="O84" i="26"/>
  <c r="J35" i="25"/>
  <c r="K35" i="25" l="1"/>
  <c r="G34" i="28"/>
  <c r="G33" i="28"/>
  <c r="G40" i="28" s="1"/>
  <c r="F40" i="28"/>
  <c r="B32" i="28"/>
  <c r="B31" i="28"/>
  <c r="B30" i="28"/>
  <c r="B29" i="28"/>
  <c r="B28" i="28"/>
  <c r="B27" i="28"/>
  <c r="B25" i="28"/>
  <c r="B24" i="28"/>
  <c r="B23" i="28"/>
  <c r="B22" i="28"/>
  <c r="B21" i="28"/>
  <c r="B20" i="28"/>
  <c r="B19" i="28"/>
  <c r="B18" i="28"/>
  <c r="B17" i="28"/>
  <c r="B16" i="28"/>
  <c r="B15" i="28"/>
  <c r="B14" i="28"/>
  <c r="B13" i="28"/>
  <c r="B12" i="28"/>
  <c r="B11" i="28"/>
  <c r="B10" i="28"/>
  <c r="B9" i="28"/>
  <c r="B8" i="28"/>
  <c r="B7" i="28"/>
  <c r="B6" i="28"/>
  <c r="B5" i="28"/>
  <c r="B4" i="28"/>
  <c r="B3" i="28"/>
  <c r="B2" i="28"/>
  <c r="J90" i="27"/>
  <c r="M71" i="27"/>
  <c r="M72" i="27" s="1"/>
  <c r="K52" i="27"/>
  <c r="M24" i="27"/>
  <c r="M25" i="27" s="1"/>
  <c r="M26" i="27" s="1"/>
  <c r="M27" i="27" s="1"/>
  <c r="M28" i="27" s="1"/>
  <c r="M29" i="27" s="1"/>
  <c r="M30" i="27" s="1"/>
  <c r="J7" i="27"/>
  <c r="K45" i="27" s="1"/>
  <c r="L6" i="27"/>
  <c r="L5" i="27"/>
  <c r="G38" i="28" l="1"/>
  <c r="F38" i="28"/>
  <c r="E40" i="28"/>
  <c r="J46" i="27"/>
  <c r="D33" i="28"/>
  <c r="D40" i="28" s="1"/>
  <c r="M69" i="26"/>
  <c r="M22" i="26"/>
  <c r="M68" i="26"/>
  <c r="M70" i="26"/>
  <c r="M29" i="26"/>
  <c r="F47" i="25"/>
  <c r="F46" i="25"/>
  <c r="G38" i="25"/>
  <c r="E44" i="25"/>
  <c r="E45" i="25"/>
  <c r="E38" i="25"/>
  <c r="E37" i="25"/>
  <c r="E36" i="25"/>
  <c r="E34" i="25"/>
  <c r="G36" i="28" l="1"/>
  <c r="G37" i="28" s="1"/>
  <c r="F36" i="28"/>
  <c r="F37" i="28" s="1"/>
  <c r="F43" i="28" s="1"/>
  <c r="E36" i="28"/>
  <c r="E37" i="28" s="1"/>
  <c r="E43" i="28" s="1"/>
  <c r="F44" i="25"/>
  <c r="F41" i="25"/>
  <c r="G44" i="28" l="1"/>
  <c r="G43" i="28"/>
  <c r="E44" i="28"/>
  <c r="F44" i="28"/>
  <c r="D36" i="28"/>
  <c r="D37" i="28" s="1"/>
  <c r="D49" i="24"/>
  <c r="F33" i="25"/>
  <c r="D41" i="25"/>
  <c r="D36" i="25"/>
  <c r="G33" i="25"/>
  <c r="G41" i="25" s="1"/>
  <c r="D33" i="25"/>
  <c r="G34" i="25"/>
  <c r="G36" i="25" s="1"/>
  <c r="G37" i="25" s="1"/>
  <c r="F34" i="25"/>
  <c r="D34" i="25"/>
  <c r="D14" i="25"/>
  <c r="D43" i="28" l="1"/>
  <c r="D44" i="28"/>
  <c r="G44" i="25"/>
  <c r="G45" i="25"/>
  <c r="M28" i="26"/>
  <c r="J43" i="26" l="1"/>
  <c r="L4" i="26"/>
  <c r="E12" i="26" l="1"/>
  <c r="F12" i="26"/>
  <c r="E13" i="26"/>
  <c r="F13" i="26"/>
  <c r="E14" i="26"/>
  <c r="F14" i="26"/>
  <c r="E15" i="26"/>
  <c r="F15" i="26"/>
  <c r="E16" i="26"/>
  <c r="F16" i="26"/>
  <c r="E17" i="26"/>
  <c r="F17" i="26"/>
  <c r="E18" i="26"/>
  <c r="F18" i="26"/>
  <c r="E19" i="26"/>
  <c r="F19" i="26"/>
  <c r="J87" i="26" l="1"/>
  <c r="K3" i="26" l="1"/>
  <c r="E4" i="26" l="1"/>
  <c r="F4" i="26"/>
  <c r="E5" i="26"/>
  <c r="F5" i="26"/>
  <c r="E6" i="26"/>
  <c r="F6" i="26"/>
  <c r="E7" i="26"/>
  <c r="F7" i="26"/>
  <c r="E8" i="26"/>
  <c r="F8" i="26"/>
  <c r="E9" i="26"/>
  <c r="F9" i="26"/>
  <c r="E10" i="26"/>
  <c r="F10" i="26"/>
  <c r="E11" i="26"/>
  <c r="F11" i="26"/>
  <c r="M39" i="24" l="1"/>
  <c r="M24" i="26"/>
  <c r="M25" i="26" s="1"/>
  <c r="M26" i="26" s="1"/>
  <c r="M23" i="26"/>
  <c r="L39" i="24"/>
  <c r="P98" i="23"/>
  <c r="M27" i="26" l="1"/>
  <c r="F50" i="26" l="1"/>
  <c r="F51" i="26"/>
  <c r="F52" i="26"/>
  <c r="F53" i="26"/>
  <c r="F54" i="26"/>
  <c r="F55" i="26"/>
  <c r="F56" i="26"/>
  <c r="F57" i="26"/>
  <c r="F58" i="26"/>
  <c r="F59" i="26"/>
  <c r="F60" i="26"/>
  <c r="F61" i="26"/>
  <c r="F62" i="26"/>
  <c r="F63" i="26"/>
  <c r="F64" i="26"/>
  <c r="F65" i="26"/>
  <c r="F49" i="26"/>
  <c r="I8" i="24"/>
  <c r="F3" i="26"/>
  <c r="E3" i="26"/>
  <c r="R4" i="26"/>
  <c r="R3" i="26"/>
  <c r="S6" i="23"/>
  <c r="E65" i="26"/>
  <c r="K49" i="26"/>
  <c r="E49" i="26"/>
  <c r="K38" i="26"/>
  <c r="J5" i="26"/>
  <c r="K42" i="26" s="1"/>
  <c r="L3" i="26"/>
  <c r="D38" i="25"/>
  <c r="B32" i="25"/>
  <c r="B31" i="25"/>
  <c r="B30" i="25"/>
  <c r="B29" i="25"/>
  <c r="B28" i="25"/>
  <c r="B27" i="25"/>
  <c r="B26" i="25"/>
  <c r="B25" i="25"/>
  <c r="B24" i="25"/>
  <c r="B23" i="25"/>
  <c r="B22" i="25"/>
  <c r="B21" i="25"/>
  <c r="B20" i="25"/>
  <c r="B19" i="25"/>
  <c r="B18" i="25"/>
  <c r="D37" i="25"/>
  <c r="B17" i="25"/>
  <c r="B16" i="25"/>
  <c r="B15" i="25"/>
  <c r="B14" i="25"/>
  <c r="B13" i="25"/>
  <c r="B12" i="25"/>
  <c r="B11" i="25"/>
  <c r="B10" i="25"/>
  <c r="B9" i="25"/>
  <c r="B8" i="25"/>
  <c r="B7" i="25"/>
  <c r="B6" i="25"/>
  <c r="B5" i="25"/>
  <c r="B4" i="25"/>
  <c r="B3" i="25"/>
  <c r="B2" i="25"/>
  <c r="D45" i="25" l="1"/>
  <c r="E33" i="25"/>
  <c r="F38" i="25"/>
  <c r="I38" i="24"/>
  <c r="G45" i="24"/>
  <c r="G33" i="24"/>
  <c r="G39" i="24"/>
  <c r="E41" i="25" l="1"/>
  <c r="F36" i="25"/>
  <c r="F37" i="25" s="1"/>
  <c r="E45" i="24"/>
  <c r="F45" i="24"/>
  <c r="D45" i="24"/>
  <c r="D39" i="24"/>
  <c r="E43" i="24"/>
  <c r="D116" i="23" l="1"/>
  <c r="B32" i="24"/>
  <c r="D25" i="24" l="1"/>
  <c r="F33" i="24" l="1"/>
  <c r="G43" i="24"/>
  <c r="H37" i="23"/>
  <c r="H75" i="23"/>
  <c r="H76" i="23"/>
  <c r="H77" i="23"/>
  <c r="H78" i="23"/>
  <c r="H79" i="23"/>
  <c r="H80" i="23"/>
  <c r="H81" i="23"/>
  <c r="H82" i="23"/>
  <c r="H83" i="23"/>
  <c r="H84" i="23"/>
  <c r="H74" i="23"/>
  <c r="J85" i="23"/>
  <c r="F40" i="24" l="1"/>
  <c r="F43" i="24" s="1"/>
  <c r="J5" i="23"/>
  <c r="R4" i="23" l="1"/>
  <c r="R3" i="23"/>
  <c r="D17" i="24" l="1"/>
  <c r="B22" i="24"/>
  <c r="B3" i="24"/>
  <c r="B4" i="24"/>
  <c r="B5" i="24"/>
  <c r="B6" i="24"/>
  <c r="B7" i="24"/>
  <c r="B8" i="24"/>
  <c r="B9" i="24"/>
  <c r="B10" i="24"/>
  <c r="B11" i="24"/>
  <c r="B12" i="24"/>
  <c r="B13" i="24"/>
  <c r="B14" i="24"/>
  <c r="B15" i="24"/>
  <c r="B16" i="24"/>
  <c r="B17" i="24"/>
  <c r="B18" i="24"/>
  <c r="B19" i="24"/>
  <c r="B20" i="24"/>
  <c r="B21" i="24"/>
  <c r="B23" i="24"/>
  <c r="B24" i="24"/>
  <c r="B25" i="24"/>
  <c r="B26" i="24"/>
  <c r="B27" i="24"/>
  <c r="B28" i="24"/>
  <c r="B29" i="24"/>
  <c r="B30" i="24"/>
  <c r="B31" i="24"/>
  <c r="D43" i="24" l="1"/>
  <c r="D89" i="23"/>
  <c r="D88" i="23"/>
  <c r="D87" i="23"/>
  <c r="F48" i="23" l="1"/>
  <c r="B2" i="24"/>
  <c r="F49" i="23"/>
  <c r="F50" i="23"/>
  <c r="F51" i="23"/>
  <c r="F52" i="23"/>
  <c r="F53" i="23"/>
  <c r="F54" i="23"/>
  <c r="F55" i="23"/>
  <c r="F56" i="23"/>
  <c r="F57" i="23"/>
  <c r="F58" i="23"/>
  <c r="F59" i="23"/>
  <c r="F60" i="23"/>
  <c r="F61" i="23"/>
  <c r="F62" i="23"/>
  <c r="F63" i="23"/>
  <c r="F4" i="23"/>
  <c r="F5" i="23"/>
  <c r="F6" i="23"/>
  <c r="F7" i="23"/>
  <c r="F8" i="23"/>
  <c r="F9" i="23"/>
  <c r="F10" i="23"/>
  <c r="F11" i="23"/>
  <c r="F12" i="23"/>
  <c r="F15" i="23"/>
  <c r="F16" i="23"/>
  <c r="F17" i="23"/>
  <c r="F18" i="23"/>
  <c r="F19" i="23"/>
  <c r="F3" i="23"/>
  <c r="F47" i="23"/>
  <c r="E2" i="24"/>
  <c r="H2" i="24"/>
  <c r="G56" i="3"/>
  <c r="E39" i="24" l="1"/>
  <c r="E41" i="24" s="1"/>
  <c r="E42" i="24" s="1"/>
  <c r="E33" i="24"/>
  <c r="K47" i="23"/>
  <c r="F35" i="3"/>
  <c r="F42" i="3" s="1"/>
  <c r="F36" i="3"/>
  <c r="F38" i="3" s="1"/>
  <c r="F39" i="3" s="1"/>
  <c r="F40" i="3"/>
  <c r="E63" i="23"/>
  <c r="E62" i="23"/>
  <c r="E61" i="23"/>
  <c r="E60" i="23"/>
  <c r="E59" i="23"/>
  <c r="E58" i="23"/>
  <c r="E57" i="23"/>
  <c r="E56" i="23"/>
  <c r="E55" i="23"/>
  <c r="E54" i="23"/>
  <c r="E53" i="23"/>
  <c r="E52" i="23"/>
  <c r="E51" i="23"/>
  <c r="E50" i="23"/>
  <c r="E49" i="23"/>
  <c r="E48" i="23"/>
  <c r="E47" i="23"/>
  <c r="G41" i="24"/>
  <c r="G42" i="24" s="1"/>
  <c r="F39" i="24"/>
  <c r="F41" i="24" s="1"/>
  <c r="F42" i="24" s="1"/>
  <c r="F48" i="24" s="1"/>
  <c r="D41" i="24"/>
  <c r="D42" i="24" s="1"/>
  <c r="K36" i="23"/>
  <c r="M22" i="23"/>
  <c r="M23" i="23" s="1"/>
  <c r="M24" i="23" s="1"/>
  <c r="M25" i="23" s="1"/>
  <c r="M26" i="23" s="1"/>
  <c r="M27" i="23" s="1"/>
  <c r="E19" i="23"/>
  <c r="E18" i="23"/>
  <c r="E17" i="23"/>
  <c r="E16" i="23"/>
  <c r="E15" i="23"/>
  <c r="E14" i="23"/>
  <c r="E12" i="23"/>
  <c r="E11" i="23"/>
  <c r="E10" i="23"/>
  <c r="E8" i="23"/>
  <c r="E7" i="23"/>
  <c r="E6" i="23"/>
  <c r="K40" i="23"/>
  <c r="E5" i="23"/>
  <c r="L4" i="23"/>
  <c r="E4" i="23"/>
  <c r="L3" i="23"/>
  <c r="E3" i="23"/>
  <c r="F43" i="3" l="1"/>
  <c r="I40" i="24"/>
  <c r="G48" i="24"/>
  <c r="D48" i="24"/>
  <c r="E48" i="24"/>
  <c r="E49" i="24"/>
  <c r="G49" i="24"/>
  <c r="F49" i="24"/>
  <c r="J41" i="23"/>
  <c r="F130" i="6"/>
  <c r="F129" i="6"/>
  <c r="F128" i="6"/>
  <c r="E128" i="6"/>
  <c r="F127" i="6"/>
  <c r="E127" i="6"/>
  <c r="F126" i="6"/>
  <c r="E126" i="6"/>
  <c r="F125" i="6"/>
  <c r="E125" i="6"/>
  <c r="F124" i="6"/>
  <c r="E124" i="6"/>
  <c r="I123" i="6"/>
  <c r="F123" i="6"/>
  <c r="E123" i="6"/>
  <c r="F122" i="6"/>
  <c r="E122" i="6"/>
  <c r="M121" i="6"/>
  <c r="M122" i="6" s="1"/>
  <c r="F121" i="6"/>
  <c r="E121" i="6"/>
  <c r="F120" i="6"/>
  <c r="E120" i="6"/>
  <c r="F119" i="6"/>
  <c r="E119" i="6"/>
  <c r="J117" i="6"/>
  <c r="F117" i="6"/>
  <c r="E117" i="6"/>
  <c r="L116" i="6"/>
  <c r="F116" i="6"/>
  <c r="E116" i="6"/>
  <c r="L115" i="6"/>
  <c r="F89" i="6"/>
  <c r="F88" i="6"/>
  <c r="E88" i="6"/>
  <c r="D87" i="6"/>
  <c r="C87" i="6"/>
  <c r="F86" i="6"/>
  <c r="E86" i="6"/>
  <c r="F85" i="6"/>
  <c r="E85" i="6"/>
  <c r="F84" i="6"/>
  <c r="E84" i="6"/>
  <c r="F83" i="6"/>
  <c r="E83" i="6"/>
  <c r="F82" i="6"/>
  <c r="E82" i="6"/>
  <c r="F81" i="6"/>
  <c r="E81" i="6"/>
  <c r="D80" i="6"/>
  <c r="C80" i="6"/>
  <c r="F79" i="6"/>
  <c r="E79" i="6"/>
  <c r="F78" i="6"/>
  <c r="E78" i="6"/>
  <c r="I77" i="6"/>
  <c r="F77" i="6"/>
  <c r="E77" i="6"/>
  <c r="F76" i="6"/>
  <c r="E76" i="6"/>
  <c r="M75" i="6"/>
  <c r="M76" i="6" s="1"/>
  <c r="F75" i="6"/>
  <c r="E75" i="6"/>
  <c r="F74" i="6"/>
  <c r="E74" i="6"/>
  <c r="F73" i="6"/>
  <c r="E73" i="6"/>
  <c r="F72" i="6"/>
  <c r="E72" i="6"/>
  <c r="J71" i="6"/>
  <c r="F71" i="6"/>
  <c r="E71" i="6"/>
  <c r="L70" i="6"/>
  <c r="F70" i="6"/>
  <c r="E70" i="6"/>
  <c r="L69" i="6"/>
  <c r="E69" i="6"/>
  <c r="D69" i="6"/>
  <c r="F69" i="6" s="1"/>
  <c r="K63" i="6"/>
  <c r="F54" i="6"/>
  <c r="E53" i="6"/>
  <c r="G52" i="6"/>
  <c r="C52" i="6"/>
  <c r="J51" i="6"/>
  <c r="E51" i="6"/>
  <c r="F50" i="6"/>
  <c r="E50" i="6"/>
  <c r="F49" i="6"/>
  <c r="E49" i="6"/>
  <c r="F48" i="6"/>
  <c r="E48" i="6"/>
  <c r="I47" i="6"/>
  <c r="F47" i="6"/>
  <c r="E47" i="6"/>
  <c r="Q46" i="6"/>
  <c r="P46" i="6"/>
  <c r="F46" i="6"/>
  <c r="E46" i="6"/>
  <c r="M45" i="6"/>
  <c r="M46" i="6" s="1"/>
  <c r="F45" i="6"/>
  <c r="E45" i="6"/>
  <c r="F44" i="6"/>
  <c r="E44" i="6"/>
  <c r="E43" i="6"/>
  <c r="F42" i="6"/>
  <c r="E42" i="6"/>
  <c r="J41" i="6"/>
  <c r="F41" i="6"/>
  <c r="E41" i="6"/>
  <c r="L40" i="6"/>
  <c r="F40" i="6"/>
  <c r="E40" i="6"/>
  <c r="L39" i="6"/>
  <c r="E39" i="6"/>
  <c r="AT46" i="3"/>
  <c r="AS46" i="3"/>
  <c r="AU42" i="3"/>
  <c r="AU40" i="3"/>
  <c r="AT40" i="3"/>
  <c r="AS40" i="3"/>
  <c r="AU36" i="3"/>
  <c r="AU38" i="3" s="1"/>
  <c r="AU39" i="3" s="1"/>
  <c r="AT36" i="3"/>
  <c r="AT38" i="3" s="1"/>
  <c r="AT39" i="3" s="1"/>
  <c r="AT34" i="3"/>
  <c r="AT42" i="3" s="1"/>
  <c r="AS22" i="3"/>
  <c r="AS36" i="3" s="1"/>
  <c r="AS38" i="3" s="1"/>
  <c r="AS39" i="3" s="1"/>
  <c r="AQ4" i="3"/>
  <c r="AQ3" i="3"/>
  <c r="AM44" i="3"/>
  <c r="AL42" i="3"/>
  <c r="AN40" i="3"/>
  <c r="AM40" i="3"/>
  <c r="AL37" i="3"/>
  <c r="AL40" i="3" s="1"/>
  <c r="AN36" i="3"/>
  <c r="AN38" i="3" s="1"/>
  <c r="AN39" i="3" s="1"/>
  <c r="AN34" i="3"/>
  <c r="AN42" i="3" s="1"/>
  <c r="AM32" i="3"/>
  <c r="AM34" i="3" s="1"/>
  <c r="AM42" i="3" s="1"/>
  <c r="AL30" i="3"/>
  <c r="AL26" i="3"/>
  <c r="AP18" i="3"/>
  <c r="AP17" i="3"/>
  <c r="AJ4" i="3"/>
  <c r="AJ3" i="3"/>
  <c r="AI36" i="3"/>
  <c r="AF43" i="3"/>
  <c r="AH40" i="3"/>
  <c r="AG40" i="3"/>
  <c r="AF40" i="3"/>
  <c r="AE40" i="3"/>
  <c r="AH36" i="3"/>
  <c r="AH38" i="3" s="1"/>
  <c r="AH39" i="3" s="1"/>
  <c r="AG36" i="3"/>
  <c r="AG38" i="3" s="1"/>
  <c r="AG39" i="3" s="1"/>
  <c r="AF36" i="3"/>
  <c r="AF38" i="3" s="1"/>
  <c r="AF39" i="3" s="1"/>
  <c r="AE36" i="3"/>
  <c r="AE38" i="3" s="1"/>
  <c r="AE39" i="3" s="1"/>
  <c r="AH35" i="3"/>
  <c r="AH42" i="3" s="1"/>
  <c r="AG35" i="3"/>
  <c r="AG42" i="3" s="1"/>
  <c r="AF35" i="3"/>
  <c r="AF42" i="3" s="1"/>
  <c r="AE35" i="3"/>
  <c r="AE42" i="3" s="1"/>
  <c r="AI34" i="3"/>
  <c r="AC5" i="3"/>
  <c r="AC4" i="3"/>
  <c r="AU45" i="3" l="1"/>
  <c r="AN45" i="3"/>
  <c r="AG45" i="3"/>
  <c r="AL36" i="3"/>
  <c r="AL38" i="3" s="1"/>
  <c r="AL39" i="3" s="1"/>
  <c r="AL45" i="3" s="1"/>
  <c r="AP19" i="3"/>
  <c r="M47" i="6"/>
  <c r="M123" i="6"/>
  <c r="M124" i="6" s="1"/>
  <c r="M125" i="6" s="1"/>
  <c r="M77" i="6"/>
  <c r="M78" i="6" s="1"/>
  <c r="F80" i="6"/>
  <c r="F87" i="6"/>
  <c r="E80" i="6"/>
  <c r="E87" i="6"/>
  <c r="AQ5" i="3"/>
  <c r="AT45" i="3"/>
  <c r="AV36" i="3"/>
  <c r="AS34" i="3"/>
  <c r="AS42" i="3" s="1"/>
  <c r="AS45" i="3" s="1"/>
  <c r="AM36" i="3"/>
  <c r="AM38" i="3" s="1"/>
  <c r="AM39" i="3" s="1"/>
  <c r="AM45" i="3" s="1"/>
  <c r="AO36" i="3"/>
  <c r="AF45" i="3"/>
  <c r="AF46" i="3" s="1"/>
  <c r="AG44" i="3"/>
  <c r="AH45" i="3"/>
  <c r="AE45" i="3"/>
  <c r="AE46" i="3" s="1"/>
  <c r="AQ6" i="3" l="1"/>
  <c r="AJ5" i="3"/>
  <c r="AC6" i="3"/>
  <c r="AQ7" i="3" l="1"/>
  <c r="AJ6" i="3"/>
  <c r="AC7" i="3"/>
  <c r="AQ8" i="3" l="1"/>
  <c r="AJ7" i="3"/>
  <c r="AC8" i="3"/>
  <c r="AQ9" i="3" l="1"/>
  <c r="AJ8" i="3"/>
  <c r="AC9" i="3"/>
  <c r="AQ10" i="3" l="1"/>
  <c r="AJ9" i="3"/>
  <c r="AC10" i="3"/>
  <c r="AQ11" i="3" l="1"/>
  <c r="AJ10" i="3"/>
  <c r="AC11" i="3"/>
  <c r="AQ12" i="3" l="1"/>
  <c r="AJ11" i="3"/>
  <c r="AC12" i="3"/>
  <c r="AQ13" i="3" l="1"/>
  <c r="AJ12" i="3"/>
  <c r="AC13" i="3"/>
  <c r="AQ14" i="3" l="1"/>
  <c r="AJ13" i="3"/>
  <c r="AC14" i="3"/>
  <c r="H36" i="3"/>
  <c r="D36" i="3"/>
  <c r="AQ15" i="3" l="1"/>
  <c r="AJ14" i="3"/>
  <c r="AC15" i="3"/>
  <c r="AQ16" i="3" l="1"/>
  <c r="AJ15" i="3"/>
  <c r="AC16" i="3"/>
  <c r="D51" i="3"/>
  <c r="AQ17" i="3" l="1"/>
  <c r="AJ16" i="3"/>
  <c r="AC17" i="3"/>
  <c r="AQ18" i="3" l="1"/>
  <c r="AJ17" i="3"/>
  <c r="AC18" i="3"/>
  <c r="AQ19" i="3" l="1"/>
  <c r="AJ18" i="3"/>
  <c r="AC19" i="3"/>
  <c r="AQ20" i="3" l="1"/>
  <c r="AJ19" i="3"/>
  <c r="AC20" i="3"/>
  <c r="AQ21" i="3" l="1"/>
  <c r="AJ20" i="3"/>
  <c r="AC21" i="3"/>
  <c r="AQ22" i="3" l="1"/>
  <c r="AJ21" i="3"/>
  <c r="AC22" i="3"/>
  <c r="G12" i="6"/>
  <c r="AQ23" i="3" l="1"/>
  <c r="AJ22" i="3"/>
  <c r="AC23" i="3"/>
  <c r="AQ24" i="3" l="1"/>
  <c r="AJ23" i="3"/>
  <c r="AC24" i="3"/>
  <c r="AQ25" i="3" l="1"/>
  <c r="AJ24" i="3"/>
  <c r="AC25" i="3"/>
  <c r="AQ26" i="3" l="1"/>
  <c r="AJ25" i="3"/>
  <c r="AC26" i="3"/>
  <c r="AQ27" i="3" l="1"/>
  <c r="AJ26" i="3"/>
  <c r="AC27" i="3"/>
  <c r="AQ28" i="3" l="1"/>
  <c r="AJ27" i="3"/>
  <c r="AC28" i="3"/>
  <c r="AQ29" i="3" l="1"/>
  <c r="AJ28" i="3"/>
  <c r="AC29" i="3"/>
  <c r="AQ30" i="3" l="1"/>
  <c r="AJ29" i="3"/>
  <c r="AC30" i="3"/>
  <c r="AQ31" i="3" l="1"/>
  <c r="AJ30" i="3"/>
  <c r="AC31" i="3"/>
  <c r="AQ32" i="3" l="1"/>
  <c r="AQ33" i="3"/>
  <c r="AJ31" i="3"/>
  <c r="AC32" i="3"/>
  <c r="AJ33" i="3" l="1"/>
  <c r="AJ32" i="3"/>
  <c r="AC34" i="3"/>
  <c r="AC33" i="3"/>
  <c r="D40" i="3" l="1"/>
  <c r="E3" i="6" l="1"/>
  <c r="L4" i="6"/>
  <c r="L3" i="6"/>
  <c r="L5" i="6" l="1"/>
  <c r="M9" i="6" l="1"/>
  <c r="M10" i="6" s="1"/>
  <c r="I11" i="6" l="1"/>
  <c r="S43" i="3" l="1"/>
  <c r="U40" i="3"/>
  <c r="T40" i="3"/>
  <c r="S40" i="3"/>
  <c r="R40" i="3"/>
  <c r="T36" i="3"/>
  <c r="T38" i="3" s="1"/>
  <c r="T39" i="3" s="1"/>
  <c r="T35" i="3"/>
  <c r="T42" i="3" s="1"/>
  <c r="Y33" i="3"/>
  <c r="W33" i="3"/>
  <c r="S33" i="3"/>
  <c r="S21" i="3"/>
  <c r="R19" i="3"/>
  <c r="R11" i="3"/>
  <c r="U10" i="3"/>
  <c r="P5" i="3"/>
  <c r="P4" i="3"/>
  <c r="L43" i="3"/>
  <c r="N40" i="3"/>
  <c r="M40" i="3"/>
  <c r="L40" i="3"/>
  <c r="K40" i="3"/>
  <c r="N36" i="3"/>
  <c r="N38" i="3" s="1"/>
  <c r="N39" i="3" s="1"/>
  <c r="L36" i="3"/>
  <c r="L38" i="3" s="1"/>
  <c r="L39" i="3" s="1"/>
  <c r="K36" i="3"/>
  <c r="N35" i="3"/>
  <c r="N42" i="3" s="1"/>
  <c r="L35" i="3"/>
  <c r="L42" i="3" s="1"/>
  <c r="K35" i="3"/>
  <c r="K42" i="3" s="1"/>
  <c r="M13" i="3"/>
  <c r="O36" i="3" s="1"/>
  <c r="D52" i="3" s="1"/>
  <c r="I5" i="3"/>
  <c r="I4" i="3"/>
  <c r="V36" i="3" l="1"/>
  <c r="D53" i="3" s="1"/>
  <c r="S36" i="3"/>
  <c r="S38" i="3" s="1"/>
  <c r="S39" i="3" s="1"/>
  <c r="T45" i="3"/>
  <c r="T46" i="3" s="1"/>
  <c r="R36" i="3"/>
  <c r="M36" i="3"/>
  <c r="M38" i="3" s="1"/>
  <c r="M39" i="3" s="1"/>
  <c r="K38" i="3"/>
  <c r="K39" i="3" s="1"/>
  <c r="L44" i="3"/>
  <c r="U36" i="3"/>
  <c r="U38" i="3" s="1"/>
  <c r="U39" i="3" s="1"/>
  <c r="U45" i="3" s="1"/>
  <c r="P6" i="3"/>
  <c r="P8" i="3"/>
  <c r="P9" i="3"/>
  <c r="P7" i="3"/>
  <c r="S35" i="3"/>
  <c r="S42" i="3" s="1"/>
  <c r="U35" i="3"/>
  <c r="R35" i="3"/>
  <c r="R42" i="3" s="1"/>
  <c r="L45" i="3"/>
  <c r="N44" i="3"/>
  <c r="N45" i="3" s="1"/>
  <c r="I6" i="3"/>
  <c r="M35" i="3"/>
  <c r="M42" i="3" s="1"/>
  <c r="C22" i="6"/>
  <c r="E21" i="6"/>
  <c r="G4" i="6"/>
  <c r="G3" i="6"/>
  <c r="M44" i="3" l="1"/>
  <c r="M45" i="3" s="1"/>
  <c r="S46" i="3"/>
  <c r="S45" i="3" s="1"/>
  <c r="R38" i="3"/>
  <c r="R39" i="3" s="1"/>
  <c r="R45" i="3" s="1"/>
  <c r="R46" i="3" s="1"/>
  <c r="K44" i="3"/>
  <c r="K45" i="3" s="1"/>
  <c r="T44" i="3"/>
  <c r="P10" i="3"/>
  <c r="I7" i="3"/>
  <c r="R47" i="3" l="1"/>
  <c r="P11" i="3"/>
  <c r="I8" i="3"/>
  <c r="J5" i="6"/>
  <c r="P12" i="3" l="1"/>
  <c r="I9" i="3"/>
  <c r="P13" i="3" l="1"/>
  <c r="I10" i="3"/>
  <c r="P14" i="3" l="1"/>
  <c r="I11" i="3"/>
  <c r="P15" i="3" l="1"/>
  <c r="I12" i="3"/>
  <c r="F20" i="6"/>
  <c r="P16" i="6"/>
  <c r="P14" i="6"/>
  <c r="P8" i="6"/>
  <c r="P16" i="3" l="1"/>
  <c r="I13" i="3"/>
  <c r="P19" i="6"/>
  <c r="P17" i="3" l="1"/>
  <c r="I14" i="3"/>
  <c r="P18" i="3" l="1"/>
  <c r="I15" i="3"/>
  <c r="D4" i="6"/>
  <c r="K27" i="6"/>
  <c r="F15" i="6"/>
  <c r="F16" i="6"/>
  <c r="F17" i="6"/>
  <c r="F18" i="6"/>
  <c r="F19" i="6"/>
  <c r="F21" i="6"/>
  <c r="F14" i="6"/>
  <c r="F12" i="6"/>
  <c r="F11" i="6"/>
  <c r="F10" i="6"/>
  <c r="F4" i="6"/>
  <c r="P19" i="3" l="1"/>
  <c r="I16" i="3"/>
  <c r="P20" i="3" l="1"/>
  <c r="I17" i="3"/>
  <c r="E13" i="6"/>
  <c r="E14" i="6"/>
  <c r="E15" i="6"/>
  <c r="E16" i="6"/>
  <c r="E17" i="6"/>
  <c r="E18" i="6"/>
  <c r="E19" i="6"/>
  <c r="E20" i="6"/>
  <c r="E4" i="6"/>
  <c r="E5" i="6"/>
  <c r="E6" i="6"/>
  <c r="E7" i="6"/>
  <c r="E8" i="6"/>
  <c r="E9" i="6"/>
  <c r="E10" i="6"/>
  <c r="E11" i="6"/>
  <c r="E12" i="6"/>
  <c r="P21" i="3" l="1"/>
  <c r="I18" i="3"/>
  <c r="P22" i="3" l="1"/>
  <c r="I19" i="3"/>
  <c r="P23" i="3" l="1"/>
  <c r="I20" i="3"/>
  <c r="F5" i="6"/>
  <c r="F6" i="6"/>
  <c r="F8" i="6"/>
  <c r="P24" i="3" l="1"/>
  <c r="I21" i="3"/>
  <c r="P25" i="3" l="1"/>
  <c r="I22" i="3"/>
  <c r="P26" i="3" l="1"/>
  <c r="I23" i="3"/>
  <c r="P27" i="3" l="1"/>
  <c r="I24" i="3"/>
  <c r="P28" i="3" l="1"/>
  <c r="I25" i="3"/>
  <c r="P29" i="3" l="1"/>
  <c r="I26" i="3"/>
  <c r="G36" i="3"/>
  <c r="G38" i="3" s="1"/>
  <c r="G39" i="3" s="1"/>
  <c r="E36" i="3"/>
  <c r="E38" i="3" s="1"/>
  <c r="G40" i="3"/>
  <c r="G35" i="3"/>
  <c r="G42" i="3" s="1"/>
  <c r="D38" i="3" l="1"/>
  <c r="D39" i="3" s="1"/>
  <c r="P30" i="3"/>
  <c r="I27" i="3"/>
  <c r="G43" i="3"/>
  <c r="E40" i="3"/>
  <c r="E35" i="3"/>
  <c r="D35" i="3"/>
  <c r="D42" i="3" s="1"/>
  <c r="D43" i="3" l="1"/>
  <c r="P31" i="3"/>
  <c r="I28" i="3"/>
  <c r="E39" i="3"/>
  <c r="E42" i="3"/>
  <c r="B4" i="3"/>
  <c r="C5" i="3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B34" i="3" s="1"/>
  <c r="E43" i="3" l="1"/>
  <c r="P32" i="3"/>
  <c r="I29" i="3"/>
  <c r="B31" i="3"/>
  <c r="B27" i="3"/>
  <c r="B23" i="3"/>
  <c r="B19" i="3"/>
  <c r="B15" i="3"/>
  <c r="B11" i="3"/>
  <c r="B7" i="3"/>
  <c r="B32" i="3"/>
  <c r="B24" i="3"/>
  <c r="B16" i="3"/>
  <c r="B8" i="3"/>
  <c r="B30" i="3"/>
  <c r="B26" i="3"/>
  <c r="B22" i="3"/>
  <c r="B18" i="3"/>
  <c r="B14" i="3"/>
  <c r="B10" i="3"/>
  <c r="B6" i="3"/>
  <c r="B28" i="3"/>
  <c r="B20" i="3"/>
  <c r="B12" i="3"/>
  <c r="B33" i="3"/>
  <c r="B29" i="3"/>
  <c r="B25" i="3"/>
  <c r="B21" i="3"/>
  <c r="B17" i="3"/>
  <c r="B13" i="3"/>
  <c r="B9" i="3"/>
  <c r="B5" i="3"/>
  <c r="P34" i="3" l="1"/>
  <c r="P33" i="3"/>
  <c r="I30" i="3"/>
  <c r="I31" i="3" l="1"/>
  <c r="I32" i="3" l="1"/>
  <c r="I33" i="3"/>
</calcChain>
</file>

<file path=xl/sharedStrings.xml><?xml version="1.0" encoding="utf-8"?>
<sst xmlns="http://schemas.openxmlformats.org/spreadsheetml/2006/main" count="1510" uniqueCount="318">
  <si>
    <t>ира</t>
  </si>
  <si>
    <t>олеся</t>
  </si>
  <si>
    <t>дата</t>
  </si>
  <si>
    <t>кол-во смен</t>
  </si>
  <si>
    <t>сумма по uds</t>
  </si>
  <si>
    <t>разница</t>
  </si>
  <si>
    <t>3%от uds</t>
  </si>
  <si>
    <t>премия</t>
  </si>
  <si>
    <t>1% от нал</t>
  </si>
  <si>
    <t>май</t>
  </si>
  <si>
    <t>№ дня</t>
  </si>
  <si>
    <t>оля</t>
  </si>
  <si>
    <t>наталья</t>
  </si>
  <si>
    <t xml:space="preserve">выручка </t>
  </si>
  <si>
    <t>оклад</t>
  </si>
  <si>
    <t>начислено</t>
  </si>
  <si>
    <t>Месяц</t>
  </si>
  <si>
    <t>Выручка</t>
  </si>
  <si>
    <t>июнь</t>
  </si>
  <si>
    <t>июль</t>
  </si>
  <si>
    <t>август</t>
  </si>
  <si>
    <t>скидка</t>
  </si>
  <si>
    <t>uds</t>
  </si>
  <si>
    <t>нал</t>
  </si>
  <si>
    <t>безнал</t>
  </si>
  <si>
    <t>скидка по UDS</t>
  </si>
  <si>
    <t xml:space="preserve">аванс </t>
  </si>
  <si>
    <t>граттол</t>
  </si>
  <si>
    <t>акт сверки</t>
  </si>
  <si>
    <t>эстель</t>
  </si>
  <si>
    <t>москва</t>
  </si>
  <si>
    <t>милан</t>
  </si>
  <si>
    <t>амирханов(эль)</t>
  </si>
  <si>
    <t xml:space="preserve">джамп </t>
  </si>
  <si>
    <t>фирма</t>
  </si>
  <si>
    <t>сумма</t>
  </si>
  <si>
    <t>статус</t>
  </si>
  <si>
    <t>на магазин</t>
  </si>
  <si>
    <t>внесено</t>
  </si>
  <si>
    <t>солигорск</t>
  </si>
  <si>
    <t>житковичи</t>
  </si>
  <si>
    <t>за июнь</t>
  </si>
  <si>
    <t>осталось</t>
  </si>
  <si>
    <t>реализация за июнь месяц</t>
  </si>
  <si>
    <t>дата внесения</t>
  </si>
  <si>
    <t>за месяц</t>
  </si>
  <si>
    <t>ирина</t>
  </si>
  <si>
    <t>обязат страх ФОНД</t>
  </si>
  <si>
    <t>аванс</t>
  </si>
  <si>
    <t>единый налог</t>
  </si>
  <si>
    <t>итог</t>
  </si>
  <si>
    <t>подох налог</t>
  </si>
  <si>
    <t>белгосстарх</t>
  </si>
  <si>
    <t>велком</t>
  </si>
  <si>
    <t>телесеть</t>
  </si>
  <si>
    <t>граттол(карта)</t>
  </si>
  <si>
    <t>+</t>
  </si>
  <si>
    <t>комиссия за аванс раб</t>
  </si>
  <si>
    <t>пришло</t>
  </si>
  <si>
    <t>доплата единого</t>
  </si>
  <si>
    <t>наличка</t>
  </si>
  <si>
    <t>реализация</t>
  </si>
  <si>
    <t>бьюти левел</t>
  </si>
  <si>
    <t>данделион</t>
  </si>
  <si>
    <t>насир</t>
  </si>
  <si>
    <t>магазин</t>
  </si>
  <si>
    <t>фрезы</t>
  </si>
  <si>
    <t>наклейки</t>
  </si>
  <si>
    <t>коммуналка</t>
  </si>
  <si>
    <t>естель</t>
  </si>
  <si>
    <t>нет наклад</t>
  </si>
  <si>
    <t>люмекс(лизап)</t>
  </si>
  <si>
    <t>-</t>
  </si>
  <si>
    <t>выручка</t>
  </si>
  <si>
    <t>1% от прод</t>
  </si>
  <si>
    <t>3% от uds</t>
  </si>
  <si>
    <t>1% от суммы</t>
  </si>
  <si>
    <t xml:space="preserve">к выдаче </t>
  </si>
  <si>
    <t>29июля: -400р</t>
  </si>
  <si>
    <t>аванс наличка</t>
  </si>
  <si>
    <t>роял</t>
  </si>
  <si>
    <t>аренда</t>
  </si>
  <si>
    <t>амирханов</t>
  </si>
  <si>
    <t>гратол</t>
  </si>
  <si>
    <t>уно</t>
  </si>
  <si>
    <t>пудра</t>
  </si>
  <si>
    <t>сильвер стар</t>
  </si>
  <si>
    <t>атис</t>
  </si>
  <si>
    <t>итал вакс</t>
  </si>
  <si>
    <t>домикс</t>
  </si>
  <si>
    <t>сделать</t>
  </si>
  <si>
    <t>оплачено</t>
  </si>
  <si>
    <t>долг насиру</t>
  </si>
  <si>
    <t>приход</t>
  </si>
  <si>
    <t>аванс карта</t>
  </si>
  <si>
    <t>итого переучет</t>
  </si>
  <si>
    <t>часы</t>
  </si>
  <si>
    <t>трио(jessNail)</t>
  </si>
  <si>
    <t>космо</t>
  </si>
  <si>
    <t>москва(старлет)</t>
  </si>
  <si>
    <t>долг</t>
  </si>
  <si>
    <t>джамп</t>
  </si>
  <si>
    <t>гратол(карта)</t>
  </si>
  <si>
    <t>реализация за июль месяц</t>
  </si>
  <si>
    <t>за июль</t>
  </si>
  <si>
    <t>эстель(ДИМА)</t>
  </si>
  <si>
    <t>бьюти левел(ДИМА)</t>
  </si>
  <si>
    <t>милан(ДИМА)</t>
  </si>
  <si>
    <t>амирхановДИМА-жтк</t>
  </si>
  <si>
    <t>люмекс(лизап)ДИМА</t>
  </si>
  <si>
    <t>30 ЧИСЛА ЗА ДИМУ ОПЛАТИТЬ</t>
  </si>
  <si>
    <t>аванс нал</t>
  </si>
  <si>
    <t>трио(jessNail)ДИМА</t>
  </si>
  <si>
    <t>ИП Галибус-могилёв</t>
  </si>
  <si>
    <t>милан(ДИМА)-жтк</t>
  </si>
  <si>
    <t>jessNail(ИП симанкова)</t>
  </si>
  <si>
    <t>ИП боровой</t>
  </si>
  <si>
    <t>химмедсинтез</t>
  </si>
  <si>
    <t>Елена салфетки</t>
  </si>
  <si>
    <t>врм-стайл</t>
  </si>
  <si>
    <t>девалтовский</t>
  </si>
  <si>
    <t>реестр</t>
  </si>
  <si>
    <t>кол-во счетов</t>
  </si>
  <si>
    <t xml:space="preserve">насир </t>
  </si>
  <si>
    <t xml:space="preserve">эстель </t>
  </si>
  <si>
    <t>Елена салфетки(белспалайн)</t>
  </si>
  <si>
    <t>ИП Галибус-могилёв(наклейки)</t>
  </si>
  <si>
    <t>с довозом</t>
  </si>
  <si>
    <t>экспобел мелочь</t>
  </si>
  <si>
    <t>оплата по банку 473,1</t>
  </si>
  <si>
    <t>ошибка в 17 позиции и  не правильная сумма в 22</t>
  </si>
  <si>
    <t>нет накладной</t>
  </si>
  <si>
    <t>маратон</t>
  </si>
  <si>
    <t>киеми</t>
  </si>
  <si>
    <t>оплата 13 сент за август месяц с олиного счета</t>
  </si>
  <si>
    <t>ОТПУСК!! выплата была 8 сентября 274 р. Добавить на следующий месяц 16 рублей по юдс за продажу не включенную в расчет 8 сентября</t>
  </si>
  <si>
    <t>реализация за август месяц</t>
  </si>
  <si>
    <t>джамп жтк</t>
  </si>
  <si>
    <t>джамп сол</t>
  </si>
  <si>
    <t>бьюти левел жтк</t>
  </si>
  <si>
    <t>10 руб/смена каждой</t>
  </si>
  <si>
    <t>26 числа оплата</t>
  </si>
  <si>
    <t>ира+наташа</t>
  </si>
  <si>
    <t>неполных смен</t>
  </si>
  <si>
    <t>олеся+наташа</t>
  </si>
  <si>
    <t>продавец вышедший на подмену получает 20р за смену, если выручка меньше 1000р, если больше идет %</t>
  </si>
  <si>
    <t>выручка мес</t>
  </si>
  <si>
    <t>неполный</t>
  </si>
  <si>
    <t>сентябрь</t>
  </si>
  <si>
    <t>натали маркет врм</t>
  </si>
  <si>
    <t>ип амирханов(эль)</t>
  </si>
  <si>
    <t>на 5 р меньше, чем в накладной, тк выше оплатили больше на 5</t>
  </si>
  <si>
    <t>неполный р/д</t>
  </si>
  <si>
    <t>полный р/д</t>
  </si>
  <si>
    <t>ИП Галибус-ЖТК</t>
  </si>
  <si>
    <t>ИП Галибус</t>
  </si>
  <si>
    <t>бьюти левел-ЖТК</t>
  </si>
  <si>
    <t xml:space="preserve"> JN(ИП симанкова)-ЖТК</t>
  </si>
  <si>
    <t>реализация за СЕНЯТБРЬ месяц</t>
  </si>
  <si>
    <t>уплата</t>
  </si>
  <si>
    <t>за сент</t>
  </si>
  <si>
    <t>за ноябрь</t>
  </si>
  <si>
    <t>октябрь</t>
  </si>
  <si>
    <t>ноябрь</t>
  </si>
  <si>
    <t>сводка выручки по месяцам</t>
  </si>
  <si>
    <t>реализация за ОКТЯБРЬ месяц</t>
  </si>
  <si>
    <t>график выручки</t>
  </si>
  <si>
    <t>график реализации</t>
  </si>
  <si>
    <t>общая</t>
  </si>
  <si>
    <t>жтк</t>
  </si>
  <si>
    <t>за окт</t>
  </si>
  <si>
    <t>за декабрь</t>
  </si>
  <si>
    <t>нет накл</t>
  </si>
  <si>
    <t>примечание</t>
  </si>
  <si>
    <t>аванс работникам</t>
  </si>
  <si>
    <t>белспалайн</t>
  </si>
  <si>
    <t>ввозной налог</t>
  </si>
  <si>
    <t>В ТЕЧ МЕС</t>
  </si>
  <si>
    <t>Налоги и прочие расходы</t>
  </si>
  <si>
    <t>всего:</t>
  </si>
  <si>
    <t>осталось оплатить:</t>
  </si>
  <si>
    <t>ВЕЛКОМ</t>
  </si>
  <si>
    <t>15 ЧИСЛА ПО 10 Р</t>
  </si>
  <si>
    <t>лизап</t>
  </si>
  <si>
    <t>юлия</t>
  </si>
  <si>
    <t>ип лосик</t>
  </si>
  <si>
    <t>ип галибус</t>
  </si>
  <si>
    <t>симанкова</t>
  </si>
  <si>
    <t>10Р 15 Числа</t>
  </si>
  <si>
    <t>ГАЛЕРЕЯ</t>
  </si>
  <si>
    <t>ВЕСТ</t>
  </si>
  <si>
    <t>ольга</t>
  </si>
  <si>
    <t>декабрь</t>
  </si>
  <si>
    <t>оплачано</t>
  </si>
  <si>
    <t>сентбрь</t>
  </si>
  <si>
    <t>АВГУСТ</t>
  </si>
  <si>
    <t>СЕНТЯБРЬ</t>
  </si>
  <si>
    <t>ОКТЯБРЬ</t>
  </si>
  <si>
    <t>основа ТЦ ВЕСТ</t>
  </si>
  <si>
    <t>январь</t>
  </si>
  <si>
    <t>за нояб</t>
  </si>
  <si>
    <t>за январь</t>
  </si>
  <si>
    <t>реализация за НОЯБРЬ месяц "ТЦ ВЕСТ"</t>
  </si>
  <si>
    <t>ТЦ "вест"</t>
  </si>
  <si>
    <t>ТЦ "галерея"</t>
  </si>
  <si>
    <t>ИП Симанкова</t>
  </si>
  <si>
    <t>до10числа каждого</t>
  </si>
  <si>
    <t>за янв</t>
  </si>
  <si>
    <t>ВЕСТ конец ноября, декабрь</t>
  </si>
  <si>
    <t>февраль</t>
  </si>
  <si>
    <t>март</t>
  </si>
  <si>
    <t>апрель</t>
  </si>
  <si>
    <t>ООО "Люмекс"</t>
  </si>
  <si>
    <t>ООО "ВРМ-стайл</t>
  </si>
  <si>
    <t>ООО "КМИЗ-экспорт"</t>
  </si>
  <si>
    <t>ИП Казакова</t>
  </si>
  <si>
    <t>ИП Голованова</t>
  </si>
  <si>
    <t>ИП Симанкова-ЖТК</t>
  </si>
  <si>
    <t>НАСИР</t>
  </si>
  <si>
    <t>КИЕМИ</t>
  </si>
  <si>
    <t>НЕТ НАКЛАДНОЙ</t>
  </si>
  <si>
    <t>ЖТК</t>
  </si>
  <si>
    <t>реализация за НОЯБРЬ месяц</t>
  </si>
  <si>
    <t>ООО "Данделион"</t>
  </si>
  <si>
    <t>ООО "Бьюти Левел"</t>
  </si>
  <si>
    <t>скидки</t>
  </si>
  <si>
    <t>ИСПРАВИТЬ НАЗНАЧЕНИЯ ПЛАТЕЖЕЙ БГС ФСЗН ЗА ДЕКАБРЬ МЕСЯЦ ( В ОПЛАТАХ ЯНВАРСКИХ)</t>
  </si>
  <si>
    <t>процессинговый центр</t>
  </si>
  <si>
    <t>скидочные дни</t>
  </si>
  <si>
    <t>кол-во всех смен</t>
  </si>
  <si>
    <t>наташа 5,5 часа</t>
  </si>
  <si>
    <t>с10 до 21</t>
  </si>
  <si>
    <t>11 часов</t>
  </si>
  <si>
    <t>юля с 10-19</t>
  </si>
  <si>
    <t>9часов</t>
  </si>
  <si>
    <t>5,5 часов</t>
  </si>
  <si>
    <t>9 часов</t>
  </si>
  <si>
    <t>ира+олеся</t>
  </si>
  <si>
    <t>оклад (16 полных смен*20р)</t>
  </si>
  <si>
    <r>
      <t>30 дек. 3% от выручки:</t>
    </r>
    <r>
      <rPr>
        <sz val="9"/>
        <color theme="4"/>
        <rFont val="Calibri"/>
        <family val="2"/>
        <charset val="204"/>
        <scheme val="minor"/>
      </rPr>
      <t xml:space="preserve"> </t>
    </r>
    <r>
      <rPr>
        <sz val="9"/>
        <color theme="4" tint="-0.249977111117893"/>
        <rFont val="Calibri"/>
        <family val="2"/>
        <charset val="204"/>
        <scheme val="minor"/>
      </rPr>
      <t>12,53</t>
    </r>
  </si>
  <si>
    <r>
      <t>7 дек. отработано: 5,5 часов-</t>
    </r>
    <r>
      <rPr>
        <sz val="9"/>
        <color theme="4" tint="-0.249977111117893"/>
        <rFont val="Calibri"/>
        <family val="2"/>
        <charset val="204"/>
        <scheme val="minor"/>
      </rPr>
      <t>10р.</t>
    </r>
  </si>
  <si>
    <r>
      <t>9 дек. отработано: 9 часов-</t>
    </r>
    <r>
      <rPr>
        <sz val="9"/>
        <color theme="4" tint="-0.249977111117893"/>
        <rFont val="Calibri"/>
        <family val="2"/>
        <charset val="204"/>
        <scheme val="minor"/>
      </rPr>
      <t>16,36р.</t>
    </r>
  </si>
  <si>
    <t>1% от продаж за месяц</t>
  </si>
  <si>
    <t>3% от uds за месяц</t>
  </si>
  <si>
    <t>ООО "Белспалайн"</t>
  </si>
  <si>
    <t>реализация за ДЕКАБРЬ месяц</t>
  </si>
  <si>
    <t>за февраль</t>
  </si>
  <si>
    <t>ВЕСТ январь</t>
  </si>
  <si>
    <t>Граттол</t>
  </si>
  <si>
    <t>лена-жтк</t>
  </si>
  <si>
    <t>НЕ НУЖНО</t>
  </si>
  <si>
    <t>РОЯЛ</t>
  </si>
  <si>
    <t>ИП Амирханов</t>
  </si>
  <si>
    <t xml:space="preserve">оклад </t>
  </si>
  <si>
    <t>30 янв. выплата</t>
  </si>
  <si>
    <t>реализация за ЯНВАРЬ месяц</t>
  </si>
  <si>
    <t>за март</t>
  </si>
  <si>
    <t>сент</t>
  </si>
  <si>
    <t>ВЫРУЧКА ЖТК</t>
  </si>
  <si>
    <t>ОПЛАЧЕНО</t>
  </si>
  <si>
    <t>29ЯНВАРЯ</t>
  </si>
  <si>
    <t>740.39</t>
  </si>
  <si>
    <t>ИП КАЗАКОВА( ЗИНГЕР)</t>
  </si>
  <si>
    <t>ООО "Наши волосы"</t>
  </si>
  <si>
    <t>ООО "Эстель Сервис"</t>
  </si>
  <si>
    <t>ЧП "Джамп Плюс"</t>
  </si>
  <si>
    <t>ИП Чепурко</t>
  </si>
  <si>
    <t>нет</t>
  </si>
  <si>
    <t>Расчетный лист за Февраль 2020 года</t>
  </si>
  <si>
    <t>ФИО:</t>
  </si>
  <si>
    <t>Вид начисления</t>
  </si>
  <si>
    <t>Дни</t>
  </si>
  <si>
    <t>Часы</t>
  </si>
  <si>
    <t>Сумма</t>
  </si>
  <si>
    <t>Вид удержания</t>
  </si>
  <si>
    <t>Отделение:</t>
  </si>
  <si>
    <t>Оклад</t>
  </si>
  <si>
    <t>Ежемесячна</t>
  </si>
  <si>
    <t>итого:</t>
  </si>
  <si>
    <t>реализация за ЯНВАРЬ месяц "ТЦ ВЕСТ"</t>
  </si>
  <si>
    <t>ВЕСТ февраль (ИП ЛОСИК)</t>
  </si>
  <si>
    <t>ГАЛЕРЕЯ февраль (ИП КОНОПЛЯНИК)</t>
  </si>
  <si>
    <t>ООО "Био Линия БЛР"</t>
  </si>
  <si>
    <t>НОЯБРЬ</t>
  </si>
  <si>
    <t>ГАЛЕРЕЯ март (ИП КОНОПЛЯНИК)</t>
  </si>
  <si>
    <t>ВЕСТ март (ИП ЛОСИК)</t>
  </si>
  <si>
    <t>реализация за ФЕВРАЛЬ месяц</t>
  </si>
  <si>
    <t>реализация за ФЕВРАЛЬ месяц "ТЦ ВЕСТ"</t>
  </si>
  <si>
    <t>за апрель</t>
  </si>
  <si>
    <t>1575.56</t>
  </si>
  <si>
    <t xml:space="preserve">закупка </t>
  </si>
  <si>
    <t>зарплаты</t>
  </si>
  <si>
    <t>расходы</t>
  </si>
  <si>
    <t>прибыль</t>
  </si>
  <si>
    <t>angelTeam</t>
  </si>
  <si>
    <t>JessNail</t>
  </si>
  <si>
    <t>Cosmo</t>
  </si>
  <si>
    <t>Grattol</t>
  </si>
  <si>
    <t>Kiemi</t>
  </si>
  <si>
    <t>Lovely</t>
  </si>
  <si>
    <t>Перчатки</t>
  </si>
  <si>
    <t>на магазине</t>
  </si>
  <si>
    <t>закупка</t>
  </si>
  <si>
    <t xml:space="preserve">наличка </t>
  </si>
  <si>
    <t>cosmo</t>
  </si>
  <si>
    <t>grattol</t>
  </si>
  <si>
    <t>перчатки</t>
  </si>
  <si>
    <t>галерея</t>
  </si>
  <si>
    <t>вест</t>
  </si>
  <si>
    <t>итого</t>
  </si>
  <si>
    <t xml:space="preserve">         </t>
  </si>
  <si>
    <t>джессика могилев</t>
  </si>
  <si>
    <t>180дол нам долг насир</t>
  </si>
  <si>
    <t>21 руб намм долг</t>
  </si>
  <si>
    <t>эль</t>
  </si>
  <si>
    <t>икрам</t>
  </si>
  <si>
    <t>Химмедсинтез</t>
  </si>
  <si>
    <t>ВОЗВРАТ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</si>
</sst>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р_."/>
    <numFmt numFmtId="165" formatCode="#,##0.00_р_."/>
    <numFmt numFmtId="166" formatCode="0.0"/>
    <numFmt numFmtId="167" formatCode="0.0000"/>
    <numFmt numFmtId="168" formatCode="0.000"/>
  </numFmts>
  <fonts count="24" x14ac:knownFonts="1">
    <font>
      <sz val="11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12"/>
      <color rgb="FF1B1725"/>
      <name val="Arial"/>
      <family val="2"/>
      <charset val="204"/>
    </font>
    <font>
      <b/>
      <sz val="18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24"/>
      <color rgb="FFFF00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0"/>
      <color rgb="FF1B1725"/>
      <name val="Arial"/>
      <family val="2"/>
      <charset val="204"/>
    </font>
    <font>
      <sz val="9"/>
      <color theme="4"/>
      <name val="Calibri"/>
      <family val="2"/>
      <charset val="204"/>
      <scheme val="minor"/>
    </font>
    <font>
      <sz val="9"/>
      <color theme="4" tint="-0.249977111117893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  <font>
      <b/>
      <sz val="36"/>
      <color theme="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theme="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7030A0"/>
        <bgColor indexed="64"/>
      </patternFill>
    </fill>
  </fills>
  <borders count="8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 diagonalDown="1">
      <left style="thick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Down="1">
      <left/>
      <right style="thin">
        <color indexed="64"/>
      </right>
      <top style="thin">
        <color auto="1"/>
      </top>
      <bottom style="thin">
        <color auto="1"/>
      </bottom>
      <diagonal style="thin">
        <color auto="1"/>
      </diagonal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71">
    <xf numFmtId="0" fontId="0" fillId="0" borderId="0" xfId="0"/>
    <xf numFmtId="0" fontId="0" fillId="0" borderId="0" xfId="0" applyBorder="1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0" fillId="0" borderId="6" xfId="0" applyFill="1" applyBorder="1" applyProtection="1">
      <protection hidden="1"/>
    </xf>
    <xf numFmtId="0" fontId="0" fillId="0" borderId="8" xfId="0" applyBorder="1"/>
    <xf numFmtId="2" fontId="0" fillId="0" borderId="0" xfId="0" applyNumberFormat="1"/>
    <xf numFmtId="0" fontId="0" fillId="0" borderId="0" xfId="0" applyBorder="1" applyAlignment="1" applyProtection="1">
      <protection hidden="1"/>
    </xf>
    <xf numFmtId="0" fontId="0" fillId="0" borderId="0" xfId="0" applyBorder="1" applyProtection="1">
      <protection hidden="1"/>
    </xf>
    <xf numFmtId="14" fontId="0" fillId="0" borderId="0" xfId="0" applyNumberFormat="1" applyBorder="1"/>
    <xf numFmtId="2" fontId="0" fillId="0" borderId="0" xfId="0" applyNumberFormat="1" applyBorder="1"/>
    <xf numFmtId="165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/>
    <xf numFmtId="0" fontId="4" fillId="0" borderId="0" xfId="0" applyFont="1" applyProtection="1">
      <protection hidden="1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/>
    <xf numFmtId="2" fontId="4" fillId="0" borderId="1" xfId="0" applyNumberFormat="1" applyFont="1" applyBorder="1"/>
    <xf numFmtId="0" fontId="4" fillId="0" borderId="11" xfId="0" applyFont="1" applyBorder="1"/>
    <xf numFmtId="0" fontId="4" fillId="0" borderId="3" xfId="0" applyFont="1" applyBorder="1" applyAlignment="1" applyProtection="1">
      <protection hidden="1"/>
    </xf>
    <xf numFmtId="0" fontId="4" fillId="0" borderId="0" xfId="0" applyFont="1"/>
    <xf numFmtId="2" fontId="4" fillId="0" borderId="1" xfId="0" applyNumberFormat="1" applyFont="1" applyFill="1" applyBorder="1"/>
    <xf numFmtId="2" fontId="4" fillId="2" borderId="1" xfId="0" applyNumberFormat="1" applyFont="1" applyFill="1" applyBorder="1"/>
    <xf numFmtId="0" fontId="4" fillId="0" borderId="7" xfId="0" applyFont="1" applyBorder="1" applyAlignment="1">
      <alignment horizontal="center"/>
    </xf>
    <xf numFmtId="2" fontId="4" fillId="0" borderId="7" xfId="0" applyNumberFormat="1" applyFont="1" applyBorder="1"/>
    <xf numFmtId="0" fontId="4" fillId="0" borderId="7" xfId="0" applyFont="1" applyBorder="1"/>
    <xf numFmtId="1" fontId="4" fillId="0" borderId="10" xfId="0" applyNumberFormat="1" applyFont="1" applyFill="1" applyBorder="1" applyProtection="1">
      <protection hidden="1"/>
    </xf>
    <xf numFmtId="0" fontId="4" fillId="0" borderId="8" xfId="0" applyFont="1" applyBorder="1" applyAlignment="1">
      <alignment horizontal="center"/>
    </xf>
    <xf numFmtId="14" fontId="4" fillId="0" borderId="8" xfId="0" applyNumberFormat="1" applyFont="1" applyBorder="1"/>
    <xf numFmtId="2" fontId="4" fillId="0" borderId="8" xfId="0" applyNumberFormat="1" applyFont="1" applyBorder="1"/>
    <xf numFmtId="2" fontId="4" fillId="0" borderId="0" xfId="0" applyNumberFormat="1" applyFont="1"/>
    <xf numFmtId="0" fontId="4" fillId="0" borderId="0" xfId="0" applyFont="1" applyBorder="1" applyAlignment="1" applyProtection="1">
      <protection hidden="1"/>
    </xf>
    <xf numFmtId="0" fontId="4" fillId="0" borderId="4" xfId="0" applyFont="1" applyBorder="1" applyAlignment="1" applyProtection="1">
      <protection hidden="1"/>
    </xf>
    <xf numFmtId="1" fontId="4" fillId="0" borderId="5" xfId="0" applyNumberFormat="1" applyFont="1" applyFill="1" applyBorder="1" applyProtection="1">
      <protection hidden="1"/>
    </xf>
    <xf numFmtId="0" fontId="0" fillId="0" borderId="0" xfId="0"/>
    <xf numFmtId="0" fontId="0" fillId="0" borderId="1" xfId="0" applyBorder="1" applyAlignment="1"/>
    <xf numFmtId="4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2" xfId="0" applyBorder="1"/>
    <xf numFmtId="0" fontId="6" fillId="0" borderId="1" xfId="0" applyFont="1" applyBorder="1"/>
    <xf numFmtId="0" fontId="6" fillId="0" borderId="11" xfId="0" applyFont="1" applyBorder="1" applyAlignment="1">
      <alignment horizontal="left"/>
    </xf>
    <xf numFmtId="0" fontId="0" fillId="0" borderId="15" xfId="0" applyBorder="1"/>
    <xf numFmtId="0" fontId="0" fillId="0" borderId="16" xfId="0" applyBorder="1"/>
    <xf numFmtId="0" fontId="4" fillId="0" borderId="6" xfId="0" applyFont="1" applyFill="1" applyBorder="1" applyProtection="1">
      <protection hidden="1"/>
    </xf>
    <xf numFmtId="4" fontId="5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4" fontId="6" fillId="0" borderId="1" xfId="0" applyNumberFormat="1" applyFont="1" applyBorder="1"/>
    <xf numFmtId="4" fontId="0" fillId="0" borderId="1" xfId="0" applyNumberFormat="1" applyBorder="1"/>
    <xf numFmtId="4" fontId="7" fillId="5" borderId="1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14" fontId="0" fillId="0" borderId="7" xfId="0" applyNumberFormat="1" applyBorder="1" applyAlignment="1">
      <alignment vertical="center"/>
    </xf>
    <xf numFmtId="0" fontId="0" fillId="0" borderId="1" xfId="0" applyFill="1" applyBorder="1"/>
    <xf numFmtId="14" fontId="8" fillId="0" borderId="0" xfId="0" applyNumberFormat="1" applyFont="1"/>
    <xf numFmtId="0" fontId="0" fillId="2" borderId="11" xfId="0" applyFill="1" applyBorder="1"/>
    <xf numFmtId="0" fontId="5" fillId="2" borderId="1" xfId="0" applyFont="1" applyFill="1" applyBorder="1" applyAlignment="1">
      <alignment horizontal="center"/>
    </xf>
    <xf numFmtId="4" fontId="5" fillId="2" borderId="1" xfId="0" applyNumberFormat="1" applyFont="1" applyFill="1" applyBorder="1" applyAlignment="1">
      <alignment horizontal="center"/>
    </xf>
    <xf numFmtId="4" fontId="5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2" fontId="4" fillId="6" borderId="10" xfId="0" applyNumberFormat="1" applyFont="1" applyFill="1" applyBorder="1" applyProtection="1">
      <protection hidden="1"/>
    </xf>
    <xf numFmtId="1" fontId="4" fillId="6" borderId="5" xfId="0" applyNumberFormat="1" applyFont="1" applyFill="1" applyBorder="1" applyProtection="1">
      <protection hidden="1"/>
    </xf>
    <xf numFmtId="14" fontId="0" fillId="6" borderId="10" xfId="0" applyNumberFormat="1" applyFont="1" applyFill="1" applyBorder="1"/>
    <xf numFmtId="0" fontId="4" fillId="0" borderId="17" xfId="0" applyFont="1" applyBorder="1" applyProtection="1">
      <protection hidden="1"/>
    </xf>
    <xf numFmtId="0" fontId="4" fillId="0" borderId="18" xfId="0" applyFont="1" applyBorder="1" applyProtection="1">
      <protection hidden="1"/>
    </xf>
    <xf numFmtId="0" fontId="4" fillId="0" borderId="19" xfId="0" applyFont="1" applyBorder="1" applyProtection="1">
      <protection hidden="1"/>
    </xf>
    <xf numFmtId="0" fontId="4" fillId="0" borderId="20" xfId="0" applyFont="1" applyBorder="1" applyProtection="1">
      <protection hidden="1"/>
    </xf>
    <xf numFmtId="2" fontId="4" fillId="0" borderId="0" xfId="0" applyNumberFormat="1" applyFont="1" applyBorder="1" applyProtection="1">
      <protection hidden="1"/>
    </xf>
    <xf numFmtId="2" fontId="4" fillId="0" borderId="21" xfId="0" applyNumberFormat="1" applyFont="1" applyBorder="1" applyProtection="1">
      <protection hidden="1"/>
    </xf>
    <xf numFmtId="2" fontId="4" fillId="0" borderId="0" xfId="0" applyNumberFormat="1" applyFont="1" applyFill="1" applyBorder="1" applyProtection="1">
      <protection hidden="1"/>
    </xf>
    <xf numFmtId="2" fontId="4" fillId="0" borderId="21" xfId="0" applyNumberFormat="1" applyFont="1" applyFill="1" applyBorder="1" applyProtection="1">
      <protection hidden="1"/>
    </xf>
    <xf numFmtId="2" fontId="4" fillId="3" borderId="0" xfId="0" applyNumberFormat="1" applyFont="1" applyFill="1" applyBorder="1" applyProtection="1">
      <protection hidden="1"/>
    </xf>
    <xf numFmtId="2" fontId="4" fillId="3" borderId="21" xfId="0" applyNumberFormat="1" applyFont="1" applyFill="1" applyBorder="1" applyProtection="1">
      <protection hidden="1"/>
    </xf>
    <xf numFmtId="0" fontId="4" fillId="0" borderId="0" xfId="0" applyFont="1" applyFill="1" applyBorder="1" applyProtection="1">
      <protection hidden="1"/>
    </xf>
    <xf numFmtId="0" fontId="4" fillId="0" borderId="21" xfId="0" applyFont="1" applyFill="1" applyBorder="1" applyProtection="1">
      <protection hidden="1"/>
    </xf>
    <xf numFmtId="14" fontId="4" fillId="0" borderId="20" xfId="0" applyNumberFormat="1" applyFont="1" applyBorder="1"/>
    <xf numFmtId="2" fontId="4" fillId="0" borderId="0" xfId="0" applyNumberFormat="1" applyFont="1" applyBorder="1"/>
    <xf numFmtId="0" fontId="4" fillId="0" borderId="21" xfId="0" applyNumberFormat="1" applyFont="1" applyBorder="1"/>
    <xf numFmtId="1" fontId="4" fillId="0" borderId="21" xfId="0" applyNumberFormat="1" applyFont="1" applyBorder="1"/>
    <xf numFmtId="14" fontId="4" fillId="0" borderId="22" xfId="0" applyNumberFormat="1" applyFont="1" applyBorder="1"/>
    <xf numFmtId="2" fontId="4" fillId="0" borderId="23" xfId="0" applyNumberFormat="1" applyFont="1" applyBorder="1"/>
    <xf numFmtId="2" fontId="4" fillId="0" borderId="24" xfId="0" applyNumberFormat="1" applyFont="1" applyBorder="1"/>
    <xf numFmtId="14" fontId="6" fillId="0" borderId="0" xfId="0" applyNumberFormat="1" applyFont="1" applyBorder="1"/>
    <xf numFmtId="0" fontId="6" fillId="0" borderId="14" xfId="0" applyFont="1" applyFill="1" applyBorder="1"/>
    <xf numFmtId="165" fontId="4" fillId="0" borderId="0" xfId="0" applyNumberFormat="1" applyFont="1" applyFill="1" applyBorder="1" applyAlignment="1" applyProtection="1">
      <alignment horizontal="center" vertical="center" wrapText="1"/>
      <protection locked="0"/>
    </xf>
    <xf numFmtId="4" fontId="0" fillId="0" borderId="0" xfId="0" applyNumberFormat="1" applyFill="1" applyBorder="1"/>
    <xf numFmtId="0" fontId="4" fillId="0" borderId="1" xfId="0" applyFont="1" applyBorder="1" applyProtection="1">
      <protection hidden="1"/>
    </xf>
    <xf numFmtId="0" fontId="0" fillId="0" borderId="0" xfId="0" applyFill="1"/>
    <xf numFmtId="0" fontId="4" fillId="0" borderId="1" xfId="0" applyFont="1" applyFill="1" applyBorder="1" applyProtection="1">
      <protection hidden="1"/>
    </xf>
    <xf numFmtId="2" fontId="4" fillId="0" borderId="1" xfId="0" applyNumberFormat="1" applyFont="1" applyFill="1" applyBorder="1" applyProtection="1">
      <protection hidden="1"/>
    </xf>
    <xf numFmtId="2" fontId="4" fillId="3" borderId="1" xfId="0" applyNumberFormat="1" applyFont="1" applyFill="1" applyBorder="1" applyProtection="1">
      <protection hidden="1"/>
    </xf>
    <xf numFmtId="0" fontId="0" fillId="0" borderId="1" xfId="0" applyBorder="1"/>
    <xf numFmtId="0" fontId="0" fillId="0" borderId="11" xfId="0" applyBorder="1"/>
    <xf numFmtId="0" fontId="0" fillId="2" borderId="0" xfId="0" applyFill="1" applyBorder="1"/>
    <xf numFmtId="4" fontId="0" fillId="0" borderId="1" xfId="0" applyNumberFormat="1" applyFill="1" applyBorder="1"/>
    <xf numFmtId="165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165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65" fontId="3" fillId="0" borderId="1" xfId="0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16" fontId="0" fillId="0" borderId="9" xfId="0" applyNumberFormat="1" applyBorder="1"/>
    <xf numFmtId="0" fontId="0" fillId="0" borderId="26" xfId="0" applyBorder="1"/>
    <xf numFmtId="14" fontId="0" fillId="0" borderId="26" xfId="0" applyNumberFormat="1" applyBorder="1"/>
    <xf numFmtId="4" fontId="0" fillId="0" borderId="16" xfId="0" applyNumberFormat="1" applyBorder="1"/>
    <xf numFmtId="0" fontId="0" fillId="0" borderId="16" xfId="0" applyBorder="1" applyAlignment="1">
      <alignment horizontal="left"/>
    </xf>
    <xf numFmtId="165" fontId="3" fillId="0" borderId="26" xfId="0" applyNumberFormat="1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/>
    </xf>
    <xf numFmtId="0" fontId="0" fillId="0" borderId="2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4" fillId="0" borderId="27" xfId="0" applyFont="1" applyBorder="1"/>
    <xf numFmtId="0" fontId="4" fillId="0" borderId="0" xfId="0" applyFont="1" applyBorder="1" applyProtection="1">
      <protection hidden="1"/>
    </xf>
    <xf numFmtId="0" fontId="4" fillId="0" borderId="27" xfId="0" applyFont="1" applyBorder="1" applyAlignment="1">
      <alignment horizontal="center"/>
    </xf>
    <xf numFmtId="14" fontId="4" fillId="0" borderId="0" xfId="0" applyNumberFormat="1" applyFont="1" applyBorder="1"/>
    <xf numFmtId="0" fontId="4" fillId="0" borderId="0" xfId="0" applyFont="1" applyBorder="1"/>
    <xf numFmtId="0" fontId="4" fillId="0" borderId="28" xfId="0" applyFont="1" applyBorder="1" applyAlignment="1">
      <alignment horizontal="center"/>
    </xf>
    <xf numFmtId="0" fontId="4" fillId="0" borderId="20" xfId="0" applyFont="1" applyBorder="1"/>
    <xf numFmtId="0" fontId="4" fillId="0" borderId="29" xfId="0" applyFont="1" applyBorder="1" applyProtection="1">
      <protection hidden="1"/>
    </xf>
    <xf numFmtId="0" fontId="0" fillId="0" borderId="29" xfId="0" applyBorder="1"/>
    <xf numFmtId="0" fontId="4" fillId="3" borderId="0" xfId="0" applyFont="1" applyFill="1" applyBorder="1" applyProtection="1">
      <protection hidden="1"/>
    </xf>
    <xf numFmtId="2" fontId="0" fillId="0" borderId="29" xfId="0" applyNumberFormat="1" applyBorder="1"/>
    <xf numFmtId="2" fontId="4" fillId="0" borderId="20" xfId="0" applyNumberFormat="1" applyFont="1" applyBorder="1"/>
    <xf numFmtId="0" fontId="4" fillId="0" borderId="20" xfId="0" applyFont="1" applyBorder="1" applyAlignment="1" applyProtection="1">
      <protection hidden="1"/>
    </xf>
    <xf numFmtId="14" fontId="8" fillId="0" borderId="20" xfId="0" applyNumberFormat="1" applyFont="1" applyBorder="1"/>
    <xf numFmtId="0" fontId="8" fillId="0" borderId="0" xfId="0" applyNumberFormat="1" applyFont="1" applyBorder="1"/>
    <xf numFmtId="0" fontId="0" fillId="0" borderId="0" xfId="0" applyNumberFormat="1" applyBorder="1"/>
    <xf numFmtId="0" fontId="6" fillId="0" borderId="0" xfId="0" applyFont="1" applyFill="1" applyBorder="1"/>
    <xf numFmtId="14" fontId="0" fillId="6" borderId="0" xfId="0" applyNumberFormat="1" applyFont="1" applyFill="1" applyBorder="1"/>
    <xf numFmtId="1" fontId="0" fillId="6" borderId="0" xfId="0" applyNumberFormat="1" applyFont="1" applyFill="1" applyBorder="1"/>
    <xf numFmtId="0" fontId="0" fillId="0" borderId="22" xfId="0" applyBorder="1"/>
    <xf numFmtId="0" fontId="0" fillId="0" borderId="23" xfId="0" applyBorder="1"/>
    <xf numFmtId="14" fontId="0" fillId="0" borderId="23" xfId="0" applyNumberFormat="1" applyBorder="1"/>
    <xf numFmtId="0" fontId="0" fillId="0" borderId="24" xfId="0" applyBorder="1"/>
    <xf numFmtId="0" fontId="4" fillId="0" borderId="21" xfId="0" applyFont="1" applyBorder="1" applyProtection="1">
      <protection hidden="1"/>
    </xf>
    <xf numFmtId="14" fontId="4" fillId="0" borderId="21" xfId="0" applyNumberFormat="1" applyFont="1" applyBorder="1"/>
    <xf numFmtId="0" fontId="4" fillId="0" borderId="30" xfId="0" applyFont="1" applyBorder="1" applyAlignment="1" applyProtection="1">
      <protection hidden="1"/>
    </xf>
    <xf numFmtId="0" fontId="4" fillId="0" borderId="21" xfId="0" applyFont="1" applyBorder="1"/>
    <xf numFmtId="2" fontId="0" fillId="0" borderId="0" xfId="0" applyNumberFormat="1" applyBorder="1" applyProtection="1">
      <protection hidden="1"/>
    </xf>
    <xf numFmtId="2" fontId="0" fillId="0" borderId="21" xfId="0" applyNumberFormat="1" applyBorder="1"/>
    <xf numFmtId="2" fontId="0" fillId="0" borderId="0" xfId="0" applyNumberFormat="1" applyFill="1" applyBorder="1" applyProtection="1">
      <protection hidden="1"/>
    </xf>
    <xf numFmtId="0" fontId="0" fillId="3" borderId="0" xfId="0" applyFill="1" applyBorder="1" applyProtection="1">
      <protection hidden="1"/>
    </xf>
    <xf numFmtId="0" fontId="0" fillId="0" borderId="0" xfId="0" applyFill="1" applyBorder="1" applyProtection="1">
      <protection hidden="1"/>
    </xf>
    <xf numFmtId="0" fontId="4" fillId="0" borderId="0" xfId="0" applyNumberFormat="1" applyFont="1" applyBorder="1"/>
    <xf numFmtId="1" fontId="4" fillId="0" borderId="0" xfId="0" applyNumberFormat="1" applyFont="1" applyFill="1" applyBorder="1" applyProtection="1">
      <protection hidden="1"/>
    </xf>
    <xf numFmtId="14" fontId="0" fillId="0" borderId="0" xfId="0" applyNumberFormat="1" applyFill="1" applyBorder="1"/>
    <xf numFmtId="2" fontId="0" fillId="0" borderId="0" xfId="0" applyNumberFormat="1" applyFill="1" applyBorder="1"/>
    <xf numFmtId="0" fontId="6" fillId="0" borderId="1" xfId="0" applyFont="1" applyFill="1" applyBorder="1"/>
    <xf numFmtId="2" fontId="0" fillId="0" borderId="20" xfId="0" applyNumberFormat="1" applyBorder="1"/>
    <xf numFmtId="0" fontId="6" fillId="0" borderId="31" xfId="0" applyFont="1" applyBorder="1"/>
    <xf numFmtId="4" fontId="7" fillId="5" borderId="7" xfId="0" applyNumberFormat="1" applyFont="1" applyFill="1" applyBorder="1" applyAlignment="1">
      <alignment horizontal="center" vertical="center" wrapText="1"/>
    </xf>
    <xf numFmtId="4" fontId="0" fillId="0" borderId="0" xfId="0" applyNumberFormat="1" applyBorder="1"/>
    <xf numFmtId="16" fontId="0" fillId="0" borderId="1" xfId="0" applyNumberFormat="1" applyBorder="1"/>
    <xf numFmtId="4" fontId="6" fillId="0" borderId="11" xfId="0" applyNumberFormat="1" applyFont="1" applyBorder="1"/>
    <xf numFmtId="0" fontId="0" fillId="0" borderId="9" xfId="0" applyFill="1" applyBorder="1"/>
    <xf numFmtId="14" fontId="0" fillId="0" borderId="9" xfId="0" applyNumberFormat="1" applyBorder="1" applyAlignment="1">
      <alignment vertical="center"/>
    </xf>
    <xf numFmtId="14" fontId="0" fillId="0" borderId="29" xfId="0" applyNumberFormat="1" applyBorder="1"/>
    <xf numFmtId="4" fontId="0" fillId="0" borderId="21" xfId="0" applyNumberFormat="1" applyBorder="1"/>
    <xf numFmtId="0" fontId="6" fillId="0" borderId="0" xfId="0" applyFont="1" applyBorder="1"/>
    <xf numFmtId="4" fontId="6" fillId="0" borderId="13" xfId="0" applyNumberFormat="1" applyFont="1" applyBorder="1"/>
    <xf numFmtId="4" fontId="3" fillId="5" borderId="7" xfId="0" applyNumberFormat="1" applyFont="1" applyFill="1" applyBorder="1" applyAlignment="1">
      <alignment horizontal="center" vertical="center" wrapText="1"/>
    </xf>
    <xf numFmtId="4" fontId="3" fillId="5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/>
    <xf numFmtId="0" fontId="0" fillId="0" borderId="1" xfId="0" applyFont="1" applyBorder="1"/>
    <xf numFmtId="0" fontId="0" fillId="0" borderId="11" xfId="0" applyFont="1" applyBorder="1"/>
    <xf numFmtId="2" fontId="0" fillId="0" borderId="1" xfId="0" applyNumberFormat="1" applyFont="1" applyFill="1" applyBorder="1"/>
    <xf numFmtId="0" fontId="6" fillId="0" borderId="11" xfId="0" applyFont="1" applyBorder="1"/>
    <xf numFmtId="0" fontId="0" fillId="0" borderId="35" xfId="0" applyFill="1" applyBorder="1"/>
    <xf numFmtId="0" fontId="0" fillId="6" borderId="1" xfId="0" applyFont="1" applyFill="1" applyBorder="1"/>
    <xf numFmtId="2" fontId="0" fillId="0" borderId="0" xfId="0" applyNumberFormat="1" applyFill="1"/>
    <xf numFmtId="14" fontId="0" fillId="0" borderId="0" xfId="0" applyNumberFormat="1" applyFont="1" applyFill="1"/>
    <xf numFmtId="1" fontId="0" fillId="0" borderId="0" xfId="0" applyNumberFormat="1" applyBorder="1"/>
    <xf numFmtId="0" fontId="0" fillId="7" borderId="11" xfId="0" applyFont="1" applyFill="1" applyBorder="1"/>
    <xf numFmtId="0" fontId="0" fillId="7" borderId="1" xfId="0" applyFill="1" applyBorder="1"/>
    <xf numFmtId="0" fontId="4" fillId="0" borderId="31" xfId="0" applyFont="1" applyBorder="1" applyProtection="1">
      <protection hidden="1"/>
    </xf>
    <xf numFmtId="0" fontId="4" fillId="0" borderId="8" xfId="0" applyFont="1" applyBorder="1" applyProtection="1">
      <protection hidden="1"/>
    </xf>
    <xf numFmtId="0" fontId="4" fillId="0" borderId="36" xfId="0" applyFont="1" applyBorder="1" applyProtection="1">
      <protection hidden="1"/>
    </xf>
    <xf numFmtId="0" fontId="4" fillId="0" borderId="37" xfId="0" applyFont="1" applyBorder="1" applyProtection="1">
      <protection hidden="1"/>
    </xf>
    <xf numFmtId="0" fontId="4" fillId="0" borderId="3" xfId="0" applyFont="1" applyBorder="1" applyProtection="1">
      <protection hidden="1"/>
    </xf>
    <xf numFmtId="2" fontId="4" fillId="0" borderId="35" xfId="0" applyNumberFormat="1" applyFont="1" applyBorder="1" applyProtection="1">
      <protection hidden="1"/>
    </xf>
    <xf numFmtId="2" fontId="4" fillId="0" borderId="35" xfId="0" applyNumberFormat="1" applyFont="1" applyFill="1" applyBorder="1" applyProtection="1">
      <protection hidden="1"/>
    </xf>
    <xf numFmtId="0" fontId="4" fillId="3" borderId="35" xfId="0" applyFont="1" applyFill="1" applyBorder="1" applyProtection="1">
      <protection hidden="1"/>
    </xf>
    <xf numFmtId="0" fontId="4" fillId="0" borderId="35" xfId="0" applyFont="1" applyFill="1" applyBorder="1" applyProtection="1">
      <protection hidden="1"/>
    </xf>
    <xf numFmtId="2" fontId="4" fillId="0" borderId="38" xfId="0" applyNumberFormat="1" applyFont="1" applyBorder="1" applyAlignment="1"/>
    <xf numFmtId="14" fontId="0" fillId="6" borderId="39" xfId="0" applyNumberFormat="1" applyFont="1" applyFill="1" applyBorder="1"/>
    <xf numFmtId="14" fontId="4" fillId="0" borderId="41" xfId="0" applyNumberFormat="1" applyFont="1" applyBorder="1"/>
    <xf numFmtId="1" fontId="4" fillId="0" borderId="13" xfId="0" applyNumberFormat="1" applyFont="1" applyBorder="1"/>
    <xf numFmtId="2" fontId="4" fillId="0" borderId="42" xfId="0" applyNumberFormat="1" applyFont="1" applyBorder="1"/>
    <xf numFmtId="2" fontId="4" fillId="0" borderId="13" xfId="0" applyNumberFormat="1" applyFont="1" applyBorder="1"/>
    <xf numFmtId="2" fontId="4" fillId="0" borderId="32" xfId="0" applyNumberFormat="1" applyFont="1" applyBorder="1"/>
    <xf numFmtId="1" fontId="4" fillId="6" borderId="40" xfId="0" applyNumberFormat="1" applyFont="1" applyFill="1" applyBorder="1" applyProtection="1">
      <protection hidden="1"/>
    </xf>
    <xf numFmtId="2" fontId="4" fillId="3" borderId="35" xfId="0" applyNumberFormat="1" applyFont="1" applyFill="1" applyBorder="1" applyProtection="1">
      <protection hidden="1"/>
    </xf>
    <xf numFmtId="0" fontId="6" fillId="7" borderId="11" xfId="0" applyFont="1" applyFill="1" applyBorder="1"/>
    <xf numFmtId="0" fontId="0" fillId="0" borderId="0" xfId="0" applyNumberFormat="1"/>
    <xf numFmtId="166" fontId="4" fillId="0" borderId="0" xfId="0" applyNumberFormat="1" applyFont="1" applyBorder="1"/>
    <xf numFmtId="166" fontId="4" fillId="0" borderId="23" xfId="0" applyNumberFormat="1" applyFont="1" applyBorder="1" applyAlignment="1">
      <alignment wrapText="1"/>
    </xf>
    <xf numFmtId="14" fontId="4" fillId="0" borderId="3" xfId="0" applyNumberFormat="1" applyFont="1" applyBorder="1" applyAlignment="1">
      <alignment horizontal="left"/>
    </xf>
    <xf numFmtId="0" fontId="0" fillId="7" borderId="1" xfId="0" applyFont="1" applyFill="1" applyBorder="1" applyAlignment="1">
      <alignment wrapText="1"/>
    </xf>
    <xf numFmtId="0" fontId="0" fillId="7" borderId="1" xfId="0" applyFont="1" applyFill="1" applyBorder="1"/>
    <xf numFmtId="0" fontId="0" fillId="7" borderId="7" xfId="0" applyFont="1" applyFill="1" applyBorder="1"/>
    <xf numFmtId="0" fontId="0" fillId="6" borderId="7" xfId="0" applyFont="1" applyFill="1" applyBorder="1"/>
    <xf numFmtId="0" fontId="0" fillId="0" borderId="31" xfId="0" applyFont="1" applyBorder="1"/>
    <xf numFmtId="14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Border="1"/>
    <xf numFmtId="0" fontId="0" fillId="0" borderId="8" xfId="0" applyFont="1" applyFill="1" applyBorder="1"/>
    <xf numFmtId="4" fontId="0" fillId="0" borderId="8" xfId="0" applyNumberFormat="1" applyFont="1" applyFill="1" applyBorder="1"/>
    <xf numFmtId="14" fontId="0" fillId="0" borderId="37" xfId="0" applyNumberFormat="1" applyBorder="1" applyAlignment="1">
      <alignment vertical="center"/>
    </xf>
    <xf numFmtId="0" fontId="0" fillId="0" borderId="1" xfId="0" applyFont="1" applyFill="1" applyBorder="1" applyAlignment="1">
      <alignment wrapText="1"/>
    </xf>
    <xf numFmtId="14" fontId="0" fillId="0" borderId="9" xfId="0" applyNumberFormat="1" applyFill="1" applyBorder="1" applyAlignment="1">
      <alignment vertical="center"/>
    </xf>
    <xf numFmtId="1" fontId="4" fillId="6" borderId="10" xfId="0" applyNumberFormat="1" applyFont="1" applyFill="1" applyBorder="1" applyProtection="1">
      <protection hidden="1"/>
    </xf>
    <xf numFmtId="1" fontId="0" fillId="0" borderId="0" xfId="0" applyNumberFormat="1"/>
    <xf numFmtId="0" fontId="0" fillId="2" borderId="43" xfId="0" applyFill="1" applyBorder="1"/>
    <xf numFmtId="4" fontId="0" fillId="2" borderId="44" xfId="0" applyNumberFormat="1" applyFill="1" applyBorder="1"/>
    <xf numFmtId="0" fontId="0" fillId="2" borderId="20" xfId="0" applyFill="1" applyBorder="1"/>
    <xf numFmtId="0" fontId="0" fillId="0" borderId="0" xfId="0" applyBorder="1" applyAlignment="1">
      <alignment horizontal="left"/>
    </xf>
    <xf numFmtId="0" fontId="0" fillId="6" borderId="7" xfId="0" applyFill="1" applyBorder="1"/>
    <xf numFmtId="0" fontId="0" fillId="0" borderId="8" xfId="0" applyFill="1" applyBorder="1"/>
    <xf numFmtId="4" fontId="6" fillId="6" borderId="1" xfId="0" applyNumberFormat="1" applyFont="1" applyFill="1" applyBorder="1"/>
    <xf numFmtId="4" fontId="7" fillId="6" borderId="7" xfId="0" applyNumberFormat="1" applyFont="1" applyFill="1" applyBorder="1" applyAlignment="1">
      <alignment horizontal="center" vertical="center" wrapText="1"/>
    </xf>
    <xf numFmtId="4" fontId="0" fillId="0" borderId="8" xfId="0" applyNumberFormat="1" applyFill="1" applyBorder="1"/>
    <xf numFmtId="0" fontId="0" fillId="0" borderId="8" xfId="0" applyFont="1" applyBorder="1"/>
    <xf numFmtId="4" fontId="0" fillId="0" borderId="8" xfId="0" applyNumberFormat="1" applyFont="1" applyBorder="1"/>
    <xf numFmtId="4" fontId="0" fillId="0" borderId="1" xfId="0" applyNumberFormat="1" applyFill="1" applyBorder="1" applyAlignment="1"/>
    <xf numFmtId="4" fontId="0" fillId="9" borderId="1" xfId="0" applyNumberFormat="1" applyFill="1" applyBorder="1" applyAlignment="1"/>
    <xf numFmtId="0" fontId="0" fillId="9" borderId="1" xfId="0" applyFill="1" applyBorder="1"/>
    <xf numFmtId="4" fontId="0" fillId="9" borderId="1" xfId="0" applyNumberForma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1" xfId="0" applyFont="1" applyFill="1" applyBorder="1"/>
    <xf numFmtId="2" fontId="4" fillId="0" borderId="7" xfId="0" applyNumberFormat="1" applyFont="1" applyFill="1" applyBorder="1"/>
    <xf numFmtId="0" fontId="4" fillId="0" borderId="7" xfId="0" applyFont="1" applyFill="1" applyBorder="1"/>
    <xf numFmtId="4" fontId="0" fillId="0" borderId="0" xfId="0" applyNumberFormat="1" applyFont="1" applyBorder="1"/>
    <xf numFmtId="2" fontId="4" fillId="0" borderId="21" xfId="0" applyNumberFormat="1" applyFont="1" applyBorder="1"/>
    <xf numFmtId="2" fontId="0" fillId="0" borderId="0" xfId="0" applyNumberFormat="1" applyFont="1" applyFill="1" applyBorder="1"/>
    <xf numFmtId="0" fontId="4" fillId="2" borderId="1" xfId="0" applyFont="1" applyFill="1" applyBorder="1"/>
    <xf numFmtId="0" fontId="0" fillId="0" borderId="0" xfId="0" applyBorder="1" applyAlignment="1"/>
    <xf numFmtId="4" fontId="0" fillId="0" borderId="1" xfId="0" applyNumberFormat="1" applyFont="1" applyFill="1" applyBorder="1"/>
    <xf numFmtId="2" fontId="4" fillId="0" borderId="0" xfId="0" applyNumberFormat="1" applyFont="1" applyFill="1" applyBorder="1" applyAlignment="1">
      <alignment wrapText="1"/>
    </xf>
    <xf numFmtId="2" fontId="4" fillId="0" borderId="1" xfId="0" applyNumberFormat="1" applyFont="1" applyFill="1" applyBorder="1" applyAlignment="1">
      <alignment wrapText="1"/>
    </xf>
    <xf numFmtId="2" fontId="4" fillId="0" borderId="1" xfId="0" applyNumberFormat="1" applyFont="1" applyBorder="1" applyProtection="1">
      <protection hidden="1"/>
    </xf>
    <xf numFmtId="14" fontId="4" fillId="0" borderId="1" xfId="0" applyNumberFormat="1" applyFont="1" applyBorder="1" applyAlignment="1">
      <alignment horizontal="left"/>
    </xf>
    <xf numFmtId="166" fontId="4" fillId="0" borderId="1" xfId="0" applyNumberFormat="1" applyFont="1" applyBorder="1"/>
    <xf numFmtId="0" fontId="4" fillId="0" borderId="1" xfId="0" applyNumberFormat="1" applyFont="1" applyBorder="1"/>
    <xf numFmtId="2" fontId="4" fillId="0" borderId="1" xfId="0" applyNumberFormat="1" applyFont="1" applyBorder="1" applyAlignment="1"/>
    <xf numFmtId="166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4" fontId="0" fillId="6" borderId="1" xfId="0" applyNumberFormat="1" applyFont="1" applyFill="1" applyBorder="1"/>
    <xf numFmtId="1" fontId="4" fillId="6" borderId="1" xfId="0" applyNumberFormat="1" applyFont="1" applyFill="1" applyBorder="1" applyProtection="1">
      <protection hidden="1"/>
    </xf>
    <xf numFmtId="2" fontId="4" fillId="0" borderId="45" xfId="0" applyNumberFormat="1" applyFont="1" applyFill="1" applyBorder="1" applyAlignment="1">
      <alignment wrapText="1"/>
    </xf>
    <xf numFmtId="0" fontId="4" fillId="0" borderId="2" xfId="0" applyFont="1" applyBorder="1" applyProtection="1">
      <protection hidden="1"/>
    </xf>
    <xf numFmtId="2" fontId="4" fillId="0" borderId="45" xfId="0" applyNumberFormat="1" applyFont="1" applyFill="1" applyBorder="1"/>
    <xf numFmtId="0" fontId="4" fillId="0" borderId="45" xfId="0" applyFont="1" applyFill="1" applyBorder="1"/>
    <xf numFmtId="0" fontId="4" fillId="0" borderId="11" xfId="0" applyFont="1" applyBorder="1" applyProtection="1">
      <protection hidden="1"/>
    </xf>
    <xf numFmtId="2" fontId="4" fillId="0" borderId="11" xfId="0" applyNumberFormat="1" applyFont="1" applyBorder="1" applyProtection="1">
      <protection hidden="1"/>
    </xf>
    <xf numFmtId="0" fontId="0" fillId="0" borderId="43" xfId="0" applyBorder="1"/>
    <xf numFmtId="2" fontId="0" fillId="0" borderId="44" xfId="0" applyNumberFormat="1" applyBorder="1"/>
    <xf numFmtId="0" fontId="10" fillId="0" borderId="1" xfId="0" applyFont="1" applyBorder="1"/>
    <xf numFmtId="4" fontId="0" fillId="0" borderId="1" xfId="0" applyNumberFormat="1" applyFont="1" applyBorder="1"/>
    <xf numFmtId="0" fontId="3" fillId="0" borderId="9" xfId="0" applyFont="1" applyFill="1" applyBorder="1" applyAlignment="1"/>
    <xf numFmtId="165" fontId="3" fillId="0" borderId="1" xfId="0" applyNumberFormat="1" applyFont="1" applyFill="1" applyBorder="1" applyAlignment="1" applyProtection="1">
      <alignment vertical="center" wrapText="1"/>
      <protection locked="0"/>
    </xf>
    <xf numFmtId="0" fontId="3" fillId="0" borderId="1" xfId="0" applyFont="1" applyFill="1" applyBorder="1" applyAlignment="1"/>
    <xf numFmtId="165" fontId="3" fillId="0" borderId="1" xfId="0" applyNumberFormat="1" applyFont="1" applyFill="1" applyBorder="1" applyAlignment="1">
      <alignment vertical="center" wrapText="1"/>
    </xf>
    <xf numFmtId="2" fontId="3" fillId="0" borderId="1" xfId="0" applyNumberFormat="1" applyFont="1" applyBorder="1" applyAlignment="1"/>
    <xf numFmtId="4" fontId="3" fillId="0" borderId="1" xfId="0" applyNumberFormat="1" applyFont="1" applyBorder="1" applyAlignment="1"/>
    <xf numFmtId="0" fontId="3" fillId="0" borderId="1" xfId="0" applyFont="1" applyBorder="1" applyAlignment="1"/>
    <xf numFmtId="0" fontId="4" fillId="0" borderId="2" xfId="0" applyFont="1" applyFill="1" applyBorder="1" applyAlignment="1">
      <alignment wrapText="1"/>
    </xf>
    <xf numFmtId="4" fontId="0" fillId="0" borderId="2" xfId="0" applyNumberFormat="1" applyFill="1" applyBorder="1" applyAlignment="1"/>
    <xf numFmtId="4" fontId="0" fillId="9" borderId="2" xfId="0" applyNumberFormat="1" applyFill="1" applyBorder="1" applyAlignment="1"/>
    <xf numFmtId="14" fontId="0" fillId="0" borderId="0" xfId="0" applyNumberFormat="1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2" fontId="4" fillId="0" borderId="1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/>
    </xf>
    <xf numFmtId="2" fontId="4" fillId="0" borderId="7" xfId="0" applyNumberFormat="1" applyFont="1" applyFill="1" applyBorder="1" applyAlignment="1">
      <alignment horizontal="center" vertical="center" wrapText="1"/>
    </xf>
    <xf numFmtId="2" fontId="4" fillId="0" borderId="7" xfId="0" applyNumberFormat="1" applyFont="1" applyFill="1" applyBorder="1" applyAlignment="1">
      <alignment horizontal="center" vertical="center"/>
    </xf>
    <xf numFmtId="4" fontId="0" fillId="0" borderId="0" xfId="0" applyNumberFormat="1" applyFill="1" applyBorder="1" applyAlignment="1"/>
    <xf numFmtId="0" fontId="3" fillId="0" borderId="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2" borderId="1" xfId="0" applyFont="1" applyFill="1" applyBorder="1"/>
    <xf numFmtId="4" fontId="0" fillId="2" borderId="1" xfId="0" applyNumberFormat="1" applyFill="1" applyBorder="1"/>
    <xf numFmtId="4" fontId="3" fillId="2" borderId="1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wrapText="1"/>
    </xf>
    <xf numFmtId="0" fontId="0" fillId="10" borderId="1" xfId="0" applyFont="1" applyFill="1" applyBorder="1"/>
    <xf numFmtId="0" fontId="0" fillId="0" borderId="1" xfId="0" applyBorder="1" applyAlignment="1">
      <alignment horizontal="center" wrapText="1"/>
    </xf>
    <xf numFmtId="16" fontId="0" fillId="0" borderId="0" xfId="0" applyNumberFormat="1" applyBorder="1"/>
    <xf numFmtId="2" fontId="6" fillId="0" borderId="0" xfId="0" applyNumberFormat="1" applyFont="1" applyFill="1" applyBorder="1"/>
    <xf numFmtId="4" fontId="0" fillId="0" borderId="0" xfId="0" applyNumberFormat="1" applyFont="1" applyFill="1" applyBorder="1"/>
    <xf numFmtId="1" fontId="4" fillId="6" borderId="9" xfId="0" applyNumberFormat="1" applyFont="1" applyFill="1" applyBorder="1" applyProtection="1">
      <protection hidden="1"/>
    </xf>
    <xf numFmtId="0" fontId="8" fillId="0" borderId="1" xfId="0" applyNumberFormat="1" applyFont="1" applyFill="1" applyBorder="1"/>
    <xf numFmtId="2" fontId="8" fillId="0" borderId="1" xfId="0" applyNumberFormat="1" applyFont="1" applyFill="1" applyBorder="1"/>
    <xf numFmtId="0" fontId="0" fillId="0" borderId="0" xfId="0" applyFont="1" applyFill="1" applyBorder="1" applyAlignment="1">
      <alignment horizontal="right"/>
    </xf>
    <xf numFmtId="0" fontId="6" fillId="3" borderId="1" xfId="0" applyFont="1" applyFill="1" applyBorder="1"/>
    <xf numFmtId="0" fontId="7" fillId="3" borderId="1" xfId="0" applyFont="1" applyFill="1" applyBorder="1" applyAlignment="1">
      <alignment horizontal="center"/>
    </xf>
    <xf numFmtId="4" fontId="7" fillId="3" borderId="1" xfId="0" applyNumberFormat="1" applyFont="1" applyFill="1" applyBorder="1" applyAlignment="1">
      <alignment horizontal="center" vertical="center" wrapText="1"/>
    </xf>
    <xf numFmtId="2" fontId="0" fillId="0" borderId="10" xfId="0" applyNumberFormat="1" applyBorder="1"/>
    <xf numFmtId="0" fontId="0" fillId="0" borderId="0" xfId="0" applyFill="1" applyBorder="1" applyAlignment="1">
      <alignment horizontal="center" wrapText="1"/>
    </xf>
    <xf numFmtId="16" fontId="0" fillId="0" borderId="0" xfId="0" applyNumberFormat="1" applyFill="1" applyBorder="1"/>
    <xf numFmtId="165" fontId="3" fillId="0" borderId="0" xfId="0" applyNumberFormat="1" applyFont="1" applyFill="1" applyBorder="1" applyAlignment="1">
      <alignment vertical="center" wrapText="1"/>
    </xf>
    <xf numFmtId="0" fontId="0" fillId="11" borderId="0" xfId="0" applyFill="1" applyBorder="1"/>
    <xf numFmtId="0" fontId="3" fillId="0" borderId="1" xfId="0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3" xfId="0" applyBorder="1"/>
    <xf numFmtId="0" fontId="4" fillId="0" borderId="0" xfId="0" applyFont="1" applyFill="1" applyBorder="1" applyAlignment="1">
      <alignment horizontal="center"/>
    </xf>
    <xf numFmtId="14" fontId="4" fillId="0" borderId="0" xfId="0" applyNumberFormat="1" applyFont="1" applyFill="1" applyBorder="1"/>
    <xf numFmtId="0" fontId="4" fillId="0" borderId="0" xfId="0" applyFont="1" applyFill="1" applyBorder="1"/>
    <xf numFmtId="0" fontId="0" fillId="2" borderId="46" xfId="0" applyFill="1" applyBorder="1"/>
    <xf numFmtId="0" fontId="3" fillId="0" borderId="1" xfId="0" applyFont="1" applyBorder="1"/>
    <xf numFmtId="4" fontId="3" fillId="0" borderId="1" xfId="0" applyNumberFormat="1" applyFont="1" applyBorder="1"/>
    <xf numFmtId="4" fontId="3" fillId="2" borderId="1" xfId="0" applyNumberFormat="1" applyFont="1" applyFill="1" applyBorder="1"/>
    <xf numFmtId="0" fontId="3" fillId="0" borderId="9" xfId="0" applyFont="1" applyBorder="1"/>
    <xf numFmtId="0" fontId="6" fillId="3" borderId="26" xfId="0" applyFont="1" applyFill="1" applyBorder="1"/>
    <xf numFmtId="0" fontId="0" fillId="0" borderId="26" xfId="0" applyFont="1" applyBorder="1"/>
    <xf numFmtId="0" fontId="0" fillId="0" borderId="16" xfId="0" applyFont="1" applyBorder="1"/>
    <xf numFmtId="0" fontId="0" fillId="0" borderId="16" xfId="0" applyFill="1" applyBorder="1"/>
    <xf numFmtId="4" fontId="0" fillId="0" borderId="16" xfId="0" applyNumberFormat="1" applyFill="1" applyBorder="1"/>
    <xf numFmtId="0" fontId="3" fillId="0" borderId="16" xfId="0" applyFont="1" applyFill="1" applyBorder="1" applyAlignment="1">
      <alignment wrapText="1"/>
    </xf>
    <xf numFmtId="0" fontId="0" fillId="0" borderId="47" xfId="0" applyBorder="1"/>
    <xf numFmtId="4" fontId="0" fillId="0" borderId="47" xfId="0" applyNumberFormat="1" applyFont="1" applyFill="1" applyBorder="1"/>
    <xf numFmtId="4" fontId="3" fillId="5" borderId="47" xfId="0" applyNumberFormat="1" applyFont="1" applyFill="1" applyBorder="1" applyAlignment="1">
      <alignment horizontal="center" vertical="center" wrapText="1"/>
    </xf>
    <xf numFmtId="0" fontId="0" fillId="0" borderId="47" xfId="0" applyFont="1" applyBorder="1"/>
    <xf numFmtId="4" fontId="0" fillId="0" borderId="48" xfId="0" applyNumberFormat="1" applyFont="1" applyBorder="1"/>
    <xf numFmtId="0" fontId="0" fillId="0" borderId="49" xfId="0" applyBorder="1"/>
    <xf numFmtId="0" fontId="0" fillId="0" borderId="53" xfId="0" applyBorder="1"/>
    <xf numFmtId="0" fontId="0" fillId="0" borderId="54" xfId="0" applyBorder="1"/>
    <xf numFmtId="14" fontId="0" fillId="0" borderId="54" xfId="0" applyNumberFormat="1" applyFont="1" applyFill="1" applyBorder="1" applyAlignment="1">
      <alignment vertical="center"/>
    </xf>
    <xf numFmtId="165" fontId="3" fillId="0" borderId="26" xfId="0" applyNumberFormat="1" applyFont="1" applyFill="1" applyBorder="1" applyAlignment="1">
      <alignment vertical="center" wrapText="1"/>
    </xf>
    <xf numFmtId="14" fontId="0" fillId="0" borderId="54" xfId="0" applyNumberFormat="1" applyFont="1" applyFill="1" applyBorder="1"/>
    <xf numFmtId="14" fontId="0" fillId="0" borderId="54" xfId="0" applyNumberFormat="1" applyFont="1" applyFill="1" applyBorder="1" applyAlignment="1"/>
    <xf numFmtId="14" fontId="0" fillId="0" borderId="55" xfId="0" applyNumberFormat="1" applyFont="1" applyFill="1" applyBorder="1"/>
    <xf numFmtId="0" fontId="0" fillId="0" borderId="56" xfId="0" applyBorder="1"/>
    <xf numFmtId="0" fontId="0" fillId="0" borderId="49" xfId="0" applyFont="1" applyFill="1" applyBorder="1"/>
    <xf numFmtId="0" fontId="0" fillId="0" borderId="49" xfId="0" applyFill="1" applyBorder="1"/>
    <xf numFmtId="0" fontId="0" fillId="0" borderId="53" xfId="0" applyFont="1" applyFill="1" applyBorder="1"/>
    <xf numFmtId="2" fontId="0" fillId="0" borderId="53" xfId="0" applyNumberFormat="1" applyFont="1" applyFill="1" applyBorder="1"/>
    <xf numFmtId="0" fontId="0" fillId="0" borderId="53" xfId="0" applyFill="1" applyBorder="1"/>
    <xf numFmtId="0" fontId="0" fillId="0" borderId="53" xfId="0" applyFont="1" applyBorder="1"/>
    <xf numFmtId="0" fontId="0" fillId="0" borderId="59" xfId="0" applyFont="1" applyBorder="1"/>
    <xf numFmtId="0" fontId="0" fillId="0" borderId="59" xfId="0" applyBorder="1"/>
    <xf numFmtId="0" fontId="0" fillId="0" borderId="15" xfId="0" applyFont="1" applyFill="1" applyBorder="1"/>
    <xf numFmtId="0" fontId="0" fillId="0" borderId="15" xfId="0" applyNumberFormat="1" applyFill="1" applyBorder="1"/>
    <xf numFmtId="0" fontId="0" fillId="0" borderId="15" xfId="0" applyFill="1" applyBorder="1"/>
    <xf numFmtId="0" fontId="0" fillId="0" borderId="57" xfId="0" applyFill="1" applyBorder="1"/>
    <xf numFmtId="4" fontId="0" fillId="0" borderId="49" xfId="0" applyNumberFormat="1" applyFill="1" applyBorder="1" applyAlignment="1"/>
    <xf numFmtId="0" fontId="0" fillId="0" borderId="56" xfId="0" applyFill="1" applyBorder="1"/>
    <xf numFmtId="0" fontId="0" fillId="0" borderId="0" xfId="0" applyBorder="1" applyAlignment="1">
      <alignment horizontal="right"/>
    </xf>
    <xf numFmtId="0" fontId="0" fillId="0" borderId="58" xfId="0" applyBorder="1"/>
    <xf numFmtId="0" fontId="0" fillId="0" borderId="57" xfId="0" applyBorder="1"/>
    <xf numFmtId="0" fontId="3" fillId="0" borderId="54" xfId="0" applyFont="1" applyFill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0" fillId="0" borderId="54" xfId="0" applyBorder="1" applyAlignment="1">
      <alignment horizontal="right"/>
    </xf>
    <xf numFmtId="0" fontId="0" fillId="0" borderId="54" xfId="0" applyFill="1" applyBorder="1" applyAlignment="1">
      <alignment horizontal="right"/>
    </xf>
    <xf numFmtId="14" fontId="0" fillId="0" borderId="50" xfId="0" applyNumberFormat="1" applyFont="1" applyFill="1" applyBorder="1"/>
    <xf numFmtId="0" fontId="0" fillId="0" borderId="51" xfId="0" applyFont="1" applyFill="1" applyBorder="1"/>
    <xf numFmtId="2" fontId="0" fillId="0" borderId="51" xfId="0" applyNumberFormat="1" applyFont="1" applyFill="1" applyBorder="1"/>
    <xf numFmtId="4" fontId="3" fillId="0" borderId="51" xfId="0" applyNumberFormat="1" applyFont="1" applyFill="1" applyBorder="1" applyAlignment="1">
      <alignment horizontal="center" vertical="center" wrapText="1"/>
    </xf>
    <xf numFmtId="14" fontId="0" fillId="0" borderId="60" xfId="0" applyNumberFormat="1" applyFont="1" applyFill="1" applyBorder="1"/>
    <xf numFmtId="0" fontId="0" fillId="0" borderId="26" xfId="0" applyFont="1" applyFill="1" applyBorder="1"/>
    <xf numFmtId="0" fontId="0" fillId="0" borderId="47" xfId="0" applyFont="1" applyFill="1" applyBorder="1"/>
    <xf numFmtId="2" fontId="0" fillId="0" borderId="47" xfId="0" applyNumberFormat="1" applyFont="1" applyFill="1" applyBorder="1"/>
    <xf numFmtId="0" fontId="0" fillId="0" borderId="48" xfId="0" applyFont="1" applyFill="1" applyBorder="1"/>
    <xf numFmtId="0" fontId="0" fillId="12" borderId="56" xfId="0" applyFill="1" applyBorder="1"/>
    <xf numFmtId="0" fontId="0" fillId="13" borderId="49" xfId="0" applyFill="1" applyBorder="1"/>
    <xf numFmtId="0" fontId="0" fillId="0" borderId="0" xfId="0" applyFill="1" applyBorder="1" applyAlignment="1">
      <alignment horizontal="right"/>
    </xf>
    <xf numFmtId="2" fontId="0" fillId="0" borderId="0" xfId="0" applyNumberFormat="1" applyFill="1" applyBorder="1" applyAlignment="1"/>
    <xf numFmtId="166" fontId="0" fillId="0" borderId="0" xfId="0" applyNumberFormat="1" applyFont="1" applyFill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164" fontId="2" fillId="0" borderId="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left"/>
    </xf>
    <xf numFmtId="0" fontId="0" fillId="0" borderId="1" xfId="0" applyBorder="1"/>
    <xf numFmtId="0" fontId="0" fillId="0" borderId="11" xfId="0" applyBorder="1"/>
    <xf numFmtId="0" fontId="0" fillId="0" borderId="9" xfId="0" applyBorder="1"/>
    <xf numFmtId="0" fontId="0" fillId="0" borderId="1" xfId="0" applyBorder="1" applyAlignment="1">
      <alignment horizontal="left"/>
    </xf>
    <xf numFmtId="164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/>
    </xf>
    <xf numFmtId="0" fontId="0" fillId="0" borderId="0" xfId="0" applyFill="1" applyBorder="1" applyAlignment="1"/>
    <xf numFmtId="0" fontId="0" fillId="0" borderId="2" xfId="0" applyBorder="1"/>
    <xf numFmtId="0" fontId="0" fillId="0" borderId="1" xfId="0" applyBorder="1"/>
    <xf numFmtId="164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/>
    <xf numFmtId="0" fontId="0" fillId="0" borderId="61" xfId="0" applyFont="1" applyFill="1" applyBorder="1"/>
    <xf numFmtId="0" fontId="0" fillId="0" borderId="63" xfId="0" applyBorder="1" applyAlignment="1">
      <alignment horizontal="right"/>
    </xf>
    <xf numFmtId="0" fontId="3" fillId="0" borderId="0" xfId="0" applyFont="1" applyFill="1" applyBorder="1" applyAlignment="1">
      <alignment wrapText="1"/>
    </xf>
    <xf numFmtId="0" fontId="3" fillId="0" borderId="64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0" fillId="0" borderId="7" xfId="0" applyBorder="1"/>
    <xf numFmtId="165" fontId="3" fillId="0" borderId="65" xfId="0" applyNumberFormat="1" applyFont="1" applyFill="1" applyBorder="1" applyAlignment="1">
      <alignment horizontal="center" vertical="center" wrapText="1"/>
    </xf>
    <xf numFmtId="14" fontId="8" fillId="0" borderId="0" xfId="0" applyNumberFormat="1" applyFont="1" applyBorder="1"/>
    <xf numFmtId="0" fontId="8" fillId="0" borderId="0" xfId="0" applyNumberFormat="1" applyFont="1" applyFill="1" applyBorder="1"/>
    <xf numFmtId="1" fontId="0" fillId="0" borderId="21" xfId="0" applyNumberFormat="1" applyBorder="1"/>
    <xf numFmtId="1" fontId="0" fillId="0" borderId="0" xfId="0" applyNumberFormat="1" applyFont="1" applyFill="1" applyBorder="1"/>
    <xf numFmtId="0" fontId="4" fillId="0" borderId="68" xfId="0" applyFont="1" applyBorder="1" applyAlignment="1">
      <alignment horizontal="center"/>
    </xf>
    <xf numFmtId="0" fontId="0" fillId="0" borderId="21" xfId="0" applyBorder="1" applyProtection="1">
      <protection hidden="1"/>
    </xf>
    <xf numFmtId="0" fontId="0" fillId="0" borderId="21" xfId="0" applyBorder="1" applyAlignment="1" applyProtection="1">
      <protection hidden="1"/>
    </xf>
    <xf numFmtId="0" fontId="4" fillId="2" borderId="0" xfId="0" applyFont="1" applyFill="1" applyBorder="1"/>
    <xf numFmtId="0" fontId="0" fillId="0" borderId="21" xfId="0" applyNumberFormat="1" applyBorder="1"/>
    <xf numFmtId="0" fontId="4" fillId="7" borderId="0" xfId="0" applyFont="1" applyFill="1" applyBorder="1"/>
    <xf numFmtId="0" fontId="4" fillId="3" borderId="0" xfId="0" applyFont="1" applyFill="1" applyBorder="1"/>
    <xf numFmtId="0" fontId="4" fillId="0" borderId="21" xfId="0" applyFont="1" applyFill="1" applyBorder="1"/>
    <xf numFmtId="0" fontId="0" fillId="0" borderId="70" xfId="0" applyBorder="1"/>
    <xf numFmtId="0" fontId="0" fillId="0" borderId="27" xfId="0" applyBorder="1"/>
    <xf numFmtId="16" fontId="0" fillId="0" borderId="21" xfId="0" applyNumberFormat="1" applyBorder="1"/>
    <xf numFmtId="14" fontId="0" fillId="0" borderId="28" xfId="0" applyNumberFormat="1" applyBorder="1" applyAlignment="1">
      <alignment vertical="center"/>
    </xf>
    <xf numFmtId="14" fontId="0" fillId="0" borderId="72" xfId="0" applyNumberFormat="1" applyBorder="1" applyAlignment="1">
      <alignment vertical="center"/>
    </xf>
    <xf numFmtId="14" fontId="0" fillId="2" borderId="72" xfId="0" applyNumberFormat="1" applyFill="1" applyBorder="1" applyAlignment="1">
      <alignment vertical="center"/>
    </xf>
    <xf numFmtId="14" fontId="0" fillId="0" borderId="73" xfId="0" applyNumberFormat="1" applyBorder="1" applyAlignment="1">
      <alignment vertical="center"/>
    </xf>
    <xf numFmtId="14" fontId="0" fillId="0" borderId="27" xfId="0" applyNumberFormat="1" applyBorder="1"/>
    <xf numFmtId="14" fontId="0" fillId="0" borderId="28" xfId="0" applyNumberFormat="1" applyBorder="1" applyAlignment="1"/>
    <xf numFmtId="0" fontId="6" fillId="0" borderId="21" xfId="0" applyFont="1" applyBorder="1"/>
    <xf numFmtId="4" fontId="0" fillId="2" borderId="0" xfId="0" applyNumberFormat="1" applyFill="1" applyBorder="1"/>
    <xf numFmtId="0" fontId="0" fillId="0" borderId="21" xfId="0" applyFill="1" applyBorder="1"/>
    <xf numFmtId="0" fontId="0" fillId="0" borderId="20" xfId="0" applyFill="1" applyBorder="1"/>
    <xf numFmtId="14" fontId="6" fillId="0" borderId="28" xfId="0" applyNumberFormat="1" applyFont="1" applyBorder="1" applyAlignment="1">
      <alignment vertical="center"/>
    </xf>
    <xf numFmtId="14" fontId="0" fillId="0" borderId="28" xfId="0" applyNumberFormat="1" applyFont="1" applyBorder="1" applyAlignment="1">
      <alignment vertical="center"/>
    </xf>
    <xf numFmtId="14" fontId="0" fillId="0" borderId="27" xfId="0" applyNumberFormat="1" applyFont="1" applyFill="1" applyBorder="1" applyAlignment="1">
      <alignment vertical="center"/>
    </xf>
    <xf numFmtId="14" fontId="0" fillId="0" borderId="27" xfId="0" applyNumberFormat="1" applyFont="1" applyFill="1" applyBorder="1"/>
    <xf numFmtId="14" fontId="0" fillId="0" borderId="27" xfId="0" applyNumberFormat="1" applyFont="1" applyFill="1" applyBorder="1" applyAlignment="1"/>
    <xf numFmtId="14" fontId="0" fillId="0" borderId="28" xfId="0" applyNumberFormat="1" applyFont="1" applyFill="1" applyBorder="1"/>
    <xf numFmtId="14" fontId="0" fillId="0" borderId="68" xfId="0" applyNumberFormat="1" applyFont="1" applyFill="1" applyBorder="1"/>
    <xf numFmtId="14" fontId="0" fillId="0" borderId="20" xfId="0" applyNumberFormat="1" applyFont="1" applyFill="1" applyBorder="1"/>
    <xf numFmtId="0" fontId="0" fillId="0" borderId="20" xfId="0" applyFont="1" applyFill="1" applyBorder="1"/>
    <xf numFmtId="14" fontId="0" fillId="0" borderId="20" xfId="0" applyNumberFormat="1" applyFill="1" applyBorder="1"/>
    <xf numFmtId="14" fontId="0" fillId="0" borderId="27" xfId="0" applyNumberFormat="1" applyFont="1" applyBorder="1" applyAlignment="1">
      <alignment vertical="center"/>
    </xf>
    <xf numFmtId="14" fontId="6" fillId="0" borderId="27" xfId="0" applyNumberFormat="1" applyFont="1" applyBorder="1" applyAlignment="1">
      <alignment vertical="center"/>
    </xf>
    <xf numFmtId="14" fontId="0" fillId="0" borderId="27" xfId="0" applyNumberFormat="1" applyFont="1" applyFill="1" applyBorder="1" applyAlignment="1">
      <alignment wrapText="1"/>
    </xf>
    <xf numFmtId="0" fontId="0" fillId="0" borderId="27" xfId="0" applyFont="1" applyFill="1" applyBorder="1"/>
    <xf numFmtId="0" fontId="0" fillId="0" borderId="73" xfId="0" applyNumberFormat="1" applyFill="1" applyBorder="1"/>
    <xf numFmtId="0" fontId="0" fillId="0" borderId="27" xfId="0" applyNumberFormat="1" applyBorder="1"/>
    <xf numFmtId="0" fontId="0" fillId="0" borderId="27" xfId="0" applyNumberFormat="1" applyFill="1" applyBorder="1"/>
    <xf numFmtId="0" fontId="0" fillId="9" borderId="27" xfId="0" applyNumberFormat="1" applyFill="1" applyBorder="1"/>
    <xf numFmtId="14" fontId="6" fillId="3" borderId="27" xfId="0" applyNumberFormat="1" applyFont="1" applyFill="1" applyBorder="1" applyAlignment="1">
      <alignment vertical="center"/>
    </xf>
    <xf numFmtId="14" fontId="0" fillId="0" borderId="75" xfId="0" applyNumberFormat="1" applyFont="1" applyFill="1" applyBorder="1"/>
    <xf numFmtId="14" fontId="0" fillId="0" borderId="76" xfId="0" applyNumberFormat="1" applyFont="1" applyFill="1" applyBorder="1"/>
    <xf numFmtId="0" fontId="0" fillId="0" borderId="20" xfId="0" applyNumberFormat="1" applyFill="1" applyBorder="1"/>
    <xf numFmtId="0" fontId="0" fillId="0" borderId="77" xfId="0" applyFill="1" applyBorder="1"/>
    <xf numFmtId="0" fontId="0" fillId="0" borderId="20" xfId="0" applyFill="1" applyBorder="1" applyAlignment="1"/>
    <xf numFmtId="0" fontId="4" fillId="0" borderId="1" xfId="0" applyFont="1" applyFill="1" applyBorder="1" applyAlignment="1" applyProtection="1">
      <protection hidden="1"/>
    </xf>
    <xf numFmtId="4" fontId="3" fillId="0" borderId="7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16" xfId="0" applyNumberFormat="1" applyBorder="1"/>
    <xf numFmtId="0" fontId="0" fillId="0" borderId="23" xfId="0" applyFill="1" applyBorder="1"/>
    <xf numFmtId="0" fontId="0" fillId="0" borderId="24" xfId="0" applyFill="1" applyBorder="1"/>
    <xf numFmtId="165" fontId="3" fillId="0" borderId="0" xfId="0" applyNumberFormat="1" applyFont="1" applyFill="1" applyBorder="1" applyAlignment="1">
      <alignment horizontal="center" vertical="center" wrapText="1"/>
    </xf>
    <xf numFmtId="4" fontId="3" fillId="0" borderId="0" xfId="0" applyNumberFormat="1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vertical="center" wrapText="1"/>
    </xf>
    <xf numFmtId="2" fontId="0" fillId="0" borderId="46" xfId="0" applyNumberFormat="1" applyBorder="1"/>
    <xf numFmtId="14" fontId="0" fillId="0" borderId="0" xfId="0" applyNumberFormat="1" applyFont="1" applyFill="1" applyBorder="1" applyAlignment="1">
      <alignment vertical="center"/>
    </xf>
    <xf numFmtId="4" fontId="12" fillId="0" borderId="0" xfId="0" applyNumberFormat="1" applyFont="1" applyFill="1" applyBorder="1" applyAlignment="1">
      <alignment horizontal="right"/>
    </xf>
    <xf numFmtId="0" fontId="3" fillId="0" borderId="16" xfId="0" applyFont="1" applyBorder="1" applyAlignment="1"/>
    <xf numFmtId="4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2" borderId="17" xfId="0" applyFill="1" applyBorder="1"/>
    <xf numFmtId="16" fontId="0" fillId="0" borderId="0" xfId="0" applyNumberFormat="1"/>
    <xf numFmtId="4" fontId="3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NumberFormat="1" applyFill="1" applyBorder="1"/>
    <xf numFmtId="0" fontId="4" fillId="0" borderId="26" xfId="0" applyFont="1" applyFill="1" applyBorder="1"/>
    <xf numFmtId="0" fontId="4" fillId="0" borderId="48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10" borderId="1" xfId="0" applyFill="1" applyBorder="1"/>
    <xf numFmtId="2" fontId="0" fillId="0" borderId="19" xfId="0" applyNumberFormat="1" applyFill="1" applyBorder="1" applyAlignment="1"/>
    <xf numFmtId="2" fontId="0" fillId="0" borderId="10" xfId="0" applyNumberFormat="1" applyFill="1" applyBorder="1" applyAlignme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right"/>
    </xf>
    <xf numFmtId="2" fontId="4" fillId="6" borderId="1" xfId="0" applyNumberFormat="1" applyFont="1" applyFill="1" applyBorder="1" applyProtection="1">
      <protection hidden="1"/>
    </xf>
    <xf numFmtId="0" fontId="0" fillId="0" borderId="2" xfId="0" applyFill="1" applyBorder="1"/>
    <xf numFmtId="0" fontId="0" fillId="0" borderId="11" xfId="0" applyFill="1" applyBorder="1"/>
    <xf numFmtId="0" fontId="4" fillId="2" borderId="1" xfId="0" applyFont="1" applyFill="1" applyBorder="1" applyAlignment="1">
      <alignment horizontal="center"/>
    </xf>
    <xf numFmtId="14" fontId="4" fillId="2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/>
    <xf numFmtId="2" fontId="4" fillId="2" borderId="0" xfId="0" applyNumberFormat="1" applyFont="1" applyFill="1"/>
    <xf numFmtId="2" fontId="8" fillId="0" borderId="0" xfId="0" applyNumberFormat="1" applyFont="1" applyFill="1" applyBorder="1"/>
    <xf numFmtId="0" fontId="4" fillId="0" borderId="0" xfId="0" applyFont="1" applyFill="1" applyBorder="1" applyAlignment="1" applyProtection="1">
      <protection hidden="1"/>
    </xf>
    <xf numFmtId="2" fontId="4" fillId="0" borderId="0" xfId="0" applyNumberFormat="1" applyFont="1" applyFill="1" applyBorder="1"/>
    <xf numFmtId="0" fontId="3" fillId="0" borderId="0" xfId="0" applyFont="1" applyBorder="1" applyProtection="1">
      <protection hidden="1"/>
    </xf>
    <xf numFmtId="0" fontId="3" fillId="0" borderId="0" xfId="0" applyFont="1"/>
    <xf numFmtId="2" fontId="3" fillId="0" borderId="0" xfId="0" applyNumberFormat="1" applyFont="1"/>
    <xf numFmtId="0" fontId="3" fillId="0" borderId="0" xfId="0" applyFont="1" applyFill="1"/>
    <xf numFmtId="0" fontId="18" fillId="0" borderId="0" xfId="0" applyFont="1"/>
    <xf numFmtId="0" fontId="3" fillId="0" borderId="0" xfId="0" applyNumberFormat="1" applyFont="1" applyBorder="1"/>
    <xf numFmtId="0" fontId="3" fillId="0" borderId="0" xfId="0" applyFont="1" applyFill="1" applyBorder="1" applyAlignment="1" applyProtection="1">
      <protection hidden="1"/>
    </xf>
    <xf numFmtId="2" fontId="3" fillId="0" borderId="0" xfId="0" applyNumberFormat="1" applyFont="1" applyFill="1" applyBorder="1"/>
    <xf numFmtId="2" fontId="3" fillId="0" borderId="0" xfId="0" applyNumberFormat="1" applyFont="1" applyFill="1"/>
    <xf numFmtId="0" fontId="3" fillId="0" borderId="0" xfId="0" applyNumberFormat="1" applyFont="1"/>
    <xf numFmtId="9" fontId="3" fillId="0" borderId="0" xfId="0" applyNumberFormat="1" applyFont="1"/>
    <xf numFmtId="0" fontId="3" fillId="0" borderId="0" xfId="0" applyFont="1" applyFill="1" applyBorder="1"/>
    <xf numFmtId="2" fontId="3" fillId="0" borderId="0" xfId="0" applyNumberFormat="1" applyFont="1" applyFill="1" applyBorder="1" applyAlignment="1"/>
    <xf numFmtId="2" fontId="0" fillId="0" borderId="5" xfId="0" applyNumberFormat="1" applyBorder="1"/>
    <xf numFmtId="167" fontId="4" fillId="0" borderId="0" xfId="0" applyNumberFormat="1" applyFont="1" applyFill="1" applyBorder="1" applyProtection="1">
      <protection hidden="1"/>
    </xf>
    <xf numFmtId="0" fontId="0" fillId="0" borderId="1" xfId="0" applyBorder="1"/>
    <xf numFmtId="164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/>
    <xf numFmtId="164" fontId="2" fillId="0" borderId="0" xfId="0" applyNumberFormat="1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/>
    </xf>
    <xf numFmtId="14" fontId="4" fillId="0" borderId="7" xfId="0" applyNumberFormat="1" applyFont="1" applyBorder="1" applyAlignment="1" applyProtection="1">
      <alignment horizontal="left"/>
      <protection hidden="1"/>
    </xf>
    <xf numFmtId="0" fontId="4" fillId="0" borderId="7" xfId="0" applyFont="1" applyBorder="1" applyProtection="1">
      <protection hidden="1"/>
    </xf>
    <xf numFmtId="2" fontId="20" fillId="0" borderId="1" xfId="0" applyNumberFormat="1" applyFont="1" applyFill="1" applyBorder="1" applyProtection="1">
      <protection hidden="1"/>
    </xf>
    <xf numFmtId="0" fontId="20" fillId="0" borderId="1" xfId="0" applyFont="1" applyFill="1" applyBorder="1" applyProtection="1">
      <protection hidden="1"/>
    </xf>
    <xf numFmtId="1" fontId="20" fillId="0" borderId="1" xfId="0" applyNumberFormat="1" applyFont="1" applyFill="1" applyBorder="1" applyProtection="1">
      <protection hidden="1"/>
    </xf>
    <xf numFmtId="2" fontId="4" fillId="0" borderId="0" xfId="0" applyNumberFormat="1" applyFont="1" applyFill="1"/>
    <xf numFmtId="2" fontId="0" fillId="0" borderId="1" xfId="0" applyNumberFormat="1" applyFill="1" applyBorder="1"/>
    <xf numFmtId="9" fontId="3" fillId="0" borderId="0" xfId="0" applyNumberFormat="1" applyFont="1" applyFill="1"/>
    <xf numFmtId="0" fontId="3" fillId="10" borderId="1" xfId="0" applyFont="1" applyFill="1" applyBorder="1"/>
    <xf numFmtId="0" fontId="0" fillId="12" borderId="1" xfId="0" applyFill="1" applyBorder="1"/>
    <xf numFmtId="0" fontId="0" fillId="0" borderId="0" xfId="0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1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165" fontId="0" fillId="0" borderId="0" xfId="0" applyNumberFormat="1" applyFill="1" applyBorder="1"/>
    <xf numFmtId="4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14" fontId="0" fillId="0" borderId="26" xfId="0" applyNumberFormat="1" applyFill="1" applyBorder="1"/>
    <xf numFmtId="4" fontId="3" fillId="0" borderId="0" xfId="0" applyNumberFormat="1" applyFont="1" applyBorder="1" applyAlignment="1">
      <alignment horizontal="center" vertical="center"/>
    </xf>
    <xf numFmtId="168" fontId="0" fillId="0" borderId="0" xfId="0" applyNumberFormat="1" applyFill="1" applyBorder="1"/>
    <xf numFmtId="168" fontId="2" fillId="0" borderId="0" xfId="0" applyNumberFormat="1" applyFont="1" applyFill="1" applyBorder="1" applyAlignment="1">
      <alignment vertical="center" wrapText="1"/>
    </xf>
    <xf numFmtId="168" fontId="3" fillId="0" borderId="0" xfId="0" applyNumberFormat="1" applyFont="1" applyFill="1" applyBorder="1" applyAlignment="1">
      <alignment horizontal="center" vertical="center" wrapText="1"/>
    </xf>
    <xf numFmtId="168" fontId="3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/>
    <xf numFmtId="165" fontId="0" fillId="0" borderId="0" xfId="0" applyNumberFormat="1" applyBorder="1"/>
    <xf numFmtId="165" fontId="0" fillId="0" borderId="0" xfId="0" applyNumberFormat="1" applyFill="1" applyBorder="1" applyAlignment="1"/>
    <xf numFmtId="0" fontId="0" fillId="0" borderId="1" xfId="0" applyBorder="1" applyAlignment="1">
      <alignment horizontal="center"/>
    </xf>
    <xf numFmtId="4" fontId="0" fillId="12" borderId="56" xfId="0" applyNumberFormat="1" applyFill="1" applyBorder="1"/>
    <xf numFmtId="4" fontId="3" fillId="5" borderId="0" xfId="0" applyNumberFormat="1" applyFont="1" applyFill="1" applyBorder="1" applyAlignment="1">
      <alignment horizontal="center" vertical="center" wrapText="1"/>
    </xf>
    <xf numFmtId="0" fontId="21" fillId="0" borderId="1" xfId="0" applyFont="1" applyBorder="1" applyAlignment="1" applyProtection="1">
      <alignment wrapText="1"/>
      <protection hidden="1"/>
    </xf>
    <xf numFmtId="14" fontId="21" fillId="0" borderId="1" xfId="0" applyNumberFormat="1" applyFont="1" applyBorder="1" applyAlignment="1" applyProtection="1">
      <alignment wrapText="1"/>
      <protection hidden="1"/>
    </xf>
    <xf numFmtId="166" fontId="4" fillId="6" borderId="1" xfId="0" applyNumberFormat="1" applyFont="1" applyFill="1" applyBorder="1" applyProtection="1">
      <protection hidden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166" fontId="4" fillId="0" borderId="1" xfId="0" applyNumberFormat="1" applyFont="1" applyFill="1" applyBorder="1" applyProtection="1">
      <protection hidden="1"/>
    </xf>
    <xf numFmtId="0" fontId="0" fillId="0" borderId="1" xfId="0" applyBorder="1"/>
    <xf numFmtId="164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 wrapText="1"/>
    </xf>
    <xf numFmtId="0" fontId="0" fillId="0" borderId="2" xfId="0" applyFill="1" applyBorder="1"/>
    <xf numFmtId="0" fontId="0" fillId="0" borderId="1" xfId="0" applyFill="1" applyBorder="1"/>
    <xf numFmtId="0" fontId="0" fillId="0" borderId="11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4" fontId="0" fillId="0" borderId="0" xfId="0" applyNumberFormat="1"/>
    <xf numFmtId="0" fontId="0" fillId="0" borderId="53" xfId="0" applyBorder="1" applyAlignment="1"/>
    <xf numFmtId="2" fontId="0" fillId="2" borderId="0" xfId="0" applyNumberFormat="1" applyFill="1" applyBorder="1"/>
    <xf numFmtId="14" fontId="0" fillId="0" borderId="9" xfId="0" applyNumberFormat="1" applyFill="1" applyBorder="1"/>
    <xf numFmtId="14" fontId="0" fillId="0" borderId="9" xfId="0" applyNumberFormat="1" applyBorder="1"/>
    <xf numFmtId="14" fontId="0" fillId="2" borderId="21" xfId="0" applyNumberFormat="1" applyFill="1" applyBorder="1"/>
    <xf numFmtId="4" fontId="3" fillId="2" borderId="21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14" fontId="0" fillId="2" borderId="20" xfId="0" applyNumberFormat="1" applyFill="1" applyBorder="1" applyAlignment="1">
      <alignment horizontal="center" vertical="center"/>
    </xf>
    <xf numFmtId="0" fontId="0" fillId="14" borderId="0" xfId="0" applyFill="1" applyBorder="1"/>
    <xf numFmtId="0" fontId="3" fillId="0" borderId="1" xfId="0" applyFont="1" applyFill="1" applyBorder="1"/>
    <xf numFmtId="0" fontId="0" fillId="3" borderId="0" xfId="0" applyFill="1" applyBorder="1"/>
    <xf numFmtId="14" fontId="0" fillId="3" borderId="9" xfId="0" applyNumberFormat="1" applyFill="1" applyBorder="1"/>
    <xf numFmtId="165" fontId="3" fillId="3" borderId="0" xfId="0" applyNumberFormat="1" applyFont="1" applyFill="1" applyBorder="1" applyAlignment="1">
      <alignment horizontal="center" vertical="center" wrapText="1"/>
    </xf>
    <xf numFmtId="2" fontId="0" fillId="3" borderId="0" xfId="0" applyNumberFormat="1" applyFill="1" applyAlignment="1">
      <alignment horizontal="center"/>
    </xf>
    <xf numFmtId="4" fontId="3" fillId="15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/>
    <xf numFmtId="0" fontId="17" fillId="0" borderId="0" xfId="0" applyFont="1" applyFill="1" applyBorder="1" applyAlignment="1">
      <alignment horizontal="center"/>
    </xf>
    <xf numFmtId="1" fontId="0" fillId="0" borderId="0" xfId="0" applyNumberFormat="1" applyFill="1"/>
    <xf numFmtId="0" fontId="0" fillId="0" borderId="31" xfId="0" applyFill="1" applyBorder="1"/>
    <xf numFmtId="0" fontId="0" fillId="0" borderId="37" xfId="0" applyBorder="1"/>
    <xf numFmtId="0" fontId="0" fillId="0" borderId="3" xfId="0" applyFill="1" applyBorder="1"/>
    <xf numFmtId="0" fontId="0" fillId="0" borderId="35" xfId="0" applyBorder="1"/>
    <xf numFmtId="0" fontId="17" fillId="0" borderId="3" xfId="0" applyFont="1" applyFill="1" applyBorder="1" applyAlignment="1">
      <alignment horizontal="center"/>
    </xf>
    <xf numFmtId="0" fontId="0" fillId="0" borderId="41" xfId="0" applyBorder="1"/>
    <xf numFmtId="0" fontId="0" fillId="0" borderId="13" xfId="0" applyBorder="1"/>
    <xf numFmtId="0" fontId="0" fillId="0" borderId="32" xfId="0" applyBorder="1"/>
    <xf numFmtId="0" fontId="0" fillId="0" borderId="1" xfId="0" applyBorder="1" applyAlignment="1">
      <alignment horizontal="center"/>
    </xf>
    <xf numFmtId="0" fontId="0" fillId="0" borderId="63" xfId="0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22" fillId="0" borderId="0" xfId="0" applyFont="1" applyFill="1" applyBorder="1"/>
    <xf numFmtId="17" fontId="0" fillId="0" borderId="0" xfId="0" applyNumberFormat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1" xfId="0" applyFill="1" applyBorder="1"/>
    <xf numFmtId="2" fontId="0" fillId="12" borderId="56" xfId="0" applyNumberFormat="1" applyFill="1" applyBorder="1"/>
    <xf numFmtId="0" fontId="0" fillId="0" borderId="1" xfId="0" applyBorder="1"/>
    <xf numFmtId="164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/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>
      <alignment horizontal="center" vertical="center"/>
    </xf>
    <xf numFmtId="0" fontId="0" fillId="0" borderId="2" xfId="0" applyBorder="1"/>
    <xf numFmtId="164" fontId="2" fillId="0" borderId="0" xfId="0" applyNumberFormat="1" applyFont="1" applyFill="1" applyBorder="1" applyAlignment="1">
      <alignment horizontal="center" vertical="center" wrapText="1"/>
    </xf>
    <xf numFmtId="0" fontId="0" fillId="0" borderId="2" xfId="0" applyFill="1" applyBorder="1"/>
    <xf numFmtId="0" fontId="0" fillId="0" borderId="1" xfId="0" applyFill="1" applyBorder="1"/>
    <xf numFmtId="0" fontId="0" fillId="0" borderId="11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2" fontId="17" fillId="0" borderId="0" xfId="0" applyNumberFormat="1" applyFont="1" applyFill="1" applyBorder="1" applyAlignment="1">
      <alignment horizontal="center"/>
    </xf>
    <xf numFmtId="0" fontId="17" fillId="0" borderId="0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4" fontId="0" fillId="0" borderId="0" xfId="0" applyNumberFormat="1" applyFill="1" applyBorder="1" applyAlignment="1">
      <alignment horizontal="right"/>
    </xf>
    <xf numFmtId="14" fontId="0" fillId="0" borderId="74" xfId="0" applyNumberFormat="1" applyFont="1" applyFill="1" applyBorder="1"/>
    <xf numFmtId="0" fontId="4" fillId="2" borderId="3" xfId="0" applyFont="1" applyFill="1" applyBorder="1" applyAlignment="1"/>
    <xf numFmtId="2" fontId="0" fillId="0" borderId="4" xfId="0" applyNumberFormat="1" applyBorder="1"/>
    <xf numFmtId="0" fontId="4" fillId="2" borderId="21" xfId="0" applyFont="1" applyFill="1" applyBorder="1"/>
    <xf numFmtId="0" fontId="13" fillId="0" borderId="21" xfId="0" applyFont="1" applyBorder="1"/>
    <xf numFmtId="0" fontId="0" fillId="0" borderId="21" xfId="0" applyFill="1" applyBorder="1" applyAlignment="1" applyProtection="1">
      <protection hidden="1"/>
    </xf>
    <xf numFmtId="2" fontId="0" fillId="0" borderId="21" xfId="0" applyNumberFormat="1" applyFill="1" applyBorder="1"/>
    <xf numFmtId="0" fontId="4" fillId="0" borderId="20" xfId="0" applyFont="1" applyFill="1" applyBorder="1" applyAlignment="1">
      <alignment horizontal="center"/>
    </xf>
    <xf numFmtId="166" fontId="0" fillId="0" borderId="0" xfId="0" applyNumberFormat="1" applyFont="1" applyFill="1" applyBorder="1"/>
    <xf numFmtId="0" fontId="21" fillId="0" borderId="2" xfId="0" applyFont="1" applyBorder="1" applyAlignment="1" applyProtection="1">
      <alignment wrapText="1"/>
      <protection hidden="1"/>
    </xf>
    <xf numFmtId="0" fontId="0" fillId="0" borderId="35" xfId="0" applyBorder="1" applyAlignment="1">
      <alignment horizontal="center" vertical="center"/>
    </xf>
    <xf numFmtId="165" fontId="3" fillId="2" borderId="0" xfId="0" applyNumberFormat="1" applyFont="1" applyFill="1" applyBorder="1" applyAlignment="1">
      <alignment horizontal="center" vertical="center" wrapText="1"/>
    </xf>
    <xf numFmtId="0" fontId="0" fillId="2" borderId="18" xfId="0" applyFill="1" applyBorder="1"/>
    <xf numFmtId="0" fontId="0" fillId="2" borderId="19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3" xfId="0" applyFill="1" applyBorder="1" applyAlignment="1">
      <alignment horizontal="center" wrapText="1"/>
    </xf>
    <xf numFmtId="0" fontId="0" fillId="2" borderId="24" xfId="0" applyFill="1" applyBorder="1"/>
    <xf numFmtId="0" fontId="3" fillId="0" borderId="0" xfId="0" applyFont="1" applyFill="1" applyBorder="1" applyAlignment="1">
      <alignment horizontal="center" vertical="center"/>
    </xf>
    <xf numFmtId="14" fontId="0" fillId="0" borderId="1" xfId="0" applyNumberFormat="1" applyFill="1" applyBorder="1"/>
    <xf numFmtId="4" fontId="3" fillId="3" borderId="0" xfId="0" applyNumberFormat="1" applyFont="1" applyFill="1" applyBorder="1" applyAlignment="1">
      <alignment horizontal="center" vertical="center"/>
    </xf>
    <xf numFmtId="0" fontId="0" fillId="0" borderId="0" xfId="0" applyNumberFormat="1" applyFill="1" applyBorder="1" applyAlignment="1"/>
    <xf numFmtId="0" fontId="0" fillId="0" borderId="1" xfId="0" applyBorder="1"/>
    <xf numFmtId="0" fontId="0" fillId="0" borderId="1" xfId="0" applyBorder="1"/>
    <xf numFmtId="0" fontId="0" fillId="0" borderId="0" xfId="0" applyFill="1" applyBorder="1" applyAlignment="1">
      <alignment horizontal="center"/>
    </xf>
    <xf numFmtId="4" fontId="0" fillId="0" borderId="0" xfId="0" applyNumberFormat="1" applyFill="1"/>
    <xf numFmtId="0" fontId="0" fillId="0" borderId="1" xfId="0" applyBorder="1"/>
    <xf numFmtId="0" fontId="0" fillId="0" borderId="1" xfId="0" applyFill="1" applyBorder="1"/>
    <xf numFmtId="0" fontId="0" fillId="0" borderId="14" xfId="0" applyFill="1" applyBorder="1"/>
    <xf numFmtId="0" fontId="6" fillId="2" borderId="0" xfId="0" applyFont="1" applyFill="1" applyBorder="1" applyAlignment="1"/>
    <xf numFmtId="4" fontId="0" fillId="5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9" fillId="0" borderId="1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0" fontId="0" fillId="0" borderId="4" xfId="0" applyBorder="1" applyAlignment="1" applyProtection="1">
      <alignment horizontal="center"/>
      <protection hidden="1"/>
    </xf>
    <xf numFmtId="0" fontId="0" fillId="0" borderId="6" xfId="0" applyBorder="1" applyAlignment="1" applyProtection="1">
      <alignment horizontal="center"/>
      <protection hidden="1"/>
    </xf>
    <xf numFmtId="2" fontId="4" fillId="0" borderId="22" xfId="0" applyNumberFormat="1" applyFont="1" applyBorder="1" applyAlignment="1">
      <alignment horizontal="center" wrapText="1"/>
    </xf>
    <xf numFmtId="2" fontId="4" fillId="0" borderId="23" xfId="0" applyNumberFormat="1" applyFont="1" applyBorder="1" applyAlignment="1">
      <alignment horizontal="center" wrapText="1"/>
    </xf>
    <xf numFmtId="2" fontId="0" fillId="0" borderId="21" xfId="0" applyNumberFormat="1" applyFill="1" applyBorder="1" applyAlignment="1">
      <alignment horizontal="center" wrapText="1"/>
    </xf>
    <xf numFmtId="2" fontId="0" fillId="2" borderId="21" xfId="0" applyNumberFormat="1" applyFill="1" applyBorder="1" applyAlignment="1">
      <alignment horizontal="center" wrapText="1"/>
    </xf>
    <xf numFmtId="2" fontId="0" fillId="2" borderId="3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2" fontId="4" fillId="2" borderId="7" xfId="0" applyNumberFormat="1" applyFont="1" applyFill="1" applyBorder="1" applyAlignment="1">
      <alignment horizontal="center" wrapText="1"/>
    </xf>
    <xf numFmtId="2" fontId="4" fillId="2" borderId="14" xfId="0" applyNumberFormat="1" applyFont="1" applyFill="1" applyBorder="1" applyAlignment="1">
      <alignment horizontal="center" wrapText="1"/>
    </xf>
    <xf numFmtId="0" fontId="15" fillId="0" borderId="18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0" fillId="0" borderId="11" xfId="0" applyBorder="1"/>
    <xf numFmtId="0" fontId="0" fillId="0" borderId="9" xfId="0" applyBorder="1"/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/>
    <xf numFmtId="0" fontId="0" fillId="0" borderId="74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1" fillId="4" borderId="9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4" borderId="1" xfId="0" applyNumberFormat="1" applyFont="1" applyFill="1" applyBorder="1" applyAlignment="1">
      <alignment horizontal="center" vertical="center" wrapText="1"/>
    </xf>
    <xf numFmtId="164" fontId="2" fillId="4" borderId="26" xfId="0" applyNumberFormat="1" applyFont="1" applyFill="1" applyBorder="1" applyAlignment="1">
      <alignment horizontal="center" vertical="center" wrapText="1"/>
    </xf>
    <xf numFmtId="0" fontId="14" fillId="0" borderId="18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64" fontId="2" fillId="4" borderId="29" xfId="0" applyNumberFormat="1" applyFont="1" applyFill="1" applyBorder="1" applyAlignment="1">
      <alignment horizontal="center" vertical="center" wrapText="1"/>
    </xf>
    <xf numFmtId="0" fontId="0" fillId="0" borderId="31" xfId="0" applyFont="1" applyFill="1" applyBorder="1" applyAlignment="1">
      <alignment horizontal="center"/>
    </xf>
    <xf numFmtId="0" fontId="0" fillId="0" borderId="37" xfId="0" applyFon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1" fillId="4" borderId="27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69" xfId="0" applyBorder="1" applyAlignment="1">
      <alignment horizontal="center"/>
    </xf>
    <xf numFmtId="14" fontId="0" fillId="0" borderId="28" xfId="0" applyNumberFormat="1" applyBorder="1" applyAlignment="1">
      <alignment horizontal="center" vertical="center"/>
    </xf>
    <xf numFmtId="14" fontId="0" fillId="0" borderId="73" xfId="0" applyNumberFormat="1" applyBorder="1" applyAlignment="1">
      <alignment horizontal="center" vertical="center"/>
    </xf>
    <xf numFmtId="0" fontId="0" fillId="0" borderId="71" xfId="0" applyBorder="1" applyAlignment="1">
      <alignment horizontal="center"/>
    </xf>
    <xf numFmtId="0" fontId="0" fillId="0" borderId="58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11" fillId="0" borderId="66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1" fillId="0" borderId="67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/>
    <xf numFmtId="0" fontId="1" fillId="4" borderId="50" xfId="0" applyFont="1" applyFill="1" applyBorder="1" applyAlignment="1">
      <alignment horizontal="center" vertical="center" wrapText="1"/>
    </xf>
    <xf numFmtId="0" fontId="1" fillId="4" borderId="54" xfId="0" applyFont="1" applyFill="1" applyBorder="1" applyAlignment="1">
      <alignment horizontal="center" vertical="center" wrapText="1"/>
    </xf>
    <xf numFmtId="164" fontId="2" fillId="4" borderId="51" xfId="0" applyNumberFormat="1" applyFont="1" applyFill="1" applyBorder="1" applyAlignment="1" applyProtection="1">
      <alignment horizontal="center" vertical="center" wrapText="1"/>
      <protection locked="0"/>
    </xf>
    <xf numFmtId="164" fontId="2" fillId="4" borderId="51" xfId="0" applyNumberFormat="1" applyFont="1" applyFill="1" applyBorder="1" applyAlignment="1">
      <alignment horizontal="center" vertical="center" wrapText="1"/>
    </xf>
    <xf numFmtId="164" fontId="2" fillId="4" borderId="52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12" borderId="49" xfId="0" applyFill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0" fillId="0" borderId="78" xfId="0" applyBorder="1" applyAlignment="1">
      <alignment horizontal="center"/>
    </xf>
    <xf numFmtId="0" fontId="0" fillId="0" borderId="79" xfId="0" applyBorder="1" applyAlignment="1">
      <alignment horizontal="center"/>
    </xf>
    <xf numFmtId="0" fontId="0" fillId="0" borderId="80" xfId="0" applyBorder="1" applyAlignment="1">
      <alignment horizontal="center"/>
    </xf>
    <xf numFmtId="0" fontId="0" fillId="0" borderId="81" xfId="0" applyBorder="1" applyAlignment="1">
      <alignment horizontal="center"/>
    </xf>
    <xf numFmtId="0" fontId="0" fillId="0" borderId="82" xfId="0" applyBorder="1" applyAlignment="1">
      <alignment horizontal="center"/>
    </xf>
    <xf numFmtId="0" fontId="0" fillId="0" borderId="83" xfId="0" applyBorder="1"/>
    <xf numFmtId="0" fontId="0" fillId="0" borderId="53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49" xfId="0" applyFont="1" applyFill="1" applyBorder="1" applyAlignment="1">
      <alignment horizontal="center"/>
    </xf>
    <xf numFmtId="0" fontId="0" fillId="0" borderId="0" xfId="0" applyFill="1" applyBorder="1" applyAlignment="1"/>
    <xf numFmtId="0" fontId="17" fillId="2" borderId="0" xfId="0" applyFont="1" applyFill="1" applyBorder="1" applyAlignment="1">
      <alignment horizontal="center"/>
    </xf>
    <xf numFmtId="16" fontId="4" fillId="0" borderId="11" xfId="0" applyNumberFormat="1" applyFont="1" applyBorder="1" applyAlignment="1" applyProtection="1">
      <alignment horizontal="left"/>
      <protection hidden="1"/>
    </xf>
    <xf numFmtId="16" fontId="4" fillId="0" borderId="45" xfId="0" applyNumberFormat="1" applyFont="1" applyBorder="1" applyAlignment="1" applyProtection="1">
      <alignment horizontal="left"/>
      <protection hidden="1"/>
    </xf>
    <xf numFmtId="16" fontId="4" fillId="0" borderId="9" xfId="0" applyNumberFormat="1" applyFont="1" applyBorder="1" applyAlignment="1" applyProtection="1">
      <alignment horizontal="left"/>
      <protection hidden="1"/>
    </xf>
    <xf numFmtId="0" fontId="4" fillId="0" borderId="31" xfId="0" applyFont="1" applyBorder="1" applyProtection="1">
      <protection hidden="1"/>
    </xf>
    <xf numFmtId="0" fontId="4" fillId="0" borderId="8" xfId="0" applyFont="1" applyBorder="1" applyProtection="1">
      <protection hidden="1"/>
    </xf>
    <xf numFmtId="0" fontId="4" fillId="0" borderId="37" xfId="0" applyFont="1" applyBorder="1" applyProtection="1">
      <protection hidden="1"/>
    </xf>
    <xf numFmtId="0" fontId="4" fillId="0" borderId="41" xfId="0" applyFont="1" applyBorder="1" applyProtection="1">
      <protection hidden="1"/>
    </xf>
    <xf numFmtId="0" fontId="4" fillId="0" borderId="13" xfId="0" applyFont="1" applyBorder="1" applyProtection="1">
      <protection hidden="1"/>
    </xf>
    <xf numFmtId="0" fontId="4" fillId="0" borderId="32" xfId="0" applyFont="1" applyBorder="1" applyProtection="1">
      <protection hidden="1"/>
    </xf>
    <xf numFmtId="0" fontId="0" fillId="0" borderId="83" xfId="0" applyFill="1" applyBorder="1"/>
    <xf numFmtId="0" fontId="0" fillId="0" borderId="9" xfId="0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center" vertical="center" wrapText="1"/>
    </xf>
    <xf numFmtId="14" fontId="0" fillId="0" borderId="84" xfId="0" applyNumberFormat="1" applyFont="1" applyFill="1" applyBorder="1" applyAlignment="1">
      <alignment horizontal="center"/>
    </xf>
    <xf numFmtId="14" fontId="0" fillId="0" borderId="85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1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Обычный" xfId="0" builtinId="0"/>
  </cellStyles>
  <dxfs count="44"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9088923884514437"/>
          <c:y val="3.9697076516518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226159230096238"/>
          <c:y val="0.17171296296296298"/>
          <c:w val="0.85118362694150917"/>
          <c:h val="0.72714018174424455"/>
        </c:manualLayout>
      </c:layout>
      <c:lineChart>
        <c:grouping val="stacked"/>
        <c:varyColors val="0"/>
        <c:ser>
          <c:idx val="0"/>
          <c:order val="0"/>
          <c:tx>
            <c:v>выручка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ОБЩЕЕ!$C$51:$C$57</c:f>
              <c:strCache>
                <c:ptCount val="7"/>
                <c:pt idx="0">
                  <c:v>май</c:v>
                </c:pt>
                <c:pt idx="1">
                  <c:v>июнь</c:v>
                </c:pt>
                <c:pt idx="2">
                  <c:v>июль</c:v>
                </c:pt>
                <c:pt idx="3">
                  <c:v>август</c:v>
                </c:pt>
                <c:pt idx="4">
                  <c:v>сентябрь</c:v>
                </c:pt>
                <c:pt idx="5">
                  <c:v>октябрь</c:v>
                </c:pt>
                <c:pt idx="6">
                  <c:v>ноябрь</c:v>
                </c:pt>
              </c:strCache>
            </c:strRef>
          </c:cat>
          <c:val>
            <c:numRef>
              <c:f>ОБЩЕЕ!$D$51:$D$56</c:f>
              <c:numCache>
                <c:formatCode>0.00</c:formatCode>
                <c:ptCount val="6"/>
                <c:pt idx="0">
                  <c:v>33392.170000000006</c:v>
                </c:pt>
                <c:pt idx="1">
                  <c:v>32809.9</c:v>
                </c:pt>
                <c:pt idx="2">
                  <c:v>35259.58</c:v>
                </c:pt>
                <c:pt idx="3" formatCode="General">
                  <c:v>34690.219999999994</c:v>
                </c:pt>
                <c:pt idx="4" formatCode="General">
                  <c:v>30955.48</c:v>
                </c:pt>
                <c:pt idx="5" formatCode="General">
                  <c:v>31239.439999999995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9A-4A1A-8071-A2DC7E1A91F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8271423"/>
        <c:axId val="1088270175"/>
      </c:lineChart>
      <c:catAx>
        <c:axId val="1088271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0175"/>
        <c:crosses val="autoZero"/>
        <c:auto val="1"/>
        <c:lblAlgn val="ctr"/>
        <c:lblOffset val="100"/>
        <c:noMultiLvlLbl val="0"/>
      </c:catAx>
      <c:valAx>
        <c:axId val="1088270175"/>
        <c:scaling>
          <c:orientation val="minMax"/>
          <c:min val="29000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1088271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Выручка</a:t>
            </a:r>
          </a:p>
        </c:rich>
      </c:tx>
      <c:layout>
        <c:manualLayout>
          <c:xMode val="edge"/>
          <c:yMode val="edge"/>
          <c:x val="0.43301972727989663"/>
          <c:y val="3.9697076516518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1.9111977967648051E-2"/>
          <c:y val="7.5675416193561759E-2"/>
          <c:w val="0.9257644852830057"/>
          <c:h val="0.78777769696969702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ОБЩЕЕ!$D$51:$D$57</c:f>
              <c:strCache>
                <c:ptCount val="7"/>
                <c:pt idx="0">
                  <c:v>33392,17</c:v>
                </c:pt>
                <c:pt idx="1">
                  <c:v>32809,90</c:v>
                </c:pt>
                <c:pt idx="2">
                  <c:v>35259,58</c:v>
                </c:pt>
                <c:pt idx="3">
                  <c:v>34690,22</c:v>
                </c:pt>
                <c:pt idx="4">
                  <c:v>30955,48</c:v>
                </c:pt>
                <c:pt idx="5">
                  <c:v>31239,44</c:v>
                </c:pt>
                <c:pt idx="6">
                  <c:v>28986,99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ОБЩЕЕ!$C$51:$C$58</c:f>
              <c:strCache>
                <c:ptCount val="8"/>
                <c:pt idx="0">
                  <c:v>май</c:v>
                </c:pt>
                <c:pt idx="1">
                  <c:v>июнь</c:v>
                </c:pt>
                <c:pt idx="2">
                  <c:v>июль</c:v>
                </c:pt>
                <c:pt idx="3">
                  <c:v>август</c:v>
                </c:pt>
                <c:pt idx="4">
                  <c:v>сентябрь</c:v>
                </c:pt>
                <c:pt idx="5">
                  <c:v>октябрь</c:v>
                </c:pt>
                <c:pt idx="6">
                  <c:v>ноябрь</c:v>
                </c:pt>
                <c:pt idx="7">
                  <c:v>декабрь</c:v>
                </c:pt>
              </c:strCache>
            </c:strRef>
          </c:cat>
          <c:val>
            <c:numRef>
              <c:f>ОБЩЕЕ!$D$51:$D$58</c:f>
              <c:numCache>
                <c:formatCode>0.00</c:formatCode>
                <c:ptCount val="8"/>
                <c:pt idx="0">
                  <c:v>33392.170000000006</c:v>
                </c:pt>
                <c:pt idx="1">
                  <c:v>32809.9</c:v>
                </c:pt>
                <c:pt idx="2">
                  <c:v>35259.58</c:v>
                </c:pt>
                <c:pt idx="3" formatCode="General">
                  <c:v>34690.219999999994</c:v>
                </c:pt>
                <c:pt idx="4" formatCode="General">
                  <c:v>30955.48</c:v>
                </c:pt>
                <c:pt idx="5" formatCode="General">
                  <c:v>31239.439999999995</c:v>
                </c:pt>
                <c:pt idx="6">
                  <c:v>28986.99</c:v>
                </c:pt>
                <c:pt idx="7" formatCode="General">
                  <c:v>31654.69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F8-469A-BAF0-B14509E053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8271423"/>
        <c:axId val="1088270175"/>
      </c:lineChart>
      <c:catAx>
        <c:axId val="10882714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0175"/>
        <c:crosses val="autoZero"/>
        <c:auto val="1"/>
        <c:lblAlgn val="ctr"/>
        <c:lblOffset val="100"/>
        <c:noMultiLvlLbl val="0"/>
      </c:catAx>
      <c:valAx>
        <c:axId val="1088270175"/>
        <c:scaling>
          <c:orientation val="minMax"/>
          <c:min val="28000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crossAx val="1088271423"/>
        <c:crosses val="autoZero"/>
        <c:crossBetween val="between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Реализация</a:t>
            </a:r>
            <a:r>
              <a:rPr lang="ru-RU" baseline="0"/>
              <a:t> миланкосметикс</a:t>
            </a:r>
            <a:endParaRPr lang="ru-RU"/>
          </a:p>
        </c:rich>
      </c:tx>
      <c:layout>
        <c:manualLayout>
          <c:xMode val="edge"/>
          <c:yMode val="edge"/>
          <c:x val="0.25013860819487416"/>
          <c:y val="2.08870028113007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197487398199415"/>
          <c:y val="7.2601163503927119E-2"/>
          <c:w val="0.85870539559946835"/>
          <c:h val="0.65060977520758978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ОБЩЕЕ!$H$50</c:f>
              <c:strCache>
                <c:ptCount val="1"/>
                <c:pt idx="0">
                  <c:v>жтк</c:v>
                </c:pt>
              </c:strCache>
            </c:strRef>
          </c:tx>
          <c:spPr>
            <a:ln w="22225" cap="rnd">
              <a:solidFill>
                <a:schemeClr val="tx2">
                  <a:lumMod val="60000"/>
                  <a:lumOff val="40000"/>
                </a:schemeClr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3"/>
              <c:layout>
                <c:manualLayout>
                  <c:x val="-4.2513473434810656E-2"/>
                  <c:y val="2.182736649901408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E4E-4E62-BF3C-A033CC5CCD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1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ОБЩЕЕ!$F$51:$F$57</c:f>
              <c:strCache>
                <c:ptCount val="7"/>
                <c:pt idx="0">
                  <c:v>июнь</c:v>
                </c:pt>
                <c:pt idx="1">
                  <c:v>июль</c:v>
                </c:pt>
                <c:pt idx="2">
                  <c:v>август</c:v>
                </c:pt>
                <c:pt idx="3">
                  <c:v>сент</c:v>
                </c:pt>
                <c:pt idx="4">
                  <c:v>октябрь</c:v>
                </c:pt>
                <c:pt idx="5">
                  <c:v>ноябрь</c:v>
                </c:pt>
                <c:pt idx="6">
                  <c:v>декабрь</c:v>
                </c:pt>
              </c:strCache>
            </c:strRef>
          </c:cat>
          <c:val>
            <c:numRef>
              <c:f>ОБЩЕЕ!$H$51:$H$56</c:f>
              <c:numCache>
                <c:formatCode>General</c:formatCode>
                <c:ptCount val="6"/>
                <c:pt idx="0">
                  <c:v>660.88</c:v>
                </c:pt>
                <c:pt idx="1">
                  <c:v>965.66</c:v>
                </c:pt>
                <c:pt idx="2">
                  <c:v>632.44000000000005</c:v>
                </c:pt>
                <c:pt idx="3">
                  <c:v>868.92</c:v>
                </c:pt>
                <c:pt idx="4">
                  <c:v>1147.08</c:v>
                </c:pt>
                <c:pt idx="5">
                  <c:v>1035.6500000000001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4E-4E62-BF3C-A033CC5CCD87}"/>
            </c:ext>
          </c:extLst>
        </c:ser>
        <c:ser>
          <c:idx val="1"/>
          <c:order val="1"/>
          <c:tx>
            <c:strRef>
              <c:f>ОБЩЕЕ!$I$50</c:f>
              <c:strCache>
                <c:ptCount val="1"/>
                <c:pt idx="0">
                  <c:v>ТЦ "галерея"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2"/>
              <c:layout>
                <c:manualLayout>
                  <c:x val="-6.8458191437516691E-2"/>
                  <c:y val="1.74618931992113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E4E-4E62-BF3C-A033CC5CCD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ОБЩЕЕ!$F$51:$F$57</c:f>
              <c:strCache>
                <c:ptCount val="7"/>
                <c:pt idx="0">
                  <c:v>июнь</c:v>
                </c:pt>
                <c:pt idx="1">
                  <c:v>июль</c:v>
                </c:pt>
                <c:pt idx="2">
                  <c:v>август</c:v>
                </c:pt>
                <c:pt idx="3">
                  <c:v>сент</c:v>
                </c:pt>
                <c:pt idx="4">
                  <c:v>октябрь</c:v>
                </c:pt>
                <c:pt idx="5">
                  <c:v>ноябрь</c:v>
                </c:pt>
                <c:pt idx="6">
                  <c:v>декабрь</c:v>
                </c:pt>
              </c:strCache>
            </c:strRef>
          </c:cat>
          <c:val>
            <c:numRef>
              <c:f>ОБЩЕЕ!$I$51:$I$56</c:f>
              <c:numCache>
                <c:formatCode>General</c:formatCode>
                <c:ptCount val="6"/>
                <c:pt idx="0">
                  <c:v>1841.27</c:v>
                </c:pt>
                <c:pt idx="1">
                  <c:v>2164.75</c:v>
                </c:pt>
                <c:pt idx="2">
                  <c:v>547.82000000000005</c:v>
                </c:pt>
                <c:pt idx="3">
                  <c:v>1157.48</c:v>
                </c:pt>
                <c:pt idx="4">
                  <c:v>1780.71</c:v>
                </c:pt>
                <c:pt idx="5">
                  <c:v>1458.67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4E-4E62-BF3C-A033CC5CCD8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50297968"/>
        <c:axId val="850304624"/>
      </c:lineChart>
      <c:catAx>
        <c:axId val="8502979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04624"/>
        <c:crosses val="autoZero"/>
        <c:auto val="1"/>
        <c:lblAlgn val="ctr"/>
        <c:lblOffset val="100"/>
        <c:noMultiLvlLbl val="0"/>
      </c:catAx>
      <c:valAx>
        <c:axId val="8503046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85029796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"/>
          <c:y val="0.40582988080041388"/>
          <c:w val="0.20485579548058036"/>
          <c:h val="0.255150483803014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Реализация</a:t>
            </a:r>
            <a:r>
              <a:rPr lang="ru-RU" baseline="0"/>
              <a:t> миланкосметикс</a:t>
            </a:r>
            <a:endParaRPr lang="ru-RU"/>
          </a:p>
        </c:rich>
      </c:tx>
      <c:layout>
        <c:manualLayout>
          <c:xMode val="edge"/>
          <c:yMode val="edge"/>
          <c:x val="0.25013860819487416"/>
          <c:y val="2.08870028113007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197487398199415"/>
          <c:y val="7.2601163503927119E-2"/>
          <c:w val="0.85870539559946835"/>
          <c:h val="0.65060977520758978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ОБЩЕЕ!$H$50</c:f>
              <c:strCache>
                <c:ptCount val="1"/>
                <c:pt idx="0">
                  <c:v>жтк</c:v>
                </c:pt>
              </c:strCache>
            </c:strRef>
          </c:tx>
          <c:spPr>
            <a:ln w="22225" cap="rnd">
              <a:solidFill>
                <a:schemeClr val="tx2">
                  <a:lumMod val="60000"/>
                  <a:lumOff val="40000"/>
                </a:schemeClr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3"/>
              <c:layout>
                <c:manualLayout>
                  <c:x val="-4.2513473434810656E-2"/>
                  <c:y val="2.182736649901408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ADD-430E-8096-3F3A096772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1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ОБЩЕЕ!$F$51:$F$57</c:f>
              <c:strCache>
                <c:ptCount val="7"/>
                <c:pt idx="0">
                  <c:v>июнь</c:v>
                </c:pt>
                <c:pt idx="1">
                  <c:v>июль</c:v>
                </c:pt>
                <c:pt idx="2">
                  <c:v>август</c:v>
                </c:pt>
                <c:pt idx="3">
                  <c:v>сент</c:v>
                </c:pt>
                <c:pt idx="4">
                  <c:v>октябрь</c:v>
                </c:pt>
                <c:pt idx="5">
                  <c:v>ноябрь</c:v>
                </c:pt>
                <c:pt idx="6">
                  <c:v>декабрь</c:v>
                </c:pt>
              </c:strCache>
            </c:strRef>
          </c:cat>
          <c:val>
            <c:numRef>
              <c:f>ОБЩЕЕ!$H$51:$H$56</c:f>
              <c:numCache>
                <c:formatCode>General</c:formatCode>
                <c:ptCount val="6"/>
                <c:pt idx="0">
                  <c:v>660.88</c:v>
                </c:pt>
                <c:pt idx="1">
                  <c:v>965.66</c:v>
                </c:pt>
                <c:pt idx="2">
                  <c:v>632.44000000000005</c:v>
                </c:pt>
                <c:pt idx="3">
                  <c:v>868.92</c:v>
                </c:pt>
                <c:pt idx="4">
                  <c:v>1147.08</c:v>
                </c:pt>
                <c:pt idx="5">
                  <c:v>1035.6500000000001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DD-430E-8096-3F3A09677287}"/>
            </c:ext>
          </c:extLst>
        </c:ser>
        <c:ser>
          <c:idx val="1"/>
          <c:order val="1"/>
          <c:tx>
            <c:strRef>
              <c:f>ОБЩЕЕ!$I$50</c:f>
              <c:strCache>
                <c:ptCount val="1"/>
                <c:pt idx="0">
                  <c:v>ТЦ "галерея"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2"/>
              <c:layout>
                <c:manualLayout>
                  <c:x val="-6.8458191437516691E-2"/>
                  <c:y val="1.74618931992113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ADD-430E-8096-3F3A096772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ОБЩЕЕ!$F$51:$F$57</c:f>
              <c:strCache>
                <c:ptCount val="7"/>
                <c:pt idx="0">
                  <c:v>июнь</c:v>
                </c:pt>
                <c:pt idx="1">
                  <c:v>июль</c:v>
                </c:pt>
                <c:pt idx="2">
                  <c:v>август</c:v>
                </c:pt>
                <c:pt idx="3">
                  <c:v>сент</c:v>
                </c:pt>
                <c:pt idx="4">
                  <c:v>октябрь</c:v>
                </c:pt>
                <c:pt idx="5">
                  <c:v>ноябрь</c:v>
                </c:pt>
                <c:pt idx="6">
                  <c:v>декабрь</c:v>
                </c:pt>
              </c:strCache>
            </c:strRef>
          </c:cat>
          <c:val>
            <c:numRef>
              <c:f>ОБЩЕЕ!$I$51:$I$56</c:f>
              <c:numCache>
                <c:formatCode>General</c:formatCode>
                <c:ptCount val="6"/>
                <c:pt idx="0">
                  <c:v>1841.27</c:v>
                </c:pt>
                <c:pt idx="1">
                  <c:v>2164.75</c:v>
                </c:pt>
                <c:pt idx="2">
                  <c:v>547.82000000000005</c:v>
                </c:pt>
                <c:pt idx="3">
                  <c:v>1157.48</c:v>
                </c:pt>
                <c:pt idx="4">
                  <c:v>1780.71</c:v>
                </c:pt>
                <c:pt idx="5">
                  <c:v>1458.67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DD-430E-8096-3F3A0967728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50297968"/>
        <c:axId val="850304624"/>
      </c:lineChart>
      <c:catAx>
        <c:axId val="8502979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04624"/>
        <c:crosses val="autoZero"/>
        <c:auto val="1"/>
        <c:lblAlgn val="ctr"/>
        <c:lblOffset val="100"/>
        <c:noMultiLvlLbl val="0"/>
      </c:catAx>
      <c:valAx>
        <c:axId val="8503046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85029796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"/>
          <c:y val="0.40582988080041388"/>
          <c:w val="0.20485579548058036"/>
          <c:h val="0.255150483803014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ОБОРОТ</a:t>
            </a:r>
            <a:r>
              <a:rPr lang="ru-RU" baseline="0"/>
              <a:t> </a:t>
            </a:r>
            <a:r>
              <a:rPr lang="en-US" baseline="0"/>
              <a:t>LUCKY LADY</a:t>
            </a:r>
            <a:r>
              <a:rPr lang="ru-RU" baseline="0"/>
              <a:t> ТЦ "ГАЛЕРЕЯ"</a:t>
            </a:r>
            <a:endParaRPr lang="ru-RU"/>
          </a:p>
        </c:rich>
      </c:tx>
      <c:layout>
        <c:manualLayout>
          <c:xMode val="edge"/>
          <c:yMode val="edge"/>
          <c:x val="0.22292518645203091"/>
          <c:y val="3.66484693777122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1.9111977967648051E-2"/>
          <c:y val="7.5675416193561759E-2"/>
          <c:w val="0.9257644852830057"/>
          <c:h val="0.78777769696969702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ОБЩЕЕ!$D$51:$D$57</c:f>
              <c:strCache>
                <c:ptCount val="7"/>
                <c:pt idx="0">
                  <c:v>33392,17</c:v>
                </c:pt>
                <c:pt idx="1">
                  <c:v>32809,90</c:v>
                </c:pt>
                <c:pt idx="2">
                  <c:v>35259,58</c:v>
                </c:pt>
                <c:pt idx="3">
                  <c:v>34690,22</c:v>
                </c:pt>
                <c:pt idx="4">
                  <c:v>30955,48</c:v>
                </c:pt>
                <c:pt idx="5">
                  <c:v>31239,44</c:v>
                </c:pt>
                <c:pt idx="6">
                  <c:v>28986,99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ОБЩЕЕ!$C$51:$C$58</c:f>
              <c:strCache>
                <c:ptCount val="8"/>
                <c:pt idx="0">
                  <c:v>май</c:v>
                </c:pt>
                <c:pt idx="1">
                  <c:v>июнь</c:v>
                </c:pt>
                <c:pt idx="2">
                  <c:v>июль</c:v>
                </c:pt>
                <c:pt idx="3">
                  <c:v>август</c:v>
                </c:pt>
                <c:pt idx="4">
                  <c:v>сентябрь</c:v>
                </c:pt>
                <c:pt idx="5">
                  <c:v>октябрь</c:v>
                </c:pt>
                <c:pt idx="6">
                  <c:v>ноябрь</c:v>
                </c:pt>
                <c:pt idx="7">
                  <c:v>декабрь</c:v>
                </c:pt>
              </c:strCache>
            </c:strRef>
          </c:cat>
          <c:val>
            <c:numRef>
              <c:f>ОБЩЕЕ!$D$51:$D$58</c:f>
              <c:numCache>
                <c:formatCode>0.00</c:formatCode>
                <c:ptCount val="8"/>
                <c:pt idx="0">
                  <c:v>33392.170000000006</c:v>
                </c:pt>
                <c:pt idx="1">
                  <c:v>32809.9</c:v>
                </c:pt>
                <c:pt idx="2">
                  <c:v>35259.58</c:v>
                </c:pt>
                <c:pt idx="3" formatCode="General">
                  <c:v>34690.219999999994</c:v>
                </c:pt>
                <c:pt idx="4" formatCode="General">
                  <c:v>30955.48</c:v>
                </c:pt>
                <c:pt idx="5" formatCode="General">
                  <c:v>31239.439999999995</c:v>
                </c:pt>
                <c:pt idx="6">
                  <c:v>28986.99</c:v>
                </c:pt>
                <c:pt idx="7" formatCode="General">
                  <c:v>31654.69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61-48FC-8619-D37B7FB2934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8271423"/>
        <c:axId val="1088270175"/>
      </c:lineChart>
      <c:catAx>
        <c:axId val="10882714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0175"/>
        <c:crosses val="autoZero"/>
        <c:auto val="1"/>
        <c:lblAlgn val="ctr"/>
        <c:lblOffset val="100"/>
        <c:noMultiLvlLbl val="0"/>
      </c:catAx>
      <c:valAx>
        <c:axId val="1088270175"/>
        <c:scaling>
          <c:orientation val="minMax"/>
          <c:min val="200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1423"/>
        <c:crosses val="autoZero"/>
        <c:crossBetween val="between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/>
              </a:rPr>
              <a:t>ОБОРОТ </a:t>
            </a:r>
            <a:r>
              <a:rPr lang="en-US" sz="1800" b="1" i="0" baseline="0">
                <a:effectLst/>
              </a:rPr>
              <a:t>LUCKY LADY</a:t>
            </a:r>
            <a:r>
              <a:rPr lang="ru-RU" sz="1800" b="1" i="0" baseline="0">
                <a:effectLst/>
              </a:rPr>
              <a:t> ТЦ "ВЕСТ"</a:t>
            </a:r>
            <a:endParaRPr lang="ru-RU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75000"/>
                    <a:lumOff val="25000"/>
                  </a:sysClr>
                </a:solidFill>
              </a:defRPr>
            </a:pPr>
            <a:endParaRPr lang="ru-RU"/>
          </a:p>
        </c:rich>
      </c:tx>
      <c:layout>
        <c:manualLayout>
          <c:xMode val="edge"/>
          <c:yMode val="edge"/>
          <c:x val="0.24777814142507384"/>
          <c:y val="2.1405379298491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7688332604588896E-2"/>
          <c:y val="8.4536977339395511E-2"/>
          <c:w val="0.9257644852830057"/>
          <c:h val="0.78777769696969702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ОБЩЕЕ!$K$52:$K$54</c:f>
              <c:strCache>
                <c:ptCount val="3"/>
                <c:pt idx="0">
                  <c:v>ноябрь</c:v>
                </c:pt>
                <c:pt idx="1">
                  <c:v>декабрь</c:v>
                </c:pt>
                <c:pt idx="2">
                  <c:v>январь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ОБЩЕЕ!$K$52:$K$54</c:f>
              <c:strCache>
                <c:ptCount val="3"/>
                <c:pt idx="0">
                  <c:v>ноябрь</c:v>
                </c:pt>
                <c:pt idx="1">
                  <c:v>декабрь</c:v>
                </c:pt>
                <c:pt idx="2">
                  <c:v>январь</c:v>
                </c:pt>
              </c:strCache>
            </c:strRef>
          </c:cat>
          <c:val>
            <c:numRef>
              <c:f>ОБЩЕЕ!$L$52:$L$54</c:f>
              <c:numCache>
                <c:formatCode>#,##0.00</c:formatCode>
                <c:ptCount val="3"/>
                <c:pt idx="0" formatCode="#\ ##0.00_р_.">
                  <c:v>2420.3999999999996</c:v>
                </c:pt>
                <c:pt idx="1">
                  <c:v>7629.6900000000023</c:v>
                </c:pt>
                <c:pt idx="2">
                  <c:v>8423.6400000000012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EF-4BB0-A324-3D93F248424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8271423"/>
        <c:axId val="1088270175"/>
      </c:lineChart>
      <c:catAx>
        <c:axId val="10882714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0175"/>
        <c:crosses val="autoZero"/>
        <c:auto val="1"/>
        <c:lblAlgn val="ctr"/>
        <c:lblOffset val="100"/>
        <c:noMultiLvlLbl val="0"/>
      </c:catAx>
      <c:valAx>
        <c:axId val="1088270175"/>
        <c:scaling>
          <c:orientation val="minMax"/>
          <c:max val="10000"/>
          <c:min val="10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\ ##0.00_р_.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1423"/>
        <c:crosses val="autoZero"/>
        <c:crossBetween val="between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Реализация</a:t>
            </a:r>
            <a:r>
              <a:rPr lang="ru-RU" baseline="0"/>
              <a:t> миланкосметикс</a:t>
            </a:r>
            <a:endParaRPr lang="ru-RU"/>
          </a:p>
        </c:rich>
      </c:tx>
      <c:layout>
        <c:manualLayout>
          <c:xMode val="edge"/>
          <c:yMode val="edge"/>
          <c:x val="0.25013860819487416"/>
          <c:y val="2.08870028113007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197487398199415"/>
          <c:y val="7.2601163503927119E-2"/>
          <c:w val="0.85870539559946835"/>
          <c:h val="0.65060977520758978"/>
        </c:manualLayout>
      </c:layout>
      <c:lineChart>
        <c:grouping val="standard"/>
        <c:varyColors val="0"/>
        <c:ser>
          <c:idx val="1"/>
          <c:order val="0"/>
          <c:tx>
            <c:strRef>
              <c:f>ОБЩЕЕ!$N$50</c:f>
              <c:strCache>
                <c:ptCount val="1"/>
                <c:pt idx="0">
                  <c:v>декабрь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ОБЩЕЕ!$N$51:$N$53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ОБЩЕЕ!$O$51:$O$53</c:f>
              <c:numCache>
                <c:formatCode>#,##0.00</c:formatCode>
                <c:ptCount val="3"/>
                <c:pt idx="0" formatCode="#\ ##0.00_р_.">
                  <c:v>3192.5899999999997</c:v>
                </c:pt>
                <c:pt idx="1">
                  <c:v>2936.18</c:v>
                </c:pt>
                <c:pt idx="2">
                  <c:v>1625.2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C0-41B0-BD37-13809BDE504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50297968"/>
        <c:axId val="850304624"/>
      </c:lineChart>
      <c:catAx>
        <c:axId val="8502979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04624"/>
        <c:crosses val="autoZero"/>
        <c:auto val="1"/>
        <c:lblAlgn val="ctr"/>
        <c:lblOffset val="100"/>
        <c:noMultiLvlLbl val="0"/>
      </c:catAx>
      <c:valAx>
        <c:axId val="8503046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\ ##0.00_р_.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29796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"/>
          <c:y val="0.40582988080041388"/>
          <c:w val="0.20485579548058036"/>
          <c:h val="0.255150483803014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Реализация</a:t>
            </a:r>
            <a:r>
              <a:rPr lang="ru-RU" baseline="0"/>
              <a:t> миланкосметикс</a:t>
            </a:r>
            <a:endParaRPr lang="ru-RU"/>
          </a:p>
        </c:rich>
      </c:tx>
      <c:layout>
        <c:manualLayout>
          <c:xMode val="edge"/>
          <c:yMode val="edge"/>
          <c:x val="0.25013860819487416"/>
          <c:y val="2.08870028113007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197487398199415"/>
          <c:y val="7.2601163503927119E-2"/>
          <c:w val="0.85870539559946835"/>
          <c:h val="0.65060977520758978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ОБЩЕЕ!$H$50</c:f>
              <c:strCache>
                <c:ptCount val="1"/>
                <c:pt idx="0">
                  <c:v>жтк</c:v>
                </c:pt>
              </c:strCache>
            </c:strRef>
          </c:tx>
          <c:spPr>
            <a:ln w="22225" cap="rnd">
              <a:solidFill>
                <a:schemeClr val="tx2">
                  <a:lumMod val="60000"/>
                  <a:lumOff val="40000"/>
                </a:schemeClr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3"/>
              <c:layout>
                <c:manualLayout>
                  <c:x val="-4.2513473434810656E-2"/>
                  <c:y val="2.182736649901408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4C0-47D1-965E-34013BFAE2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1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ОБЩЕЕ!$F$51:$F$57</c:f>
              <c:strCache>
                <c:ptCount val="7"/>
                <c:pt idx="0">
                  <c:v>июнь</c:v>
                </c:pt>
                <c:pt idx="1">
                  <c:v>июль</c:v>
                </c:pt>
                <c:pt idx="2">
                  <c:v>август</c:v>
                </c:pt>
                <c:pt idx="3">
                  <c:v>сент</c:v>
                </c:pt>
                <c:pt idx="4">
                  <c:v>октябрь</c:v>
                </c:pt>
                <c:pt idx="5">
                  <c:v>ноябрь</c:v>
                </c:pt>
                <c:pt idx="6">
                  <c:v>декабрь</c:v>
                </c:pt>
              </c:strCache>
            </c:strRef>
          </c:cat>
          <c:val>
            <c:numRef>
              <c:f>ОБЩЕЕ!$H$51:$H$57</c:f>
              <c:numCache>
                <c:formatCode>General</c:formatCode>
                <c:ptCount val="7"/>
                <c:pt idx="0">
                  <c:v>660.88</c:v>
                </c:pt>
                <c:pt idx="1">
                  <c:v>965.66</c:v>
                </c:pt>
                <c:pt idx="2">
                  <c:v>632.44000000000005</c:v>
                </c:pt>
                <c:pt idx="3">
                  <c:v>868.92</c:v>
                </c:pt>
                <c:pt idx="4">
                  <c:v>1147.08</c:v>
                </c:pt>
                <c:pt idx="5">
                  <c:v>1035.6500000000001</c:v>
                </c:pt>
                <c:pt idx="6">
                  <c:v>918.57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C0-47D1-965E-34013BFAE24D}"/>
            </c:ext>
          </c:extLst>
        </c:ser>
        <c:ser>
          <c:idx val="1"/>
          <c:order val="1"/>
          <c:tx>
            <c:strRef>
              <c:f>ОБЩЕЕ!$I$50</c:f>
              <c:strCache>
                <c:ptCount val="1"/>
                <c:pt idx="0">
                  <c:v>ТЦ "галерея"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2"/>
              <c:layout>
                <c:manualLayout>
                  <c:x val="-6.8458191437516691E-2"/>
                  <c:y val="1.74618931992113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4C0-47D1-965E-34013BFAE2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ОБЩЕЕ!$F$51:$F$57</c:f>
              <c:strCache>
                <c:ptCount val="7"/>
                <c:pt idx="0">
                  <c:v>июнь</c:v>
                </c:pt>
                <c:pt idx="1">
                  <c:v>июль</c:v>
                </c:pt>
                <c:pt idx="2">
                  <c:v>август</c:v>
                </c:pt>
                <c:pt idx="3">
                  <c:v>сент</c:v>
                </c:pt>
                <c:pt idx="4">
                  <c:v>октябрь</c:v>
                </c:pt>
                <c:pt idx="5">
                  <c:v>ноябрь</c:v>
                </c:pt>
                <c:pt idx="6">
                  <c:v>декабрь</c:v>
                </c:pt>
              </c:strCache>
            </c:strRef>
          </c:cat>
          <c:val>
            <c:numRef>
              <c:f>ОБЩЕЕ!$I$51:$I$57</c:f>
              <c:numCache>
                <c:formatCode>General</c:formatCode>
                <c:ptCount val="7"/>
                <c:pt idx="0">
                  <c:v>1841.27</c:v>
                </c:pt>
                <c:pt idx="1">
                  <c:v>2164.75</c:v>
                </c:pt>
                <c:pt idx="2">
                  <c:v>547.82000000000005</c:v>
                </c:pt>
                <c:pt idx="3">
                  <c:v>1157.48</c:v>
                </c:pt>
                <c:pt idx="4">
                  <c:v>1780.71</c:v>
                </c:pt>
                <c:pt idx="5">
                  <c:v>1458.67</c:v>
                </c:pt>
                <c:pt idx="6">
                  <c:v>2039.02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C0-47D1-965E-34013BFAE24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50297968"/>
        <c:axId val="850304624"/>
      </c:lineChart>
      <c:catAx>
        <c:axId val="8502979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04624"/>
        <c:crosses val="autoZero"/>
        <c:auto val="1"/>
        <c:lblAlgn val="ctr"/>
        <c:lblOffset val="100"/>
        <c:noMultiLvlLbl val="0"/>
      </c:catAx>
      <c:valAx>
        <c:axId val="8503046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85029796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"/>
          <c:y val="0.40582988080041388"/>
          <c:w val="0.20485579548058036"/>
          <c:h val="0.255150483803014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ОБОРОТ</a:t>
            </a:r>
            <a:r>
              <a:rPr lang="ru-RU" baseline="0"/>
              <a:t> </a:t>
            </a:r>
            <a:r>
              <a:rPr lang="en-US" baseline="0"/>
              <a:t>LUCKY LADY</a:t>
            </a:r>
            <a:r>
              <a:rPr lang="ru-RU" baseline="0"/>
              <a:t> ТЦ "ГАЛЕРЕЯ"</a:t>
            </a:r>
            <a:endParaRPr lang="ru-RU"/>
          </a:p>
        </c:rich>
      </c:tx>
      <c:layout>
        <c:manualLayout>
          <c:xMode val="edge"/>
          <c:yMode val="edge"/>
          <c:x val="0.22292518645203091"/>
          <c:y val="3.66484693777122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1.9111977967648051E-2"/>
          <c:y val="7.5675416193561759E-2"/>
          <c:w val="0.9257644852830057"/>
          <c:h val="0.78777769696969702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ОБЩЕЕ!$D$51:$D$59</c:f>
              <c:strCache>
                <c:ptCount val="9"/>
                <c:pt idx="0">
                  <c:v>33392,17</c:v>
                </c:pt>
                <c:pt idx="1">
                  <c:v>32809,90</c:v>
                </c:pt>
                <c:pt idx="2">
                  <c:v>35259,58</c:v>
                </c:pt>
                <c:pt idx="3">
                  <c:v>34690,22</c:v>
                </c:pt>
                <c:pt idx="4">
                  <c:v>30955,48</c:v>
                </c:pt>
                <c:pt idx="5">
                  <c:v>31239,44</c:v>
                </c:pt>
                <c:pt idx="6">
                  <c:v>28986,99</c:v>
                </c:pt>
                <c:pt idx="7">
                  <c:v>31654,69</c:v>
                </c:pt>
                <c:pt idx="8">
                  <c:v>28891,40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ОБЩЕЕ!$C$51:$C$59</c:f>
              <c:strCache>
                <c:ptCount val="9"/>
                <c:pt idx="0">
                  <c:v>май</c:v>
                </c:pt>
                <c:pt idx="1">
                  <c:v>июнь</c:v>
                </c:pt>
                <c:pt idx="2">
                  <c:v>июль</c:v>
                </c:pt>
                <c:pt idx="3">
                  <c:v>август</c:v>
                </c:pt>
                <c:pt idx="4">
                  <c:v>сентябрь</c:v>
                </c:pt>
                <c:pt idx="5">
                  <c:v>октябрь</c:v>
                </c:pt>
                <c:pt idx="6">
                  <c:v>ноябрь</c:v>
                </c:pt>
                <c:pt idx="7">
                  <c:v>декабрь</c:v>
                </c:pt>
                <c:pt idx="8">
                  <c:v>январь</c:v>
                </c:pt>
              </c:strCache>
            </c:strRef>
          </c:cat>
          <c:val>
            <c:numRef>
              <c:f>ОБЩЕЕ!$D$51:$D$59</c:f>
              <c:numCache>
                <c:formatCode>0.00</c:formatCode>
                <c:ptCount val="9"/>
                <c:pt idx="0">
                  <c:v>33392.170000000006</c:v>
                </c:pt>
                <c:pt idx="1">
                  <c:v>32809.9</c:v>
                </c:pt>
                <c:pt idx="2">
                  <c:v>35259.58</c:v>
                </c:pt>
                <c:pt idx="3" formatCode="General">
                  <c:v>34690.219999999994</c:v>
                </c:pt>
                <c:pt idx="4" formatCode="General">
                  <c:v>30955.48</c:v>
                </c:pt>
                <c:pt idx="5" formatCode="General">
                  <c:v>31239.439999999995</c:v>
                </c:pt>
                <c:pt idx="6">
                  <c:v>28986.99</c:v>
                </c:pt>
                <c:pt idx="7" formatCode="General">
                  <c:v>31654.69</c:v>
                </c:pt>
                <c:pt idx="8">
                  <c:v>28891.4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3A-4E07-BA9A-5808C097131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8271423"/>
        <c:axId val="1088270175"/>
      </c:lineChart>
      <c:catAx>
        <c:axId val="10882714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0175"/>
        <c:crosses val="autoZero"/>
        <c:auto val="1"/>
        <c:lblAlgn val="ctr"/>
        <c:lblOffset val="100"/>
        <c:noMultiLvlLbl val="0"/>
      </c:catAx>
      <c:valAx>
        <c:axId val="1088270175"/>
        <c:scaling>
          <c:orientation val="minMax"/>
          <c:min val="200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1423"/>
        <c:crosses val="autoZero"/>
        <c:crossBetween val="between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/>
              </a:rPr>
              <a:t>ОБОРОТ </a:t>
            </a:r>
            <a:r>
              <a:rPr lang="en-US" sz="1800" b="1" i="0" baseline="0">
                <a:effectLst/>
              </a:rPr>
              <a:t>LUCKY LADY</a:t>
            </a:r>
            <a:r>
              <a:rPr lang="ru-RU" sz="1800" b="1" i="0" baseline="0">
                <a:effectLst/>
              </a:rPr>
              <a:t> ТЦ "ВЕСТ"</a:t>
            </a:r>
            <a:endParaRPr lang="ru-RU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75000"/>
                    <a:lumOff val="25000"/>
                  </a:sysClr>
                </a:solidFill>
              </a:defRPr>
            </a:pPr>
            <a:endParaRPr lang="ru-RU"/>
          </a:p>
        </c:rich>
      </c:tx>
      <c:layout>
        <c:manualLayout>
          <c:xMode val="edge"/>
          <c:yMode val="edge"/>
          <c:x val="0.24777814142507384"/>
          <c:y val="2.1405379298491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1.9111977967648051E-2"/>
          <c:y val="7.5675416193561759E-2"/>
          <c:w val="0.9257644852830057"/>
          <c:h val="0.78777769696969702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ОБЩЕЕ!$K$52:$K$54</c:f>
              <c:strCache>
                <c:ptCount val="3"/>
                <c:pt idx="0">
                  <c:v>ноябрь</c:v>
                </c:pt>
                <c:pt idx="1">
                  <c:v>декабрь</c:v>
                </c:pt>
                <c:pt idx="2">
                  <c:v>январь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ОБЩЕЕ!$K$52:$K$54</c:f>
              <c:strCache>
                <c:ptCount val="3"/>
                <c:pt idx="0">
                  <c:v>ноябрь</c:v>
                </c:pt>
                <c:pt idx="1">
                  <c:v>декабрь</c:v>
                </c:pt>
                <c:pt idx="2">
                  <c:v>январь</c:v>
                </c:pt>
              </c:strCache>
            </c:strRef>
          </c:cat>
          <c:val>
            <c:numRef>
              <c:f>ОБЩЕЕ!$L$52:$L$54</c:f>
              <c:numCache>
                <c:formatCode>#,##0.00</c:formatCode>
                <c:ptCount val="3"/>
                <c:pt idx="0" formatCode="#\ ##0.00_р_.">
                  <c:v>2420.3999999999996</c:v>
                </c:pt>
                <c:pt idx="1">
                  <c:v>7629.6900000000023</c:v>
                </c:pt>
                <c:pt idx="2">
                  <c:v>8423.6400000000012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08-4A56-A383-89E8E3BA3EE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8271423"/>
        <c:axId val="1088270175"/>
      </c:lineChart>
      <c:catAx>
        <c:axId val="10882714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0175"/>
        <c:crosses val="autoZero"/>
        <c:auto val="1"/>
        <c:lblAlgn val="ctr"/>
        <c:lblOffset val="100"/>
        <c:noMultiLvlLbl val="0"/>
      </c:catAx>
      <c:valAx>
        <c:axId val="1088270175"/>
        <c:scaling>
          <c:orientation val="minMax"/>
          <c:max val="10000"/>
          <c:min val="10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\ ##0.00_р_.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1423"/>
        <c:crosses val="autoZero"/>
        <c:crossBetween val="between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Реализация</a:t>
            </a:r>
            <a:r>
              <a:rPr lang="ru-RU" baseline="0"/>
              <a:t> миланкосметикс</a:t>
            </a:r>
            <a:endParaRPr lang="ru-RU"/>
          </a:p>
        </c:rich>
      </c:tx>
      <c:layout>
        <c:manualLayout>
          <c:xMode val="edge"/>
          <c:yMode val="edge"/>
          <c:x val="0.25013860819487416"/>
          <c:y val="2.08870028113007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197487398199415"/>
          <c:y val="7.2601163503927119E-2"/>
          <c:w val="0.85870539559946835"/>
          <c:h val="0.65060977520758978"/>
        </c:manualLayout>
      </c:layout>
      <c:lineChart>
        <c:grouping val="standard"/>
        <c:varyColors val="0"/>
        <c:ser>
          <c:idx val="1"/>
          <c:order val="0"/>
          <c:tx>
            <c:strRef>
              <c:f>ОБЩЕЕ!$N$50</c:f>
              <c:strCache>
                <c:ptCount val="1"/>
                <c:pt idx="0">
                  <c:v>декабрь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ОБЩЕЕ!$N$51:$N$53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ОБЩЕЕ!$O$51:$O$53</c:f>
              <c:numCache>
                <c:formatCode>#,##0.00</c:formatCode>
                <c:ptCount val="3"/>
                <c:pt idx="0" formatCode="#\ ##0.00_р_.">
                  <c:v>3192.5899999999997</c:v>
                </c:pt>
                <c:pt idx="1">
                  <c:v>2936.18</c:v>
                </c:pt>
                <c:pt idx="2">
                  <c:v>1625.2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A8-4804-82DE-D77150946DB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50297968"/>
        <c:axId val="850304624"/>
      </c:lineChart>
      <c:catAx>
        <c:axId val="8502979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04624"/>
        <c:crosses val="autoZero"/>
        <c:auto val="1"/>
        <c:lblAlgn val="ctr"/>
        <c:lblOffset val="100"/>
        <c:noMultiLvlLbl val="0"/>
      </c:catAx>
      <c:valAx>
        <c:axId val="8503046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\ ##0.00_р_.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29796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"/>
          <c:y val="0.40582988080041388"/>
          <c:w val="0.20485579548058036"/>
          <c:h val="0.255150483803014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Реализация</a:t>
            </a:r>
            <a:r>
              <a:rPr lang="ru-RU" baseline="0"/>
              <a:t> миланкосметикс</a:t>
            </a:r>
            <a:endParaRPr lang="ru-RU"/>
          </a:p>
        </c:rich>
      </c:tx>
      <c:layout>
        <c:manualLayout>
          <c:xMode val="edge"/>
          <c:yMode val="edge"/>
          <c:x val="0.25013860819487416"/>
          <c:y val="2.08870028113007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197487398199415"/>
          <c:y val="7.2601163503927119E-2"/>
          <c:w val="0.85870539559946835"/>
          <c:h val="0.65060977520758978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ОБЩЕЕ!$H$50</c:f>
              <c:strCache>
                <c:ptCount val="1"/>
                <c:pt idx="0">
                  <c:v>жтк</c:v>
                </c:pt>
              </c:strCache>
            </c:strRef>
          </c:tx>
          <c:spPr>
            <a:ln w="22225" cap="rnd">
              <a:solidFill>
                <a:schemeClr val="tx2">
                  <a:lumMod val="60000"/>
                  <a:lumOff val="40000"/>
                </a:schemeClr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ОБЩЕЕ!$F$51:$F$59</c:f>
              <c:strCache>
                <c:ptCount val="9"/>
                <c:pt idx="0">
                  <c:v>июнь</c:v>
                </c:pt>
                <c:pt idx="1">
                  <c:v>июль</c:v>
                </c:pt>
                <c:pt idx="2">
                  <c:v>август</c:v>
                </c:pt>
                <c:pt idx="3">
                  <c:v>сент</c:v>
                </c:pt>
                <c:pt idx="4">
                  <c:v>октябрь</c:v>
                </c:pt>
                <c:pt idx="5">
                  <c:v>ноябрь</c:v>
                </c:pt>
                <c:pt idx="6">
                  <c:v>декабрь</c:v>
                </c:pt>
                <c:pt idx="7">
                  <c:v>январь</c:v>
                </c:pt>
                <c:pt idx="8">
                  <c:v>февраль</c:v>
                </c:pt>
              </c:strCache>
            </c:strRef>
          </c:cat>
          <c:val>
            <c:numRef>
              <c:f>ОБЩЕЕ!$H$51:$H$59</c:f>
              <c:numCache>
                <c:formatCode>General</c:formatCode>
                <c:ptCount val="9"/>
                <c:pt idx="0">
                  <c:v>660.88</c:v>
                </c:pt>
                <c:pt idx="1">
                  <c:v>965.66</c:v>
                </c:pt>
                <c:pt idx="2">
                  <c:v>632.44000000000005</c:v>
                </c:pt>
                <c:pt idx="3">
                  <c:v>868.92</c:v>
                </c:pt>
                <c:pt idx="4">
                  <c:v>1147.08</c:v>
                </c:pt>
                <c:pt idx="5">
                  <c:v>1035.6500000000001</c:v>
                </c:pt>
                <c:pt idx="6">
                  <c:v>918.57</c:v>
                </c:pt>
                <c:pt idx="7">
                  <c:v>899.78</c:v>
                </c:pt>
                <c:pt idx="8">
                  <c:v>815.26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64-4E17-9FFC-589B85A67EAC}"/>
            </c:ext>
          </c:extLst>
        </c:ser>
        <c:ser>
          <c:idx val="1"/>
          <c:order val="1"/>
          <c:tx>
            <c:strRef>
              <c:f>ОБЩЕЕ!$I$50</c:f>
              <c:strCache>
                <c:ptCount val="1"/>
                <c:pt idx="0">
                  <c:v>ТЦ "галерея"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ОБЩЕЕ!$F$51:$F$59</c:f>
              <c:strCache>
                <c:ptCount val="9"/>
                <c:pt idx="0">
                  <c:v>июнь</c:v>
                </c:pt>
                <c:pt idx="1">
                  <c:v>июль</c:v>
                </c:pt>
                <c:pt idx="2">
                  <c:v>август</c:v>
                </c:pt>
                <c:pt idx="3">
                  <c:v>сент</c:v>
                </c:pt>
                <c:pt idx="4">
                  <c:v>октябрь</c:v>
                </c:pt>
                <c:pt idx="5">
                  <c:v>ноябрь</c:v>
                </c:pt>
                <c:pt idx="6">
                  <c:v>декабрь</c:v>
                </c:pt>
                <c:pt idx="7">
                  <c:v>январь</c:v>
                </c:pt>
                <c:pt idx="8">
                  <c:v>февраль</c:v>
                </c:pt>
              </c:strCache>
            </c:strRef>
          </c:cat>
          <c:val>
            <c:numRef>
              <c:f>ОБЩЕЕ!$I$51:$I$59</c:f>
              <c:numCache>
                <c:formatCode>General</c:formatCode>
                <c:ptCount val="9"/>
                <c:pt idx="0">
                  <c:v>1841.27</c:v>
                </c:pt>
                <c:pt idx="1">
                  <c:v>2164.75</c:v>
                </c:pt>
                <c:pt idx="2">
                  <c:v>547.82000000000005</c:v>
                </c:pt>
                <c:pt idx="3">
                  <c:v>1157.48</c:v>
                </c:pt>
                <c:pt idx="4">
                  <c:v>1780.71</c:v>
                </c:pt>
                <c:pt idx="5">
                  <c:v>1458.67</c:v>
                </c:pt>
                <c:pt idx="6">
                  <c:v>2039.02</c:v>
                </c:pt>
                <c:pt idx="7">
                  <c:v>1633.61</c:v>
                </c:pt>
                <c:pt idx="8">
                  <c:v>1564.38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64-4E17-9FFC-589B85A67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0297968"/>
        <c:axId val="850304624"/>
      </c:lineChart>
      <c:catAx>
        <c:axId val="8502979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04624"/>
        <c:crosses val="autoZero"/>
        <c:auto val="1"/>
        <c:lblAlgn val="ctr"/>
        <c:lblOffset val="100"/>
        <c:noMultiLvlLbl val="0"/>
      </c:catAx>
      <c:valAx>
        <c:axId val="8503046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85029796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1581162817524318E-3"/>
          <c:y val="0.50528756495124205"/>
          <c:w val="0.20276480945820355"/>
          <c:h val="0.175146985550572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ОБОРОТ</a:t>
            </a:r>
            <a:r>
              <a:rPr lang="ru-RU" baseline="0"/>
              <a:t> </a:t>
            </a:r>
            <a:r>
              <a:rPr lang="en-US" baseline="0"/>
              <a:t>LUCKY LADY</a:t>
            </a:r>
            <a:r>
              <a:rPr lang="ru-RU" baseline="0"/>
              <a:t> ТЦ "ГАЛЕРЕЯ"</a:t>
            </a:r>
            <a:endParaRPr lang="ru-RU"/>
          </a:p>
        </c:rich>
      </c:tx>
      <c:layout>
        <c:manualLayout>
          <c:xMode val="edge"/>
          <c:yMode val="edge"/>
          <c:x val="0.22292518645203091"/>
          <c:y val="3.66484693777122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1.9111977967648051E-2"/>
          <c:y val="7.5675416193561759E-2"/>
          <c:w val="0.9257644852830057"/>
          <c:h val="0.78777769696969702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ОБЩЕЕ!$D$51:$D$60</c:f>
              <c:strCache>
                <c:ptCount val="10"/>
                <c:pt idx="0">
                  <c:v>33392,17</c:v>
                </c:pt>
                <c:pt idx="1">
                  <c:v>32809,90</c:v>
                </c:pt>
                <c:pt idx="2">
                  <c:v>35259,58</c:v>
                </c:pt>
                <c:pt idx="3">
                  <c:v>34690,22</c:v>
                </c:pt>
                <c:pt idx="4">
                  <c:v>30955,48</c:v>
                </c:pt>
                <c:pt idx="5">
                  <c:v>31239,44</c:v>
                </c:pt>
                <c:pt idx="6">
                  <c:v>28986,99</c:v>
                </c:pt>
                <c:pt idx="7">
                  <c:v>31654,69</c:v>
                </c:pt>
                <c:pt idx="8">
                  <c:v>28891,40</c:v>
                </c:pt>
                <c:pt idx="9">
                  <c:v>28339,37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ОБЩЕЕ!$C$51:$C$60</c:f>
              <c:strCache>
                <c:ptCount val="10"/>
                <c:pt idx="0">
                  <c:v>май</c:v>
                </c:pt>
                <c:pt idx="1">
                  <c:v>июнь</c:v>
                </c:pt>
                <c:pt idx="2">
                  <c:v>июль</c:v>
                </c:pt>
                <c:pt idx="3">
                  <c:v>август</c:v>
                </c:pt>
                <c:pt idx="4">
                  <c:v>сентябрь</c:v>
                </c:pt>
                <c:pt idx="5">
                  <c:v>октябрь</c:v>
                </c:pt>
                <c:pt idx="6">
                  <c:v>ноябрь</c:v>
                </c:pt>
                <c:pt idx="7">
                  <c:v>декабрь</c:v>
                </c:pt>
                <c:pt idx="8">
                  <c:v>январь</c:v>
                </c:pt>
                <c:pt idx="9">
                  <c:v>февраль</c:v>
                </c:pt>
              </c:strCache>
            </c:strRef>
          </c:cat>
          <c:val>
            <c:numRef>
              <c:f>ОБЩЕЕ!$D$51:$D$60</c:f>
              <c:numCache>
                <c:formatCode>0.00</c:formatCode>
                <c:ptCount val="10"/>
                <c:pt idx="0">
                  <c:v>33392.170000000006</c:v>
                </c:pt>
                <c:pt idx="1">
                  <c:v>32809.9</c:v>
                </c:pt>
                <c:pt idx="2">
                  <c:v>35259.58</c:v>
                </c:pt>
                <c:pt idx="3" formatCode="General">
                  <c:v>34690.219999999994</c:v>
                </c:pt>
                <c:pt idx="4" formatCode="General">
                  <c:v>30955.48</c:v>
                </c:pt>
                <c:pt idx="5" formatCode="General">
                  <c:v>31239.439999999995</c:v>
                </c:pt>
                <c:pt idx="6">
                  <c:v>28986.99</c:v>
                </c:pt>
                <c:pt idx="7" formatCode="General">
                  <c:v>31654.69</c:v>
                </c:pt>
                <c:pt idx="8">
                  <c:v>28891.4</c:v>
                </c:pt>
                <c:pt idx="9" formatCode="General">
                  <c:v>28339.37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C6-4E4C-9547-F4F5EC5E1F7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8271423"/>
        <c:axId val="1088270175"/>
      </c:lineChart>
      <c:catAx>
        <c:axId val="10882714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0175"/>
        <c:crosses val="autoZero"/>
        <c:auto val="1"/>
        <c:lblAlgn val="ctr"/>
        <c:lblOffset val="100"/>
        <c:noMultiLvlLbl val="0"/>
      </c:catAx>
      <c:valAx>
        <c:axId val="1088270175"/>
        <c:scaling>
          <c:orientation val="minMax"/>
          <c:min val="200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1423"/>
        <c:crosses val="autoZero"/>
        <c:crossBetween val="between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/>
              </a:rPr>
              <a:t>ОБОРОТ </a:t>
            </a:r>
            <a:r>
              <a:rPr lang="en-US" sz="1800" b="1" i="0" baseline="0">
                <a:effectLst/>
              </a:rPr>
              <a:t>LUCKY LADY</a:t>
            </a:r>
            <a:r>
              <a:rPr lang="ru-RU" sz="1800" b="1" i="0" baseline="0">
                <a:effectLst/>
              </a:rPr>
              <a:t> ТЦ "ВЕСТ"</a:t>
            </a:r>
            <a:endParaRPr lang="ru-RU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75000"/>
                    <a:lumOff val="25000"/>
                  </a:sysClr>
                </a:solidFill>
              </a:defRPr>
            </a:pPr>
            <a:endParaRPr lang="ru-RU"/>
          </a:p>
        </c:rich>
      </c:tx>
      <c:layout>
        <c:manualLayout>
          <c:xMode val="edge"/>
          <c:yMode val="edge"/>
          <c:x val="0.25952339775928751"/>
          <c:y val="7.4170578384076286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677296745449003E-2"/>
          <c:y val="6.6819532592867215E-2"/>
          <c:w val="0.9257644852830057"/>
          <c:h val="0.78777769696969702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ОБЩЕЕ!$K$52:$K$55</c:f>
              <c:strCache>
                <c:ptCount val="4"/>
                <c:pt idx="0">
                  <c:v>ноябрь</c:v>
                </c:pt>
                <c:pt idx="1">
                  <c:v>декабрь</c:v>
                </c:pt>
                <c:pt idx="2">
                  <c:v>январь</c:v>
                </c:pt>
                <c:pt idx="3">
                  <c:v>февраль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ОБЩЕЕ!$K$52:$K$55</c:f>
              <c:strCache>
                <c:ptCount val="4"/>
                <c:pt idx="0">
                  <c:v>ноябрь</c:v>
                </c:pt>
                <c:pt idx="1">
                  <c:v>декабрь</c:v>
                </c:pt>
                <c:pt idx="2">
                  <c:v>январь</c:v>
                </c:pt>
                <c:pt idx="3">
                  <c:v>февраль</c:v>
                </c:pt>
              </c:strCache>
            </c:strRef>
          </c:cat>
          <c:val>
            <c:numRef>
              <c:f>ОБЩЕЕ!$L$52:$L$55</c:f>
              <c:numCache>
                <c:formatCode>#,##0.00</c:formatCode>
                <c:ptCount val="4"/>
                <c:pt idx="0" formatCode="#\ ##0.00_р_.">
                  <c:v>2420.3999999999996</c:v>
                </c:pt>
                <c:pt idx="1">
                  <c:v>7629.6900000000023</c:v>
                </c:pt>
                <c:pt idx="2">
                  <c:v>8423.6400000000012</c:v>
                </c:pt>
                <c:pt idx="3">
                  <c:v>8639.7199999999993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B9-4DEC-A379-22BF1731B29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8271423"/>
        <c:axId val="1088270175"/>
      </c:lineChart>
      <c:catAx>
        <c:axId val="10882714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0175"/>
        <c:crosses val="autoZero"/>
        <c:auto val="1"/>
        <c:lblAlgn val="ctr"/>
        <c:lblOffset val="100"/>
        <c:noMultiLvlLbl val="0"/>
      </c:catAx>
      <c:valAx>
        <c:axId val="1088270175"/>
        <c:scaling>
          <c:orientation val="minMax"/>
          <c:max val="10000"/>
          <c:min val="10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\ ##0.00_р_.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1423"/>
        <c:crosses val="autoZero"/>
        <c:crossBetween val="between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Реализация</a:t>
            </a:r>
            <a:r>
              <a:rPr lang="ru-RU" baseline="0"/>
              <a:t> миланкосметикс</a:t>
            </a:r>
            <a:endParaRPr lang="ru-RU"/>
          </a:p>
        </c:rich>
      </c:tx>
      <c:layout>
        <c:manualLayout>
          <c:xMode val="edge"/>
          <c:yMode val="edge"/>
          <c:x val="0.25013860819487416"/>
          <c:y val="2.08870028113007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197487398199415"/>
          <c:y val="7.2601163503927119E-2"/>
          <c:w val="0.85870539559946835"/>
          <c:h val="0.65060977520758978"/>
        </c:manualLayout>
      </c:layout>
      <c:lineChart>
        <c:grouping val="standard"/>
        <c:varyColors val="0"/>
        <c:ser>
          <c:idx val="1"/>
          <c:order val="0"/>
          <c:tx>
            <c:strRef>
              <c:f>ОБЩЕЕ!$J$50</c:f>
              <c:strCache>
                <c:ptCount val="1"/>
                <c:pt idx="0">
                  <c:v>ТЦ "вест"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0"/>
              <c:layout>
                <c:manualLayout>
                  <c:x val="-7.7552536893153279E-2"/>
                  <c:y val="5.02512562814069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2F7-488E-B2F3-FC674E131526}"/>
                </c:ext>
              </c:extLst>
            </c:dLbl>
            <c:dLbl>
              <c:idx val="1"/>
              <c:layout>
                <c:manualLayout>
                  <c:x val="6.2153447706453915E-3"/>
                  <c:y val="4.1876046901172526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2F7-488E-B2F3-FC674E1315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ОБЩЕЕ!$F$56:$F$59</c:f>
              <c:strCache>
                <c:ptCount val="4"/>
                <c:pt idx="0">
                  <c:v>ноябрь</c:v>
                </c:pt>
                <c:pt idx="1">
                  <c:v>декабрь</c:v>
                </c:pt>
                <c:pt idx="2">
                  <c:v>январь</c:v>
                </c:pt>
                <c:pt idx="3">
                  <c:v>февраль</c:v>
                </c:pt>
              </c:strCache>
            </c:strRef>
          </c:cat>
          <c:val>
            <c:numRef>
              <c:f>ОБЩЕЕ!$J$56:$J$59</c:f>
              <c:numCache>
                <c:formatCode>#,##0.00</c:formatCode>
                <c:ptCount val="4"/>
                <c:pt idx="0" formatCode="#\ ##0.00_р_.">
                  <c:v>199.36</c:v>
                </c:pt>
                <c:pt idx="1">
                  <c:v>703.01</c:v>
                </c:pt>
                <c:pt idx="2" formatCode="General">
                  <c:v>529.24</c:v>
                </c:pt>
                <c:pt idx="3" formatCode="General">
                  <c:v>500.24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F7-488E-B2F3-FC674E13152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50297968"/>
        <c:axId val="850304624"/>
      </c:lineChart>
      <c:catAx>
        <c:axId val="8502979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04624"/>
        <c:crosses val="autoZero"/>
        <c:auto val="1"/>
        <c:lblAlgn val="ctr"/>
        <c:lblOffset val="100"/>
        <c:noMultiLvlLbl val="0"/>
      </c:catAx>
      <c:valAx>
        <c:axId val="8503046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\ ##0.00_р_.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29796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"/>
          <c:y val="0.40582988080041388"/>
          <c:w val="0.20485579548058036"/>
          <c:h val="0.255150483803014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Реализация</a:t>
            </a:r>
            <a:r>
              <a:rPr lang="ru-RU" baseline="0"/>
              <a:t> миланкосметикс</a:t>
            </a:r>
            <a:endParaRPr lang="ru-RU"/>
          </a:p>
        </c:rich>
      </c:tx>
      <c:layout>
        <c:manualLayout>
          <c:xMode val="edge"/>
          <c:yMode val="edge"/>
          <c:x val="0.25013860819487416"/>
          <c:y val="2.08870028113007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197487398199415"/>
          <c:y val="7.2601163503927119E-2"/>
          <c:w val="0.85870539559946835"/>
          <c:h val="0.65060977520758978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ОБЩЕЕ!$H$50</c:f>
              <c:strCache>
                <c:ptCount val="1"/>
                <c:pt idx="0">
                  <c:v>жтк</c:v>
                </c:pt>
              </c:strCache>
            </c:strRef>
          </c:tx>
          <c:spPr>
            <a:ln w="22225" cap="rnd">
              <a:solidFill>
                <a:schemeClr val="tx2">
                  <a:lumMod val="60000"/>
                  <a:lumOff val="40000"/>
                </a:schemeClr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ОБЩЕЕ!$F$51:$F$59</c:f>
              <c:strCache>
                <c:ptCount val="9"/>
                <c:pt idx="0">
                  <c:v>июнь</c:v>
                </c:pt>
                <c:pt idx="1">
                  <c:v>июль</c:v>
                </c:pt>
                <c:pt idx="2">
                  <c:v>август</c:v>
                </c:pt>
                <c:pt idx="3">
                  <c:v>сент</c:v>
                </c:pt>
                <c:pt idx="4">
                  <c:v>октябрь</c:v>
                </c:pt>
                <c:pt idx="5">
                  <c:v>ноябрь</c:v>
                </c:pt>
                <c:pt idx="6">
                  <c:v>декабрь</c:v>
                </c:pt>
                <c:pt idx="7">
                  <c:v>январь</c:v>
                </c:pt>
                <c:pt idx="8">
                  <c:v>февраль</c:v>
                </c:pt>
              </c:strCache>
            </c:strRef>
          </c:cat>
          <c:val>
            <c:numRef>
              <c:f>ОБЩЕЕ!$H$51:$H$59</c:f>
              <c:numCache>
                <c:formatCode>General</c:formatCode>
                <c:ptCount val="9"/>
                <c:pt idx="0">
                  <c:v>660.88</c:v>
                </c:pt>
                <c:pt idx="1">
                  <c:v>965.66</c:v>
                </c:pt>
                <c:pt idx="2">
                  <c:v>632.44000000000005</c:v>
                </c:pt>
                <c:pt idx="3">
                  <c:v>868.92</c:v>
                </c:pt>
                <c:pt idx="4">
                  <c:v>1147.08</c:v>
                </c:pt>
                <c:pt idx="5">
                  <c:v>1035.6500000000001</c:v>
                </c:pt>
                <c:pt idx="6">
                  <c:v>918.57</c:v>
                </c:pt>
                <c:pt idx="7">
                  <c:v>899.78</c:v>
                </c:pt>
                <c:pt idx="8">
                  <c:v>815.26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09-41B8-A79D-DEE4B82AD892}"/>
            </c:ext>
          </c:extLst>
        </c:ser>
        <c:ser>
          <c:idx val="1"/>
          <c:order val="1"/>
          <c:tx>
            <c:strRef>
              <c:f>ОБЩЕЕ!$I$50</c:f>
              <c:strCache>
                <c:ptCount val="1"/>
                <c:pt idx="0">
                  <c:v>ТЦ "галерея"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ОБЩЕЕ!$F$51:$F$59</c:f>
              <c:strCache>
                <c:ptCount val="9"/>
                <c:pt idx="0">
                  <c:v>июнь</c:v>
                </c:pt>
                <c:pt idx="1">
                  <c:v>июль</c:v>
                </c:pt>
                <c:pt idx="2">
                  <c:v>август</c:v>
                </c:pt>
                <c:pt idx="3">
                  <c:v>сент</c:v>
                </c:pt>
                <c:pt idx="4">
                  <c:v>октябрь</c:v>
                </c:pt>
                <c:pt idx="5">
                  <c:v>ноябрь</c:v>
                </c:pt>
                <c:pt idx="6">
                  <c:v>декабрь</c:v>
                </c:pt>
                <c:pt idx="7">
                  <c:v>январь</c:v>
                </c:pt>
                <c:pt idx="8">
                  <c:v>февраль</c:v>
                </c:pt>
              </c:strCache>
            </c:strRef>
          </c:cat>
          <c:val>
            <c:numRef>
              <c:f>ОБЩЕЕ!$I$51:$I$59</c:f>
              <c:numCache>
                <c:formatCode>General</c:formatCode>
                <c:ptCount val="9"/>
                <c:pt idx="0">
                  <c:v>1841.27</c:v>
                </c:pt>
                <c:pt idx="1">
                  <c:v>2164.75</c:v>
                </c:pt>
                <c:pt idx="2">
                  <c:v>547.82000000000005</c:v>
                </c:pt>
                <c:pt idx="3">
                  <c:v>1157.48</c:v>
                </c:pt>
                <c:pt idx="4">
                  <c:v>1780.71</c:v>
                </c:pt>
                <c:pt idx="5">
                  <c:v>1458.67</c:v>
                </c:pt>
                <c:pt idx="6">
                  <c:v>2039.02</c:v>
                </c:pt>
                <c:pt idx="7">
                  <c:v>1633.61</c:v>
                </c:pt>
                <c:pt idx="8">
                  <c:v>1564.38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09-41B8-A79D-DEE4B82AD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0297968"/>
        <c:axId val="850304624"/>
      </c:lineChart>
      <c:catAx>
        <c:axId val="8502979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04624"/>
        <c:crosses val="autoZero"/>
        <c:auto val="1"/>
        <c:lblAlgn val="ctr"/>
        <c:lblOffset val="100"/>
        <c:noMultiLvlLbl val="0"/>
      </c:catAx>
      <c:valAx>
        <c:axId val="8503046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85029796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1581162817524318E-3"/>
          <c:y val="0.50528756495124205"/>
          <c:w val="0.20276480945820355"/>
          <c:h val="0.175146985550572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ОБОРОТ</a:t>
            </a:r>
            <a:r>
              <a:rPr lang="ru-RU" baseline="0"/>
              <a:t> </a:t>
            </a:r>
            <a:r>
              <a:rPr lang="en-US" baseline="0"/>
              <a:t>LUCKY LADY</a:t>
            </a:r>
            <a:r>
              <a:rPr lang="ru-RU" baseline="0"/>
              <a:t> ТЦ "ГАЛЕРЕЯ"</a:t>
            </a:r>
            <a:endParaRPr lang="ru-RU"/>
          </a:p>
        </c:rich>
      </c:tx>
      <c:layout>
        <c:manualLayout>
          <c:xMode val="edge"/>
          <c:yMode val="edge"/>
          <c:x val="0.22292518645203091"/>
          <c:y val="3.66484693777122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1.9111977967648051E-2"/>
          <c:y val="7.5675416193561759E-2"/>
          <c:w val="0.9257644852830057"/>
          <c:h val="0.83854335192987328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ОБЩЕЕ!$D$51:$D$61</c:f>
              <c:strCache>
                <c:ptCount val="11"/>
                <c:pt idx="0">
                  <c:v>33392,17</c:v>
                </c:pt>
                <c:pt idx="1">
                  <c:v>32809,90</c:v>
                </c:pt>
                <c:pt idx="2">
                  <c:v>35259,58</c:v>
                </c:pt>
                <c:pt idx="3">
                  <c:v>34690,22</c:v>
                </c:pt>
                <c:pt idx="4">
                  <c:v>30955,48</c:v>
                </c:pt>
                <c:pt idx="5">
                  <c:v>31239,44</c:v>
                </c:pt>
                <c:pt idx="6">
                  <c:v>28986,99</c:v>
                </c:pt>
                <c:pt idx="7">
                  <c:v>31654,69</c:v>
                </c:pt>
                <c:pt idx="8">
                  <c:v>28891,40</c:v>
                </c:pt>
                <c:pt idx="9">
                  <c:v>28339,37</c:v>
                </c:pt>
                <c:pt idx="10">
                  <c:v>22742,85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ОБЩЕЕ!$C$51:$C$61</c:f>
              <c:strCache>
                <c:ptCount val="11"/>
                <c:pt idx="0">
                  <c:v>май</c:v>
                </c:pt>
                <c:pt idx="1">
                  <c:v>июнь</c:v>
                </c:pt>
                <c:pt idx="2">
                  <c:v>июль</c:v>
                </c:pt>
                <c:pt idx="3">
                  <c:v>август</c:v>
                </c:pt>
                <c:pt idx="4">
                  <c:v>сентябрь</c:v>
                </c:pt>
                <c:pt idx="5">
                  <c:v>октябрь</c:v>
                </c:pt>
                <c:pt idx="6">
                  <c:v>ноябрь</c:v>
                </c:pt>
                <c:pt idx="7">
                  <c:v>декабрь</c:v>
                </c:pt>
                <c:pt idx="8">
                  <c:v>январь</c:v>
                </c:pt>
                <c:pt idx="9">
                  <c:v>февраль</c:v>
                </c:pt>
                <c:pt idx="10">
                  <c:v>март</c:v>
                </c:pt>
              </c:strCache>
            </c:strRef>
          </c:cat>
          <c:val>
            <c:numRef>
              <c:f>ОБЩЕЕ!$D$51:$D$61</c:f>
              <c:numCache>
                <c:formatCode>0.00</c:formatCode>
                <c:ptCount val="11"/>
                <c:pt idx="0">
                  <c:v>33392.170000000006</c:v>
                </c:pt>
                <c:pt idx="1">
                  <c:v>32809.9</c:v>
                </c:pt>
                <c:pt idx="2">
                  <c:v>35259.58</c:v>
                </c:pt>
                <c:pt idx="3" formatCode="General">
                  <c:v>34690.219999999994</c:v>
                </c:pt>
                <c:pt idx="4" formatCode="General">
                  <c:v>30955.48</c:v>
                </c:pt>
                <c:pt idx="5" formatCode="General">
                  <c:v>31239.439999999995</c:v>
                </c:pt>
                <c:pt idx="6">
                  <c:v>28986.99</c:v>
                </c:pt>
                <c:pt idx="7" formatCode="General">
                  <c:v>31654.69</c:v>
                </c:pt>
                <c:pt idx="8">
                  <c:v>28891.4</c:v>
                </c:pt>
                <c:pt idx="9" formatCode="General">
                  <c:v>28339.37</c:v>
                </c:pt>
                <c:pt idx="10">
                  <c:v>22742.850000000002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51-4E9C-883E-927D261CE5C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8271423"/>
        <c:axId val="1088270175"/>
      </c:lineChart>
      <c:catAx>
        <c:axId val="10882714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0175"/>
        <c:crosses val="autoZero"/>
        <c:auto val="1"/>
        <c:lblAlgn val="ctr"/>
        <c:lblOffset val="100"/>
        <c:noMultiLvlLbl val="0"/>
      </c:catAx>
      <c:valAx>
        <c:axId val="1088270175"/>
        <c:scaling>
          <c:orientation val="minMax"/>
          <c:min val="20000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crossAx val="1088271423"/>
        <c:crosses val="autoZero"/>
        <c:crossBetween val="between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/>
              </a:rPr>
              <a:t>ОБОРОТ </a:t>
            </a:r>
            <a:r>
              <a:rPr lang="en-US" sz="1800" b="1" i="0" baseline="0">
                <a:effectLst/>
              </a:rPr>
              <a:t>LUCKY LADY</a:t>
            </a:r>
            <a:r>
              <a:rPr lang="ru-RU" sz="1800" b="1" i="0" baseline="0">
                <a:effectLst/>
              </a:rPr>
              <a:t> ТЦ "ВЕСТ"</a:t>
            </a:r>
            <a:endParaRPr lang="ru-RU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75000"/>
                    <a:lumOff val="25000"/>
                  </a:sysClr>
                </a:solidFill>
              </a:defRPr>
            </a:pPr>
            <a:endParaRPr lang="ru-RU"/>
          </a:p>
        </c:rich>
      </c:tx>
      <c:layout>
        <c:manualLayout>
          <c:xMode val="edge"/>
          <c:yMode val="edge"/>
          <c:x val="0.25952339775928751"/>
          <c:y val="7.4170578384076286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677296745449003E-2"/>
          <c:y val="6.6819532592867215E-2"/>
          <c:w val="0.9257644852830057"/>
          <c:h val="0.78777769696969702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ОБЩЕЕ!$K$52:$K$56</c:f>
              <c:strCache>
                <c:ptCount val="5"/>
                <c:pt idx="0">
                  <c:v>ноябрь</c:v>
                </c:pt>
                <c:pt idx="1">
                  <c:v>декабрь</c:v>
                </c:pt>
                <c:pt idx="2">
                  <c:v>январь</c:v>
                </c:pt>
                <c:pt idx="3">
                  <c:v>февраль</c:v>
                </c:pt>
                <c:pt idx="4">
                  <c:v>март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ОБЩЕЕ!$K$52:$K$56</c:f>
              <c:strCache>
                <c:ptCount val="5"/>
                <c:pt idx="0">
                  <c:v>ноябрь</c:v>
                </c:pt>
                <c:pt idx="1">
                  <c:v>декабрь</c:v>
                </c:pt>
                <c:pt idx="2">
                  <c:v>январь</c:v>
                </c:pt>
                <c:pt idx="3">
                  <c:v>февраль</c:v>
                </c:pt>
                <c:pt idx="4">
                  <c:v>март</c:v>
                </c:pt>
              </c:strCache>
            </c:strRef>
          </c:cat>
          <c:val>
            <c:numRef>
              <c:f>ОБЩЕЕ!$L$52:$L$56</c:f>
              <c:numCache>
                <c:formatCode>#,##0.00</c:formatCode>
                <c:ptCount val="5"/>
                <c:pt idx="0" formatCode="#\ ##0.00_р_.">
                  <c:v>2420.3999999999996</c:v>
                </c:pt>
                <c:pt idx="1">
                  <c:v>7629.6900000000023</c:v>
                </c:pt>
                <c:pt idx="2">
                  <c:v>8423.6400000000012</c:v>
                </c:pt>
                <c:pt idx="3">
                  <c:v>8639.7199999999993</c:v>
                </c:pt>
                <c:pt idx="4">
                  <c:v>9915.6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5F-4C75-967A-D0175D232E5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8271423"/>
        <c:axId val="1088270175"/>
      </c:lineChart>
      <c:catAx>
        <c:axId val="10882714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0175"/>
        <c:crosses val="autoZero"/>
        <c:auto val="1"/>
        <c:lblAlgn val="ctr"/>
        <c:lblOffset val="100"/>
        <c:noMultiLvlLbl val="0"/>
      </c:catAx>
      <c:valAx>
        <c:axId val="1088270175"/>
        <c:scaling>
          <c:orientation val="minMax"/>
          <c:max val="10000"/>
          <c:min val="10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\ ##0.00_р_.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1423"/>
        <c:crosses val="autoZero"/>
        <c:crossBetween val="between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Реализация</a:t>
            </a:r>
            <a:r>
              <a:rPr lang="ru-RU" baseline="0"/>
              <a:t> миланкосметикс</a:t>
            </a:r>
            <a:endParaRPr lang="ru-RU"/>
          </a:p>
        </c:rich>
      </c:tx>
      <c:layout>
        <c:manualLayout>
          <c:xMode val="edge"/>
          <c:yMode val="edge"/>
          <c:x val="0.25013860819487416"/>
          <c:y val="2.08870028113007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197487398199415"/>
          <c:y val="7.2601163503927119E-2"/>
          <c:w val="0.85870539559946835"/>
          <c:h val="0.65060977520758978"/>
        </c:manualLayout>
      </c:layout>
      <c:lineChart>
        <c:grouping val="standard"/>
        <c:varyColors val="0"/>
        <c:ser>
          <c:idx val="1"/>
          <c:order val="0"/>
          <c:tx>
            <c:strRef>
              <c:f>ОБЩЕЕ!$J$50</c:f>
              <c:strCache>
                <c:ptCount val="1"/>
                <c:pt idx="0">
                  <c:v>ТЦ "вест"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0"/>
              <c:layout>
                <c:manualLayout>
                  <c:x val="-7.7552536893153279E-2"/>
                  <c:y val="5.02512562814069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3D1-46CB-BCC8-DB89C7908558}"/>
                </c:ext>
              </c:extLst>
            </c:dLbl>
            <c:dLbl>
              <c:idx val="1"/>
              <c:layout>
                <c:manualLayout>
                  <c:x val="6.2153447706453915E-3"/>
                  <c:y val="4.1876046901172526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3D1-46CB-BCC8-DB89C79085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ОБЩЕЕ!$F$56:$F$59</c:f>
              <c:strCache>
                <c:ptCount val="4"/>
                <c:pt idx="0">
                  <c:v>ноябрь</c:v>
                </c:pt>
                <c:pt idx="1">
                  <c:v>декабрь</c:v>
                </c:pt>
                <c:pt idx="2">
                  <c:v>январь</c:v>
                </c:pt>
                <c:pt idx="3">
                  <c:v>февраль</c:v>
                </c:pt>
              </c:strCache>
            </c:strRef>
          </c:cat>
          <c:val>
            <c:numRef>
              <c:f>ОБЩЕЕ!$J$56:$J$59</c:f>
              <c:numCache>
                <c:formatCode>#,##0.00</c:formatCode>
                <c:ptCount val="4"/>
                <c:pt idx="0" formatCode="#\ ##0.00_р_.">
                  <c:v>199.36</c:v>
                </c:pt>
                <c:pt idx="1">
                  <c:v>703.01</c:v>
                </c:pt>
                <c:pt idx="2" formatCode="General">
                  <c:v>529.24</c:v>
                </c:pt>
                <c:pt idx="3" formatCode="General">
                  <c:v>500.24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D1-46CB-BCC8-DB89C790855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50297968"/>
        <c:axId val="850304624"/>
      </c:lineChart>
      <c:catAx>
        <c:axId val="8502979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04624"/>
        <c:crosses val="autoZero"/>
        <c:auto val="1"/>
        <c:lblAlgn val="ctr"/>
        <c:lblOffset val="100"/>
        <c:noMultiLvlLbl val="0"/>
      </c:catAx>
      <c:valAx>
        <c:axId val="8503046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\ ##0.00_р_.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29796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"/>
          <c:y val="0.40582988080041388"/>
          <c:w val="0.20485579548058036"/>
          <c:h val="0.255150483803014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4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4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128</xdr:row>
      <xdr:rowOff>44824</xdr:rowOff>
    </xdr:from>
    <xdr:to>
      <xdr:col>7</xdr:col>
      <xdr:colOff>0</xdr:colOff>
      <xdr:row>144</xdr:row>
      <xdr:rowOff>156882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49E6FC3-A97E-4342-8E64-4C52CE5EC2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33619</xdr:colOff>
      <xdr:row>166</xdr:row>
      <xdr:rowOff>26852</xdr:rowOff>
    </xdr:from>
    <xdr:to>
      <xdr:col>6</xdr:col>
      <xdr:colOff>742950</xdr:colOff>
      <xdr:row>187</xdr:row>
      <xdr:rowOff>151352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57149</xdr:colOff>
      <xdr:row>151</xdr:row>
      <xdr:rowOff>171450</xdr:rowOff>
    </xdr:from>
    <xdr:to>
      <xdr:col>12</xdr:col>
      <xdr:colOff>876300</xdr:colOff>
      <xdr:row>165</xdr:row>
      <xdr:rowOff>156881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7</xdr:col>
      <xdr:colOff>554316</xdr:colOff>
      <xdr:row>148</xdr:row>
      <xdr:rowOff>72202</xdr:rowOff>
    </xdr:from>
    <xdr:ext cx="552450" cy="217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8B9896E-0CC5-4F50-8A3C-19F0E359671F}"/>
            </a:ext>
          </a:extLst>
        </xdr:cNvPr>
        <xdr:cNvSpPr txBox="1"/>
      </xdr:nvSpPr>
      <xdr:spPr>
        <a:xfrm>
          <a:off x="6802716" y="272227"/>
          <a:ext cx="55245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800"/>
            <a:t>магазин </a:t>
          </a:r>
        </a:p>
      </xdr:txBody>
    </xdr:sp>
    <xdr:clientData/>
  </xdr:oneCellAnchor>
  <xdr:oneCellAnchor>
    <xdr:from>
      <xdr:col>8</xdr:col>
      <xdr:colOff>167990</xdr:colOff>
      <xdr:row>147</xdr:row>
      <xdr:rowOff>142232</xdr:rowOff>
    </xdr:from>
    <xdr:ext cx="623318" cy="32714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2418F51-444B-415D-AA7C-ADBC0BA2BC58}"/>
            </a:ext>
          </a:extLst>
        </xdr:cNvPr>
        <xdr:cNvSpPr txBox="1"/>
      </xdr:nvSpPr>
      <xdr:spPr>
        <a:xfrm>
          <a:off x="7054565" y="142232"/>
          <a:ext cx="623318" cy="327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800"/>
            <a:t>наименов</a:t>
          </a:r>
        </a:p>
        <a:p>
          <a:endParaRPr lang="ru-RU" sz="7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</xdr:colOff>
      <xdr:row>4</xdr:row>
      <xdr:rowOff>171450</xdr:rowOff>
    </xdr:from>
    <xdr:to>
      <xdr:col>12</xdr:col>
      <xdr:colOff>914401</xdr:colOff>
      <xdr:row>18</xdr:row>
      <xdr:rowOff>156881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8E06E25-9B43-42AE-B4AA-05C356CD7D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763865</xdr:colOff>
      <xdr:row>1</xdr:row>
      <xdr:rowOff>62677</xdr:rowOff>
    </xdr:from>
    <xdr:ext cx="807759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7EB0EE2-A8E0-42AC-B890-30409316F471}"/>
            </a:ext>
          </a:extLst>
        </xdr:cNvPr>
        <xdr:cNvSpPr txBox="1"/>
      </xdr:nvSpPr>
      <xdr:spPr>
        <a:xfrm>
          <a:off x="6221690" y="262702"/>
          <a:ext cx="8077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магазин</a:t>
          </a:r>
          <a:r>
            <a:rPr lang="ru-RU" sz="800"/>
            <a:t> </a:t>
          </a:r>
        </a:p>
      </xdr:txBody>
    </xdr:sp>
    <xdr:clientData/>
  </xdr:oneCellAnchor>
  <xdr:oneCellAnchor>
    <xdr:from>
      <xdr:col>7</xdr:col>
      <xdr:colOff>634715</xdr:colOff>
      <xdr:row>0</xdr:row>
      <xdr:rowOff>151758</xdr:rowOff>
    </xdr:from>
    <xdr:ext cx="917860" cy="43678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817BBBA-37F0-45B7-ABA9-72F09640CF7E}"/>
            </a:ext>
          </a:extLst>
        </xdr:cNvPr>
        <xdr:cNvSpPr txBox="1"/>
      </xdr:nvSpPr>
      <xdr:spPr>
        <a:xfrm>
          <a:off x="6883115" y="151758"/>
          <a:ext cx="9178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наименов</a:t>
          </a:r>
        </a:p>
        <a:p>
          <a:endParaRPr lang="ru-RU" sz="1100"/>
        </a:p>
      </xdr:txBody>
    </xdr:sp>
    <xdr:clientData/>
  </xdr:oneCellAnchor>
  <xdr:twoCellAnchor>
    <xdr:from>
      <xdr:col>0</xdr:col>
      <xdr:colOff>13606</xdr:colOff>
      <xdr:row>19</xdr:row>
      <xdr:rowOff>38100</xdr:rowOff>
    </xdr:from>
    <xdr:to>
      <xdr:col>6</xdr:col>
      <xdr:colOff>769619</xdr:colOff>
      <xdr:row>40</xdr:row>
      <xdr:rowOff>163285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EE0DD6F7-D0B5-4CA6-8B5C-AAF2D7420C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63</xdr:row>
      <xdr:rowOff>34066</xdr:rowOff>
    </xdr:from>
    <xdr:to>
      <xdr:col>6</xdr:col>
      <xdr:colOff>896023</xdr:colOff>
      <xdr:row>84</xdr:row>
      <xdr:rowOff>190135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D671F973-2DA7-4F8E-96E3-8AE3799511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22860</xdr:colOff>
      <xdr:row>46</xdr:row>
      <xdr:rowOff>175260</xdr:rowOff>
    </xdr:from>
    <xdr:to>
      <xdr:col>12</xdr:col>
      <xdr:colOff>929640</xdr:colOff>
      <xdr:row>62</xdr:row>
      <xdr:rowOff>160020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FC3760C8-FB89-4EC0-918F-220287810A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8068</xdr:colOff>
      <xdr:row>5</xdr:row>
      <xdr:rowOff>3362</xdr:rowOff>
    </xdr:from>
    <xdr:to>
      <xdr:col>12</xdr:col>
      <xdr:colOff>891989</xdr:colOff>
      <xdr:row>18</xdr:row>
      <xdr:rowOff>179293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8E06E25-9B43-42AE-B4AA-05C356CD7D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763865</xdr:colOff>
      <xdr:row>1</xdr:row>
      <xdr:rowOff>62677</xdr:rowOff>
    </xdr:from>
    <xdr:ext cx="807759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7EB0EE2-A8E0-42AC-B890-30409316F471}"/>
            </a:ext>
          </a:extLst>
        </xdr:cNvPr>
        <xdr:cNvSpPr txBox="1"/>
      </xdr:nvSpPr>
      <xdr:spPr>
        <a:xfrm>
          <a:off x="6383615" y="262702"/>
          <a:ext cx="8077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магазин</a:t>
          </a:r>
          <a:r>
            <a:rPr lang="ru-RU" sz="800"/>
            <a:t> </a:t>
          </a:r>
        </a:p>
      </xdr:txBody>
    </xdr:sp>
    <xdr:clientData/>
  </xdr:oneCellAnchor>
  <xdr:oneCellAnchor>
    <xdr:from>
      <xdr:col>7</xdr:col>
      <xdr:colOff>634715</xdr:colOff>
      <xdr:row>0</xdr:row>
      <xdr:rowOff>151758</xdr:rowOff>
    </xdr:from>
    <xdr:ext cx="917860" cy="4367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817BBBA-37F0-45B7-ABA9-72F09640CF7E}"/>
            </a:ext>
          </a:extLst>
        </xdr:cNvPr>
        <xdr:cNvSpPr txBox="1"/>
      </xdr:nvSpPr>
      <xdr:spPr>
        <a:xfrm>
          <a:off x="7092665" y="151758"/>
          <a:ext cx="9178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наименов</a:t>
          </a:r>
        </a:p>
        <a:p>
          <a:endParaRPr lang="ru-RU" sz="1100"/>
        </a:p>
      </xdr:txBody>
    </xdr:sp>
    <xdr:clientData/>
  </xdr:oneCellAnchor>
  <xdr:twoCellAnchor>
    <xdr:from>
      <xdr:col>0</xdr:col>
      <xdr:colOff>47224</xdr:colOff>
      <xdr:row>19</xdr:row>
      <xdr:rowOff>38100</xdr:rowOff>
    </xdr:from>
    <xdr:to>
      <xdr:col>6</xdr:col>
      <xdr:colOff>803237</xdr:colOff>
      <xdr:row>42</xdr:row>
      <xdr:rowOff>163285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EE0DD6F7-D0B5-4CA6-8B5C-AAF2D7420C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22860</xdr:colOff>
      <xdr:row>65</xdr:row>
      <xdr:rowOff>22860</xdr:rowOff>
    </xdr:from>
    <xdr:to>
      <xdr:col>6</xdr:col>
      <xdr:colOff>806824</xdr:colOff>
      <xdr:row>86</xdr:row>
      <xdr:rowOff>178929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D671F973-2DA7-4F8E-96E3-8AE3799511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448</xdr:colOff>
      <xdr:row>48</xdr:row>
      <xdr:rowOff>186465</xdr:rowOff>
    </xdr:from>
    <xdr:to>
      <xdr:col>12</xdr:col>
      <xdr:colOff>897703</xdr:colOff>
      <xdr:row>64</xdr:row>
      <xdr:rowOff>171225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FC3760C8-FB89-4EC0-918F-220287810A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33618</xdr:colOff>
      <xdr:row>7</xdr:row>
      <xdr:rowOff>3362</xdr:rowOff>
    </xdr:from>
    <xdr:to>
      <xdr:col>12</xdr:col>
      <xdr:colOff>891989</xdr:colOff>
      <xdr:row>20</xdr:row>
      <xdr:rowOff>179293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8E06E25-9B43-42AE-B4AA-05C356CD7D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954365</xdr:colOff>
      <xdr:row>3</xdr:row>
      <xdr:rowOff>51471</xdr:rowOff>
    </xdr:from>
    <xdr:ext cx="807759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7EB0EE2-A8E0-42AC-B890-30409316F471}"/>
            </a:ext>
          </a:extLst>
        </xdr:cNvPr>
        <xdr:cNvSpPr txBox="1"/>
      </xdr:nvSpPr>
      <xdr:spPr>
        <a:xfrm>
          <a:off x="6658159" y="253177"/>
          <a:ext cx="8077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магазин</a:t>
          </a:r>
          <a:r>
            <a:rPr lang="ru-RU" sz="800"/>
            <a:t> </a:t>
          </a:r>
        </a:p>
      </xdr:txBody>
    </xdr:sp>
    <xdr:clientData/>
  </xdr:oneCellAnchor>
  <xdr:oneCellAnchor>
    <xdr:from>
      <xdr:col>7</xdr:col>
      <xdr:colOff>634715</xdr:colOff>
      <xdr:row>2</xdr:row>
      <xdr:rowOff>151758</xdr:rowOff>
    </xdr:from>
    <xdr:ext cx="917860" cy="4367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817BBBA-37F0-45B7-ABA9-72F09640CF7E}"/>
            </a:ext>
          </a:extLst>
        </xdr:cNvPr>
        <xdr:cNvSpPr txBox="1"/>
      </xdr:nvSpPr>
      <xdr:spPr>
        <a:xfrm>
          <a:off x="7187915" y="151758"/>
          <a:ext cx="9178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наименов</a:t>
          </a:r>
        </a:p>
        <a:p>
          <a:endParaRPr lang="ru-RU" sz="1100"/>
        </a:p>
      </xdr:txBody>
    </xdr:sp>
    <xdr:clientData/>
  </xdr:oneCellAnchor>
  <xdr:twoCellAnchor>
    <xdr:from>
      <xdr:col>0</xdr:col>
      <xdr:colOff>47224</xdr:colOff>
      <xdr:row>21</xdr:row>
      <xdr:rowOff>38100</xdr:rowOff>
    </xdr:from>
    <xdr:to>
      <xdr:col>6</xdr:col>
      <xdr:colOff>930088</xdr:colOff>
      <xdr:row>45</xdr:row>
      <xdr:rowOff>163285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EE0DD6F7-D0B5-4CA6-8B5C-AAF2D7420C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22859</xdr:colOff>
      <xdr:row>68</xdr:row>
      <xdr:rowOff>22860</xdr:rowOff>
    </xdr:from>
    <xdr:to>
      <xdr:col>6</xdr:col>
      <xdr:colOff>1008530</xdr:colOff>
      <xdr:row>89</xdr:row>
      <xdr:rowOff>178929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D671F973-2DA7-4F8E-96E3-8AE3799511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33618</xdr:colOff>
      <xdr:row>51</xdr:row>
      <xdr:rowOff>186465</xdr:rowOff>
    </xdr:from>
    <xdr:to>
      <xdr:col>12</xdr:col>
      <xdr:colOff>896470</xdr:colOff>
      <xdr:row>67</xdr:row>
      <xdr:rowOff>171225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FC3760C8-FB89-4EC0-918F-220287810A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33618</xdr:colOff>
      <xdr:row>7</xdr:row>
      <xdr:rowOff>3362</xdr:rowOff>
    </xdr:from>
    <xdr:to>
      <xdr:col>12</xdr:col>
      <xdr:colOff>891989</xdr:colOff>
      <xdr:row>20</xdr:row>
      <xdr:rowOff>179293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8E06E25-9B43-42AE-B4AA-05C356CD7D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954365</xdr:colOff>
      <xdr:row>3</xdr:row>
      <xdr:rowOff>51471</xdr:rowOff>
    </xdr:from>
    <xdr:ext cx="807759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7EB0EE2-A8E0-42AC-B890-30409316F471}"/>
            </a:ext>
          </a:extLst>
        </xdr:cNvPr>
        <xdr:cNvSpPr txBox="1"/>
      </xdr:nvSpPr>
      <xdr:spPr>
        <a:xfrm>
          <a:off x="6669365" y="642021"/>
          <a:ext cx="8077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магазин</a:t>
          </a:r>
          <a:r>
            <a:rPr lang="ru-RU" sz="800"/>
            <a:t> </a:t>
          </a:r>
        </a:p>
      </xdr:txBody>
    </xdr:sp>
    <xdr:clientData/>
  </xdr:oneCellAnchor>
  <xdr:oneCellAnchor>
    <xdr:from>
      <xdr:col>7</xdr:col>
      <xdr:colOff>634715</xdr:colOff>
      <xdr:row>2</xdr:row>
      <xdr:rowOff>151758</xdr:rowOff>
    </xdr:from>
    <xdr:ext cx="917860" cy="4367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817BBBA-37F0-45B7-ABA9-72F09640CF7E}"/>
            </a:ext>
          </a:extLst>
        </xdr:cNvPr>
        <xdr:cNvSpPr txBox="1"/>
      </xdr:nvSpPr>
      <xdr:spPr>
        <a:xfrm>
          <a:off x="7330790" y="542283"/>
          <a:ext cx="9178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наименов</a:t>
          </a:r>
        </a:p>
        <a:p>
          <a:endParaRPr lang="ru-RU" sz="1100"/>
        </a:p>
      </xdr:txBody>
    </xdr:sp>
    <xdr:clientData/>
  </xdr:oneCellAnchor>
  <xdr:twoCellAnchor>
    <xdr:from>
      <xdr:col>0</xdr:col>
      <xdr:colOff>47224</xdr:colOff>
      <xdr:row>21</xdr:row>
      <xdr:rowOff>38100</xdr:rowOff>
    </xdr:from>
    <xdr:to>
      <xdr:col>6</xdr:col>
      <xdr:colOff>930088</xdr:colOff>
      <xdr:row>45</xdr:row>
      <xdr:rowOff>163285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EE0DD6F7-D0B5-4CA6-8B5C-AAF2D7420C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22859</xdr:colOff>
      <xdr:row>68</xdr:row>
      <xdr:rowOff>22860</xdr:rowOff>
    </xdr:from>
    <xdr:to>
      <xdr:col>6</xdr:col>
      <xdr:colOff>1008530</xdr:colOff>
      <xdr:row>89</xdr:row>
      <xdr:rowOff>178929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D671F973-2DA7-4F8E-96E3-8AE3799511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33618</xdr:colOff>
      <xdr:row>51</xdr:row>
      <xdr:rowOff>186465</xdr:rowOff>
    </xdr:from>
    <xdr:to>
      <xdr:col>12</xdr:col>
      <xdr:colOff>896470</xdr:colOff>
      <xdr:row>67</xdr:row>
      <xdr:rowOff>171225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FC3760C8-FB89-4EC0-918F-220287810A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7"/>
  <sheetViews>
    <sheetView topLeftCell="AE1" zoomScaleNormal="100" zoomScaleSheetLayoutView="70" workbookViewId="0">
      <selection activeCell="AV16" sqref="AV16"/>
    </sheetView>
  </sheetViews>
  <sheetFormatPr defaultRowHeight="15" outlineLevelRow="1" x14ac:dyDescent="0.25"/>
  <cols>
    <col min="2" max="2" width="6.28515625" customWidth="1"/>
    <col min="3" max="3" width="12.7109375" customWidth="1"/>
    <col min="5" max="5" width="10.140625" bestFit="1" customWidth="1"/>
    <col min="10" max="10" width="12.5703125" customWidth="1"/>
    <col min="12" max="12" width="9.140625" customWidth="1"/>
    <col min="13" max="13" width="10.42578125" customWidth="1"/>
    <col min="24" max="24" width="12.28515625" customWidth="1"/>
    <col min="42" max="42" width="10.140625" bestFit="1" customWidth="1"/>
    <col min="48" max="48" width="12.28515625" customWidth="1"/>
  </cols>
  <sheetData>
    <row r="1" spans="1:56" ht="26.25" x14ac:dyDescent="0.4">
      <c r="A1" s="108"/>
      <c r="B1" s="109"/>
      <c r="C1" s="109"/>
      <c r="D1" s="660" t="s">
        <v>9</v>
      </c>
      <c r="E1" s="660"/>
      <c r="F1" s="109"/>
      <c r="G1" s="109"/>
      <c r="H1" s="108"/>
      <c r="I1" s="109"/>
      <c r="J1" s="109"/>
      <c r="K1" s="660" t="s">
        <v>18</v>
      </c>
      <c r="L1" s="660"/>
      <c r="M1" s="109"/>
      <c r="N1" s="109"/>
      <c r="O1" s="110"/>
      <c r="P1" s="108"/>
      <c r="Q1" s="109"/>
      <c r="R1" s="109"/>
      <c r="S1" s="109"/>
      <c r="T1" s="660" t="s">
        <v>19</v>
      </c>
      <c r="U1" s="660"/>
      <c r="V1" s="660"/>
      <c r="W1" s="109"/>
      <c r="X1" s="109"/>
      <c r="Y1" s="109"/>
      <c r="Z1" s="109"/>
      <c r="AA1" s="110"/>
      <c r="AB1" s="108"/>
      <c r="AC1" s="109"/>
      <c r="AD1" s="109"/>
      <c r="AE1" s="109"/>
      <c r="AF1" s="109"/>
      <c r="AG1" s="660" t="s">
        <v>20</v>
      </c>
      <c r="AH1" s="660"/>
      <c r="AI1" s="661"/>
      <c r="AJ1" s="108"/>
      <c r="AK1" s="109"/>
      <c r="AL1" s="660" t="s">
        <v>194</v>
      </c>
      <c r="AM1" s="660"/>
      <c r="AN1" s="661"/>
      <c r="AO1" s="109" t="s">
        <v>21</v>
      </c>
      <c r="AP1" s="110"/>
      <c r="AQ1" s="108"/>
      <c r="AR1" s="660" t="s">
        <v>162</v>
      </c>
      <c r="AS1" s="660"/>
      <c r="AT1" s="661"/>
      <c r="AU1" s="109"/>
      <c r="AV1" s="109"/>
      <c r="AW1" s="108"/>
      <c r="AX1" s="109"/>
      <c r="AY1" s="660" t="s">
        <v>283</v>
      </c>
      <c r="AZ1" s="660"/>
      <c r="BA1" s="661"/>
      <c r="BB1" s="109"/>
      <c r="BC1" s="109"/>
      <c r="BD1" s="110"/>
    </row>
    <row r="2" spans="1:56" x14ac:dyDescent="0.25">
      <c r="A2" s="111"/>
      <c r="B2" s="1"/>
      <c r="C2" s="1"/>
      <c r="D2" s="1"/>
      <c r="E2" s="1"/>
      <c r="F2" s="1"/>
      <c r="G2" s="1"/>
      <c r="H2" s="111"/>
      <c r="I2" s="1"/>
      <c r="J2" s="1"/>
      <c r="K2" s="1"/>
      <c r="L2" s="1"/>
      <c r="M2" s="1"/>
      <c r="N2" s="1"/>
      <c r="O2" s="112"/>
      <c r="P2" s="111"/>
      <c r="Q2" s="1"/>
      <c r="R2" s="1"/>
      <c r="S2" s="1"/>
      <c r="T2" s="1"/>
      <c r="U2" s="1"/>
      <c r="V2" s="1"/>
      <c r="W2" s="1"/>
      <c r="X2" s="1"/>
      <c r="Y2" s="1"/>
      <c r="Z2" s="1"/>
      <c r="AA2" s="112"/>
      <c r="AB2" s="111"/>
      <c r="AC2" s="1"/>
      <c r="AD2" s="1"/>
      <c r="AE2" s="1"/>
      <c r="AF2" s="1"/>
      <c r="AG2" s="1"/>
      <c r="AH2" s="1"/>
      <c r="AI2" s="112" t="s">
        <v>21</v>
      </c>
      <c r="AJ2" s="113" t="s">
        <v>10</v>
      </c>
      <c r="AK2" s="14" t="s">
        <v>2</v>
      </c>
      <c r="AL2" s="14" t="s">
        <v>46</v>
      </c>
      <c r="AM2" s="14" t="s">
        <v>1</v>
      </c>
      <c r="AN2" s="14" t="s">
        <v>12</v>
      </c>
      <c r="AO2" s="114"/>
      <c r="AP2" s="404"/>
      <c r="AQ2" s="113" t="s">
        <v>10</v>
      </c>
      <c r="AR2" s="14" t="s">
        <v>2</v>
      </c>
      <c r="AS2" s="14" t="s">
        <v>46</v>
      </c>
      <c r="AT2" s="14" t="s">
        <v>1</v>
      </c>
      <c r="AU2" s="14" t="s">
        <v>12</v>
      </c>
      <c r="AV2" s="114"/>
      <c r="AW2" s="113" t="s">
        <v>10</v>
      </c>
      <c r="AX2" s="14" t="s">
        <v>2</v>
      </c>
      <c r="AY2" s="14" t="s">
        <v>46</v>
      </c>
      <c r="AZ2" s="14" t="s">
        <v>1</v>
      </c>
      <c r="BA2" s="14" t="s">
        <v>12</v>
      </c>
      <c r="BB2" s="14" t="s">
        <v>184</v>
      </c>
      <c r="BC2" s="114" t="s">
        <v>191</v>
      </c>
      <c r="BD2" s="404"/>
    </row>
    <row r="3" spans="1:56" ht="12.6" customHeight="1" x14ac:dyDescent="0.25">
      <c r="A3" s="111"/>
      <c r="B3" s="91" t="s">
        <v>10</v>
      </c>
      <c r="C3" s="91" t="s">
        <v>2</v>
      </c>
      <c r="D3" s="91" t="s">
        <v>0</v>
      </c>
      <c r="E3" s="91" t="s">
        <v>1</v>
      </c>
      <c r="F3" s="91" t="s">
        <v>11</v>
      </c>
      <c r="G3" s="92" t="s">
        <v>12</v>
      </c>
      <c r="H3" s="111"/>
      <c r="I3" s="14" t="s">
        <v>10</v>
      </c>
      <c r="J3" s="14" t="s">
        <v>2</v>
      </c>
      <c r="K3" s="14" t="s">
        <v>0</v>
      </c>
      <c r="L3" s="14" t="s">
        <v>1</v>
      </c>
      <c r="M3" s="14" t="s">
        <v>11</v>
      </c>
      <c r="N3" s="14" t="s">
        <v>12</v>
      </c>
      <c r="O3" s="136"/>
      <c r="P3" s="113" t="s">
        <v>10</v>
      </c>
      <c r="Q3" s="14" t="s">
        <v>2</v>
      </c>
      <c r="R3" s="14" t="s">
        <v>46</v>
      </c>
      <c r="S3" s="14" t="s">
        <v>1</v>
      </c>
      <c r="T3" s="14" t="s">
        <v>11</v>
      </c>
      <c r="U3" s="14" t="s">
        <v>12</v>
      </c>
      <c r="V3" s="114"/>
      <c r="W3" s="10"/>
      <c r="X3" s="1"/>
      <c r="Y3" s="1"/>
      <c r="Z3" s="1"/>
      <c r="AA3" s="112"/>
      <c r="AB3" s="111"/>
      <c r="AC3" s="14" t="s">
        <v>10</v>
      </c>
      <c r="AD3" s="14" t="s">
        <v>2</v>
      </c>
      <c r="AE3" s="14" t="s">
        <v>46</v>
      </c>
      <c r="AF3" s="14" t="s">
        <v>1</v>
      </c>
      <c r="AG3" s="14" t="s">
        <v>11</v>
      </c>
      <c r="AH3" s="14" t="s">
        <v>12</v>
      </c>
      <c r="AI3" s="136">
        <v>70.5</v>
      </c>
      <c r="AJ3" s="115">
        <f t="shared" ref="AJ3:AJ33" si="0">IF(AK3="","",WEEKDAY(AK3,2))</f>
        <v>7</v>
      </c>
      <c r="AK3" s="17">
        <v>43709</v>
      </c>
      <c r="AL3" s="22">
        <v>1121.2</v>
      </c>
      <c r="AM3" s="22"/>
      <c r="AN3" s="232"/>
      <c r="AO3" s="114"/>
      <c r="AP3" s="404"/>
      <c r="AQ3" s="115">
        <f t="shared" ref="AQ3:AQ33" si="1">IF(AR3="","",WEEKDAY(AR3,2))</f>
        <v>2</v>
      </c>
      <c r="AR3" s="17">
        <v>43739</v>
      </c>
      <c r="AS3" s="22">
        <v>925.87</v>
      </c>
      <c r="AT3" s="22"/>
      <c r="AU3" s="232"/>
      <c r="AV3" s="114"/>
      <c r="AW3" s="115">
        <f t="shared" ref="AW3:AW32" si="2">IF(AX3="","",WEEKDAY(AX3,2))</f>
        <v>5</v>
      </c>
      <c r="AX3" s="17">
        <v>43770</v>
      </c>
      <c r="AY3" s="22"/>
      <c r="AZ3" s="22">
        <v>705.1</v>
      </c>
      <c r="BA3" s="232"/>
      <c r="BB3" s="232"/>
      <c r="BC3" s="86"/>
      <c r="BD3" s="404"/>
    </row>
    <row r="4" spans="1:56" ht="12.6" customHeight="1" x14ac:dyDescent="0.25">
      <c r="A4" s="111"/>
      <c r="B4" s="4">
        <f>IF(C4="","",WEEKDAY(C4,2))</f>
        <v>3</v>
      </c>
      <c r="C4" s="3">
        <v>43586</v>
      </c>
      <c r="D4" s="5">
        <v>1033.5</v>
      </c>
      <c r="E4" s="5"/>
      <c r="F4" s="91"/>
      <c r="G4" s="92"/>
      <c r="H4" s="111"/>
      <c r="I4" s="16">
        <f>IF(J4="","",WEEKDAY(J4,2))</f>
        <v>6</v>
      </c>
      <c r="J4" s="17">
        <v>43617</v>
      </c>
      <c r="K4" s="18"/>
      <c r="L4" s="18">
        <v>752.4</v>
      </c>
      <c r="M4" s="14"/>
      <c r="N4" s="14"/>
      <c r="O4" s="136"/>
      <c r="P4" s="115">
        <f>IF(Q4="","",WEEKDAY(Q4,2))</f>
        <v>1</v>
      </c>
      <c r="Q4" s="17">
        <v>43647</v>
      </c>
      <c r="R4" s="18">
        <v>1255.4000000000001</v>
      </c>
      <c r="S4" s="18"/>
      <c r="T4" s="14"/>
      <c r="U4" s="14"/>
      <c r="V4" s="114"/>
      <c r="W4" s="10"/>
      <c r="X4" s="12"/>
      <c r="Y4" s="12"/>
      <c r="Z4" s="1"/>
      <c r="AA4" s="112"/>
      <c r="AB4" s="111"/>
      <c r="AC4" s="16">
        <f t="shared" ref="AC4:AC34" si="3">IF(AD4="","",WEEKDAY(AD4,2))</f>
        <v>4</v>
      </c>
      <c r="AD4" s="17">
        <v>43678</v>
      </c>
      <c r="AE4" s="18">
        <v>706.2</v>
      </c>
      <c r="AF4" s="18"/>
      <c r="AG4" s="14"/>
      <c r="AH4" s="14"/>
      <c r="AI4" s="136">
        <v>5.5</v>
      </c>
      <c r="AJ4" s="115">
        <f t="shared" si="0"/>
        <v>1</v>
      </c>
      <c r="AK4" s="17">
        <v>43710</v>
      </c>
      <c r="AL4" s="22"/>
      <c r="AM4" s="22">
        <v>704.9</v>
      </c>
      <c r="AN4" s="232"/>
      <c r="AO4" s="114"/>
      <c r="AP4" s="404"/>
      <c r="AQ4" s="115">
        <f t="shared" si="1"/>
        <v>3</v>
      </c>
      <c r="AR4" s="17">
        <v>43740</v>
      </c>
      <c r="AS4" s="22">
        <v>1072.46</v>
      </c>
      <c r="AT4" s="22"/>
      <c r="AU4" s="232"/>
      <c r="AV4" s="311"/>
      <c r="AW4" s="115">
        <f t="shared" si="2"/>
        <v>6</v>
      </c>
      <c r="AX4" s="17">
        <v>43771</v>
      </c>
      <c r="AY4" s="22">
        <v>1356.15</v>
      </c>
      <c r="AZ4" s="22"/>
      <c r="BA4" s="232"/>
      <c r="BB4" s="232"/>
      <c r="BC4" s="232"/>
      <c r="BD4" s="629"/>
    </row>
    <row r="5" spans="1:56" ht="12.6" customHeight="1" x14ac:dyDescent="0.25">
      <c r="A5" s="111"/>
      <c r="B5" s="4">
        <f t="shared" ref="B5:B34" si="4">IF(C5="","",WEEKDAY(C5,2))</f>
        <v>4</v>
      </c>
      <c r="C5" s="3">
        <f>IF(C4="","",IF(C4+1&gt;EOMONTH($C$4,0),"",C4+1))</f>
        <v>43587</v>
      </c>
      <c r="D5" s="5">
        <v>813.2</v>
      </c>
      <c r="E5" s="5"/>
      <c r="F5" s="91"/>
      <c r="G5" s="92"/>
      <c r="H5" s="111"/>
      <c r="I5" s="16">
        <f t="shared" ref="I5:I33" si="5">IF(J5="","",WEEKDAY(J5,2))</f>
        <v>7</v>
      </c>
      <c r="J5" s="17">
        <v>43618</v>
      </c>
      <c r="K5" s="18"/>
      <c r="L5" s="18">
        <v>895.4</v>
      </c>
      <c r="M5" s="14"/>
      <c r="N5" s="14"/>
      <c r="O5" s="136"/>
      <c r="P5" s="115">
        <f t="shared" ref="P5:P33" si="6">IF(Q5="","",WEEKDAY(Q5,2))</f>
        <v>2</v>
      </c>
      <c r="Q5" s="17">
        <v>43648</v>
      </c>
      <c r="R5" s="18">
        <v>1169.2</v>
      </c>
      <c r="S5" s="18"/>
      <c r="T5" s="14"/>
      <c r="U5" s="14"/>
      <c r="V5" s="114"/>
      <c r="W5" s="10"/>
      <c r="X5" s="12"/>
      <c r="Y5" s="12"/>
      <c r="Z5" s="1"/>
      <c r="AA5" s="112"/>
      <c r="AB5" s="111"/>
      <c r="AC5" s="16">
        <f t="shared" si="3"/>
        <v>5</v>
      </c>
      <c r="AD5" s="17">
        <v>43679</v>
      </c>
      <c r="AE5" s="18">
        <v>1395.44</v>
      </c>
      <c r="AF5" s="18"/>
      <c r="AG5" s="14"/>
      <c r="AH5" s="14"/>
      <c r="AI5" s="136">
        <v>0</v>
      </c>
      <c r="AJ5" s="115">
        <f t="shared" si="0"/>
        <v>2</v>
      </c>
      <c r="AK5" s="17">
        <v>43711</v>
      </c>
      <c r="AL5" s="22">
        <v>1046.4000000000001</v>
      </c>
      <c r="AM5" s="22"/>
      <c r="AN5" s="232"/>
      <c r="AO5" s="114"/>
      <c r="AP5" s="404"/>
      <c r="AQ5" s="115">
        <f t="shared" si="1"/>
        <v>4</v>
      </c>
      <c r="AR5" s="17">
        <v>43741</v>
      </c>
      <c r="AS5" s="22"/>
      <c r="AT5" s="22">
        <v>644</v>
      </c>
      <c r="AU5" s="232" t="s">
        <v>152</v>
      </c>
      <c r="AV5" s="409" t="s">
        <v>142</v>
      </c>
      <c r="AW5" s="115">
        <f t="shared" si="2"/>
        <v>7</v>
      </c>
      <c r="AX5" s="17">
        <v>43772</v>
      </c>
      <c r="AY5" s="22">
        <f>904+8</f>
        <v>912</v>
      </c>
      <c r="AZ5" s="22"/>
      <c r="BA5" s="232"/>
      <c r="BB5" s="232"/>
      <c r="BC5" s="232"/>
      <c r="BD5" s="404"/>
    </row>
    <row r="6" spans="1:56" ht="12.6" customHeight="1" x14ac:dyDescent="0.25">
      <c r="A6" s="111"/>
      <c r="B6" s="4">
        <f t="shared" si="4"/>
        <v>5</v>
      </c>
      <c r="C6" s="3">
        <f t="shared" ref="C6:C34" si="7">IF(C5="","",IF(C5+1&gt;EOMONTH($C$4,0),"",C5+1))</f>
        <v>43588</v>
      </c>
      <c r="D6" s="5"/>
      <c r="E6" s="5">
        <v>1215</v>
      </c>
      <c r="F6" s="91"/>
      <c r="G6" s="92"/>
      <c r="H6" s="111"/>
      <c r="I6" s="16">
        <f t="shared" si="5"/>
        <v>1</v>
      </c>
      <c r="J6" s="17">
        <v>43619</v>
      </c>
      <c r="K6" s="18"/>
      <c r="L6" s="18"/>
      <c r="M6" s="14">
        <v>1103.43</v>
      </c>
      <c r="N6" s="14"/>
      <c r="O6" s="136"/>
      <c r="P6" s="115">
        <f t="shared" si="6"/>
        <v>3</v>
      </c>
      <c r="Q6" s="17">
        <v>43649</v>
      </c>
      <c r="R6" s="18"/>
      <c r="S6" s="18">
        <v>928.8</v>
      </c>
      <c r="T6" s="14"/>
      <c r="U6" s="14"/>
      <c r="V6" s="114"/>
      <c r="W6" s="10"/>
      <c r="X6" s="12"/>
      <c r="Y6" s="12"/>
      <c r="Z6" s="1"/>
      <c r="AA6" s="112"/>
      <c r="AB6" s="111"/>
      <c r="AC6" s="16">
        <f t="shared" si="3"/>
        <v>6</v>
      </c>
      <c r="AD6" s="17">
        <v>43680</v>
      </c>
      <c r="AE6" s="18"/>
      <c r="AF6" s="18">
        <v>561.70000000000005</v>
      </c>
      <c r="AG6" s="14"/>
      <c r="AH6" s="14"/>
      <c r="AI6" s="136">
        <v>0</v>
      </c>
      <c r="AJ6" s="115">
        <f t="shared" si="0"/>
        <v>3</v>
      </c>
      <c r="AK6" s="17">
        <v>43712</v>
      </c>
      <c r="AL6" s="22">
        <v>704.2</v>
      </c>
      <c r="AM6" s="22"/>
      <c r="AN6" s="232"/>
      <c r="AO6" s="114"/>
      <c r="AP6" s="404"/>
      <c r="AQ6" s="115">
        <f t="shared" si="1"/>
        <v>5</v>
      </c>
      <c r="AR6" s="17">
        <v>43742</v>
      </c>
      <c r="AS6" s="22"/>
      <c r="AT6" s="22"/>
      <c r="AU6" s="232">
        <v>1081.8</v>
      </c>
      <c r="AV6" s="114"/>
      <c r="AW6" s="115">
        <f t="shared" si="2"/>
        <v>1</v>
      </c>
      <c r="AX6" s="17">
        <v>43773</v>
      </c>
      <c r="AY6" s="22"/>
      <c r="AZ6" s="22">
        <v>500.3</v>
      </c>
      <c r="BA6" s="232"/>
      <c r="BB6" s="232"/>
      <c r="BC6" s="86"/>
      <c r="BD6" s="404"/>
    </row>
    <row r="7" spans="1:56" ht="12.6" customHeight="1" x14ac:dyDescent="0.25">
      <c r="A7" s="111"/>
      <c r="B7" s="4">
        <f t="shared" si="4"/>
        <v>6</v>
      </c>
      <c r="C7" s="3">
        <f t="shared" si="7"/>
        <v>43589</v>
      </c>
      <c r="D7" s="5"/>
      <c r="E7" s="5">
        <v>806.9</v>
      </c>
      <c r="F7" s="91"/>
      <c r="G7" s="92"/>
      <c r="H7" s="111"/>
      <c r="I7" s="16">
        <f t="shared" si="5"/>
        <v>2</v>
      </c>
      <c r="J7" s="17">
        <v>43620</v>
      </c>
      <c r="K7" s="18"/>
      <c r="L7" s="18"/>
      <c r="M7" s="14">
        <v>836.05</v>
      </c>
      <c r="N7" s="14"/>
      <c r="O7" s="136"/>
      <c r="P7" s="115">
        <f t="shared" si="6"/>
        <v>4</v>
      </c>
      <c r="Q7" s="17">
        <v>43650</v>
      </c>
      <c r="R7" s="18"/>
      <c r="S7" s="18">
        <v>1046.01</v>
      </c>
      <c r="T7" s="14"/>
      <c r="U7" s="14"/>
      <c r="V7" s="114"/>
      <c r="W7" s="10"/>
      <c r="X7" s="12"/>
      <c r="Y7" s="12"/>
      <c r="Z7" s="1"/>
      <c r="AA7" s="112"/>
      <c r="AB7" s="111"/>
      <c r="AC7" s="16">
        <f t="shared" si="3"/>
        <v>7</v>
      </c>
      <c r="AD7" s="17">
        <v>43681</v>
      </c>
      <c r="AE7" s="18"/>
      <c r="AF7" s="18">
        <v>680.9</v>
      </c>
      <c r="AG7" s="14"/>
      <c r="AH7" s="14"/>
      <c r="AI7" s="136">
        <v>47.2</v>
      </c>
      <c r="AJ7" s="115">
        <f t="shared" si="0"/>
        <v>4</v>
      </c>
      <c r="AK7" s="17">
        <v>43713</v>
      </c>
      <c r="AL7" s="22"/>
      <c r="AM7" s="22">
        <v>517.20000000000005</v>
      </c>
      <c r="AN7" s="232"/>
      <c r="AO7" s="114"/>
      <c r="AP7" s="404"/>
      <c r="AQ7" s="115">
        <f t="shared" si="1"/>
        <v>6</v>
      </c>
      <c r="AR7" s="17">
        <v>43743</v>
      </c>
      <c r="AS7" s="22">
        <v>508.37</v>
      </c>
      <c r="AT7" s="22"/>
      <c r="AU7" s="232"/>
      <c r="AV7" s="114"/>
      <c r="AW7" s="115">
        <f t="shared" si="2"/>
        <v>2</v>
      </c>
      <c r="AX7" s="17">
        <v>43774</v>
      </c>
      <c r="AY7" s="22"/>
      <c r="AZ7" s="22">
        <v>718.6</v>
      </c>
      <c r="BA7" s="232"/>
      <c r="BB7" s="232"/>
      <c r="BC7" s="86"/>
      <c r="BD7" s="404"/>
    </row>
    <row r="8" spans="1:56" ht="12.6" customHeight="1" x14ac:dyDescent="0.25">
      <c r="A8" s="111"/>
      <c r="B8" s="4">
        <f t="shared" si="4"/>
        <v>7</v>
      </c>
      <c r="C8" s="3">
        <f t="shared" si="7"/>
        <v>43590</v>
      </c>
      <c r="D8" s="5">
        <v>1118.1500000000001</v>
      </c>
      <c r="E8" s="5"/>
      <c r="F8" s="91"/>
      <c r="G8" s="92"/>
      <c r="H8" s="111"/>
      <c r="I8" s="16">
        <f t="shared" si="5"/>
        <v>3</v>
      </c>
      <c r="J8" s="17">
        <v>43621</v>
      </c>
      <c r="K8" s="18"/>
      <c r="L8" s="18">
        <v>885.4</v>
      </c>
      <c r="M8" s="14"/>
      <c r="N8" s="14"/>
      <c r="O8" s="136"/>
      <c r="P8" s="115">
        <f t="shared" si="6"/>
        <v>5</v>
      </c>
      <c r="Q8" s="17">
        <v>43651</v>
      </c>
      <c r="R8" s="18">
        <v>1154.25</v>
      </c>
      <c r="S8" s="18"/>
      <c r="T8" s="14"/>
      <c r="U8" s="14"/>
      <c r="V8" s="114"/>
      <c r="W8" s="10"/>
      <c r="X8" s="12"/>
      <c r="Y8" s="12"/>
      <c r="Z8" s="1"/>
      <c r="AA8" s="112"/>
      <c r="AB8" s="111"/>
      <c r="AC8" s="16">
        <f t="shared" si="3"/>
        <v>1</v>
      </c>
      <c r="AD8" s="17">
        <v>43682</v>
      </c>
      <c r="AE8" s="18">
        <v>1154.55</v>
      </c>
      <c r="AF8" s="18"/>
      <c r="AG8" s="14"/>
      <c r="AH8" s="14"/>
      <c r="AI8" s="136">
        <v>209.5</v>
      </c>
      <c r="AJ8" s="115">
        <f t="shared" si="0"/>
        <v>5</v>
      </c>
      <c r="AK8" s="17">
        <v>43714</v>
      </c>
      <c r="AL8" s="22"/>
      <c r="AM8" s="22">
        <v>945.75</v>
      </c>
      <c r="AN8" s="232"/>
      <c r="AO8" s="114"/>
      <c r="AP8" s="404"/>
      <c r="AQ8" s="115">
        <f t="shared" si="1"/>
        <v>7</v>
      </c>
      <c r="AR8" s="17">
        <v>43744</v>
      </c>
      <c r="AS8" s="22"/>
      <c r="AT8" s="22">
        <v>755.5</v>
      </c>
      <c r="AU8" s="232"/>
      <c r="AV8" s="114"/>
      <c r="AW8" s="115">
        <f t="shared" si="2"/>
        <v>3</v>
      </c>
      <c r="AX8" s="17">
        <v>43775</v>
      </c>
      <c r="AY8" s="22">
        <v>641.70000000000005</v>
      </c>
      <c r="AZ8" s="22"/>
      <c r="BA8" s="232"/>
      <c r="BB8" s="232"/>
      <c r="BC8" s="86"/>
      <c r="BD8" s="404"/>
    </row>
    <row r="9" spans="1:56" ht="12.6" customHeight="1" x14ac:dyDescent="0.25">
      <c r="A9" s="111"/>
      <c r="B9" s="4">
        <f t="shared" si="4"/>
        <v>1</v>
      </c>
      <c r="C9" s="3">
        <f t="shared" si="7"/>
        <v>43591</v>
      </c>
      <c r="D9" s="5">
        <v>595.54999999999995</v>
      </c>
      <c r="E9" s="5"/>
      <c r="F9" s="91"/>
      <c r="G9" s="92"/>
      <c r="H9" s="111"/>
      <c r="I9" s="16">
        <f t="shared" si="5"/>
        <v>4</v>
      </c>
      <c r="J9" s="17">
        <v>43622</v>
      </c>
      <c r="K9" s="18"/>
      <c r="L9" s="18">
        <v>877.7</v>
      </c>
      <c r="M9" s="14"/>
      <c r="N9" s="14"/>
      <c r="O9" s="136"/>
      <c r="P9" s="115">
        <f t="shared" si="6"/>
        <v>6</v>
      </c>
      <c r="Q9" s="17">
        <v>43652</v>
      </c>
      <c r="R9" s="18">
        <v>841.8</v>
      </c>
      <c r="S9" s="18"/>
      <c r="T9" s="14"/>
      <c r="U9" s="14"/>
      <c r="V9" s="114"/>
      <c r="W9" s="10"/>
      <c r="X9" s="12"/>
      <c r="Y9" s="12"/>
      <c r="Z9" s="1"/>
      <c r="AA9" s="112"/>
      <c r="AB9" s="111"/>
      <c r="AC9" s="16">
        <f t="shared" si="3"/>
        <v>2</v>
      </c>
      <c r="AD9" s="17">
        <v>43683</v>
      </c>
      <c r="AE9" s="18">
        <v>641.4</v>
      </c>
      <c r="AF9" s="18"/>
      <c r="AG9" s="14"/>
      <c r="AH9" s="14"/>
      <c r="AI9" s="136">
        <v>0</v>
      </c>
      <c r="AJ9" s="115">
        <f t="shared" si="0"/>
        <v>6</v>
      </c>
      <c r="AK9" s="17">
        <v>43715</v>
      </c>
      <c r="AL9" s="22">
        <v>513.85</v>
      </c>
      <c r="AM9" s="22"/>
      <c r="AN9" s="232"/>
      <c r="AO9" s="114"/>
      <c r="AP9" s="404"/>
      <c r="AQ9" s="115">
        <f t="shared" si="1"/>
        <v>1</v>
      </c>
      <c r="AR9" s="17">
        <v>43745</v>
      </c>
      <c r="AS9" s="22">
        <v>706.15</v>
      </c>
      <c r="AT9" s="22"/>
      <c r="AU9" s="232"/>
      <c r="AV9" s="627" t="s">
        <v>147</v>
      </c>
      <c r="AW9" s="115">
        <f t="shared" si="2"/>
        <v>4</v>
      </c>
      <c r="AX9" s="17">
        <v>43776</v>
      </c>
      <c r="AY9" s="22"/>
      <c r="AZ9" s="22">
        <v>1144.5</v>
      </c>
      <c r="BA9" s="232"/>
      <c r="BB9" s="232"/>
      <c r="BC9" s="86"/>
      <c r="BD9" s="630"/>
    </row>
    <row r="10" spans="1:56" ht="12.6" customHeight="1" x14ac:dyDescent="0.25">
      <c r="A10" s="111"/>
      <c r="B10" s="4">
        <f t="shared" si="4"/>
        <v>2</v>
      </c>
      <c r="C10" s="3">
        <f t="shared" si="7"/>
        <v>43592</v>
      </c>
      <c r="D10" s="5"/>
      <c r="E10" s="5">
        <v>705.4</v>
      </c>
      <c r="F10" s="91"/>
      <c r="G10" s="92"/>
      <c r="H10" s="111"/>
      <c r="I10" s="16">
        <f t="shared" si="5"/>
        <v>5</v>
      </c>
      <c r="J10" s="17">
        <v>43623</v>
      </c>
      <c r="K10" s="18"/>
      <c r="L10" s="18"/>
      <c r="M10" s="14">
        <v>982</v>
      </c>
      <c r="N10" s="14"/>
      <c r="O10" s="136"/>
      <c r="P10" s="115">
        <f t="shared" si="6"/>
        <v>7</v>
      </c>
      <c r="Q10" s="17">
        <v>43653</v>
      </c>
      <c r="R10" s="18"/>
      <c r="S10" s="18"/>
      <c r="T10" s="14"/>
      <c r="U10" s="14">
        <f>1010.6+15</f>
        <v>1025.5999999999999</v>
      </c>
      <c r="V10" s="114"/>
      <c r="W10" s="10"/>
      <c r="X10" s="12"/>
      <c r="Y10" s="12"/>
      <c r="Z10" s="1"/>
      <c r="AA10" s="112"/>
      <c r="AB10" s="111"/>
      <c r="AC10" s="16">
        <f t="shared" si="3"/>
        <v>3</v>
      </c>
      <c r="AD10" s="17">
        <v>43684</v>
      </c>
      <c r="AE10" s="18"/>
      <c r="AF10" s="18"/>
      <c r="AG10" s="14"/>
      <c r="AH10" s="14">
        <v>674.9</v>
      </c>
      <c r="AI10" s="136">
        <v>0</v>
      </c>
      <c r="AJ10" s="115">
        <f t="shared" si="0"/>
        <v>7</v>
      </c>
      <c r="AK10" s="17">
        <v>43716</v>
      </c>
      <c r="AL10" s="22">
        <v>817.55</v>
      </c>
      <c r="AM10" s="22"/>
      <c r="AN10" s="232"/>
      <c r="AO10" s="76"/>
      <c r="AP10" s="407"/>
      <c r="AQ10" s="115">
        <f t="shared" si="1"/>
        <v>2</v>
      </c>
      <c r="AR10" s="17">
        <v>43746</v>
      </c>
      <c r="AS10" s="22"/>
      <c r="AT10" s="22">
        <v>598.9</v>
      </c>
      <c r="AU10" s="232"/>
      <c r="AV10" s="669" t="s">
        <v>140</v>
      </c>
      <c r="AW10" s="115">
        <f t="shared" si="2"/>
        <v>5</v>
      </c>
      <c r="AX10" s="17">
        <v>43777</v>
      </c>
      <c r="AY10" s="22">
        <v>1385.95</v>
      </c>
      <c r="AZ10" s="22"/>
      <c r="BA10" s="232"/>
      <c r="BB10" s="232"/>
      <c r="BC10" s="18"/>
      <c r="BD10" s="407"/>
    </row>
    <row r="11" spans="1:56" ht="12.6" customHeight="1" x14ac:dyDescent="0.25">
      <c r="A11" s="111"/>
      <c r="B11" s="4">
        <f t="shared" si="4"/>
        <v>3</v>
      </c>
      <c r="C11" s="3">
        <f t="shared" si="7"/>
        <v>43593</v>
      </c>
      <c r="D11" s="5"/>
      <c r="E11" s="5">
        <v>1107</v>
      </c>
      <c r="F11" s="91"/>
      <c r="G11" s="92"/>
      <c r="H11" s="111"/>
      <c r="I11" s="16">
        <f t="shared" si="5"/>
        <v>6</v>
      </c>
      <c r="J11" s="17">
        <v>43624</v>
      </c>
      <c r="K11" s="18"/>
      <c r="L11" s="18">
        <v>598.65</v>
      </c>
      <c r="M11" s="14"/>
      <c r="N11" s="14"/>
      <c r="O11" s="137"/>
      <c r="P11" s="115">
        <f t="shared" si="6"/>
        <v>1</v>
      </c>
      <c r="Q11" s="17">
        <v>43654</v>
      </c>
      <c r="R11" s="18">
        <f>995</f>
        <v>995</v>
      </c>
      <c r="S11" s="18"/>
      <c r="T11" s="14"/>
      <c r="U11" s="14"/>
      <c r="V11" s="116"/>
      <c r="W11" s="11"/>
      <c r="X11" s="12"/>
      <c r="Y11" s="12"/>
      <c r="Z11" s="1"/>
      <c r="AA11" s="112"/>
      <c r="AB11" s="111"/>
      <c r="AC11" s="16">
        <f t="shared" si="3"/>
        <v>4</v>
      </c>
      <c r="AD11" s="17">
        <v>43685</v>
      </c>
      <c r="AE11" s="18"/>
      <c r="AF11" s="18"/>
      <c r="AG11" s="14"/>
      <c r="AH11" s="14">
        <v>602.29999999999995</v>
      </c>
      <c r="AI11" s="77">
        <v>45</v>
      </c>
      <c r="AJ11" s="115">
        <f t="shared" si="0"/>
        <v>1</v>
      </c>
      <c r="AK11" s="17">
        <v>43717</v>
      </c>
      <c r="AL11" s="671" t="s">
        <v>135</v>
      </c>
      <c r="AM11" s="22">
        <v>688.5</v>
      </c>
      <c r="AN11" s="233"/>
      <c r="AO11" s="20"/>
      <c r="AP11" s="405"/>
      <c r="AQ11" s="115">
        <f t="shared" si="1"/>
        <v>3</v>
      </c>
      <c r="AR11" s="17">
        <v>43747</v>
      </c>
      <c r="AS11" s="243"/>
      <c r="AT11" s="22">
        <v>468.8</v>
      </c>
      <c r="AU11" s="233"/>
      <c r="AV11" s="669"/>
      <c r="AW11" s="115">
        <f t="shared" si="2"/>
        <v>6</v>
      </c>
      <c r="AX11" s="17">
        <v>43778</v>
      </c>
      <c r="AY11" s="22">
        <v>1019.6</v>
      </c>
      <c r="AZ11" s="22"/>
      <c r="BA11" s="232"/>
      <c r="BB11" s="232"/>
      <c r="BC11" s="448"/>
      <c r="BD11" s="631"/>
    </row>
    <row r="12" spans="1:56" ht="12.6" customHeight="1" x14ac:dyDescent="0.25">
      <c r="A12" s="111"/>
      <c r="B12" s="4">
        <f t="shared" si="4"/>
        <v>4</v>
      </c>
      <c r="C12" s="3">
        <f t="shared" si="7"/>
        <v>43594</v>
      </c>
      <c r="D12" s="5">
        <v>565.23</v>
      </c>
      <c r="E12" s="5"/>
      <c r="F12" s="91"/>
      <c r="G12" s="92"/>
      <c r="H12" s="111"/>
      <c r="I12" s="16">
        <f t="shared" si="5"/>
        <v>7</v>
      </c>
      <c r="J12" s="17">
        <v>43625</v>
      </c>
      <c r="K12" s="18"/>
      <c r="L12" s="18">
        <v>625.45000000000005</v>
      </c>
      <c r="M12" s="14"/>
      <c r="N12" s="19"/>
      <c r="O12" s="138"/>
      <c r="P12" s="115">
        <f t="shared" si="6"/>
        <v>2</v>
      </c>
      <c r="Q12" s="17">
        <v>43655</v>
      </c>
      <c r="R12" s="18">
        <v>997.7</v>
      </c>
      <c r="S12" s="18"/>
      <c r="T12" s="14"/>
      <c r="U12" s="19"/>
      <c r="V12" s="20"/>
      <c r="W12" s="9"/>
      <c r="X12" s="12"/>
      <c r="Y12" s="12"/>
      <c r="Z12" s="1"/>
      <c r="AA12" s="112"/>
      <c r="AB12" s="111"/>
      <c r="AC12" s="16">
        <f t="shared" si="3"/>
        <v>5</v>
      </c>
      <c r="AD12" s="17">
        <v>43686</v>
      </c>
      <c r="AE12" s="18">
        <v>1172.3</v>
      </c>
      <c r="AF12" s="18"/>
      <c r="AG12" s="14"/>
      <c r="AH12" s="19"/>
      <c r="AI12" s="138">
        <v>0.5</v>
      </c>
      <c r="AJ12" s="115">
        <f t="shared" si="0"/>
        <v>2</v>
      </c>
      <c r="AK12" s="17">
        <v>43718</v>
      </c>
      <c r="AL12" s="672"/>
      <c r="AM12" s="23">
        <v>487.05</v>
      </c>
      <c r="AN12" s="239">
        <v>631.9</v>
      </c>
      <c r="AO12" s="406" t="s">
        <v>147</v>
      </c>
      <c r="AP12" s="668" t="s">
        <v>140</v>
      </c>
      <c r="AQ12" s="115">
        <f t="shared" si="1"/>
        <v>4</v>
      </c>
      <c r="AR12" s="17">
        <v>43748</v>
      </c>
      <c r="AS12" s="243">
        <v>905</v>
      </c>
      <c r="AT12" s="22"/>
      <c r="AU12" s="232"/>
      <c r="AV12" s="669"/>
      <c r="AW12" s="115">
        <f t="shared" si="2"/>
        <v>7</v>
      </c>
      <c r="AX12" s="17">
        <v>43779</v>
      </c>
      <c r="AY12" s="22"/>
      <c r="AZ12" s="22">
        <v>1157.6500000000001</v>
      </c>
      <c r="BA12" s="232"/>
      <c r="BB12" s="232"/>
      <c r="BC12" s="232"/>
      <c r="BD12" s="410"/>
    </row>
    <row r="13" spans="1:56" ht="12.6" customHeight="1" x14ac:dyDescent="0.25">
      <c r="A13" s="111"/>
      <c r="B13" s="4">
        <f t="shared" si="4"/>
        <v>5</v>
      </c>
      <c r="C13" s="3">
        <f t="shared" si="7"/>
        <v>43595</v>
      </c>
      <c r="D13" s="5">
        <v>1299.7</v>
      </c>
      <c r="E13" s="5"/>
      <c r="F13" s="91"/>
      <c r="G13" s="92"/>
      <c r="H13" s="111"/>
      <c r="I13" s="16">
        <f t="shared" si="5"/>
        <v>1</v>
      </c>
      <c r="J13" s="17">
        <v>43626</v>
      </c>
      <c r="K13" s="18"/>
      <c r="L13" s="18"/>
      <c r="M13" s="14">
        <f>779.1+180</f>
        <v>959.1</v>
      </c>
      <c r="N13" s="14"/>
      <c r="O13" s="139"/>
      <c r="P13" s="115">
        <f t="shared" si="6"/>
        <v>3</v>
      </c>
      <c r="Q13" s="17">
        <v>43656</v>
      </c>
      <c r="R13" s="18"/>
      <c r="S13" s="18">
        <v>821.1</v>
      </c>
      <c r="T13" s="14"/>
      <c r="U13" s="14"/>
      <c r="V13" s="117"/>
      <c r="W13" s="12"/>
      <c r="X13" s="12"/>
      <c r="Y13" s="12"/>
      <c r="Z13" s="1"/>
      <c r="AA13" s="112"/>
      <c r="AB13" s="111"/>
      <c r="AC13" s="16">
        <f t="shared" si="3"/>
        <v>6</v>
      </c>
      <c r="AD13" s="17">
        <v>43687</v>
      </c>
      <c r="AE13" s="18">
        <v>946.8</v>
      </c>
      <c r="AF13" s="18"/>
      <c r="AG13" s="14"/>
      <c r="AH13" s="14"/>
      <c r="AI13" s="139">
        <v>0</v>
      </c>
      <c r="AJ13" s="115">
        <f t="shared" si="0"/>
        <v>3</v>
      </c>
      <c r="AK13" s="17">
        <v>43719</v>
      </c>
      <c r="AL13" s="672"/>
      <c r="AM13" s="22"/>
      <c r="AN13" s="232">
        <v>659.8</v>
      </c>
      <c r="AO13" s="117"/>
      <c r="AP13" s="668"/>
      <c r="AQ13" s="115">
        <f t="shared" si="1"/>
        <v>5</v>
      </c>
      <c r="AR13" s="17">
        <v>43749</v>
      </c>
      <c r="AS13" s="243"/>
      <c r="AT13" s="22">
        <v>737.6</v>
      </c>
      <c r="AU13" s="232" t="s">
        <v>153</v>
      </c>
      <c r="AV13" s="408" t="s">
        <v>144</v>
      </c>
      <c r="AW13" s="115">
        <f t="shared" si="2"/>
        <v>1</v>
      </c>
      <c r="AX13" s="17">
        <v>43780</v>
      </c>
      <c r="AY13" s="22"/>
      <c r="AZ13" s="22">
        <v>1126.7</v>
      </c>
      <c r="BA13" s="232"/>
      <c r="BB13" s="232"/>
      <c r="BC13" s="232"/>
      <c r="BD13" s="632"/>
    </row>
    <row r="14" spans="1:56" ht="12.6" customHeight="1" x14ac:dyDescent="0.25">
      <c r="A14" s="111"/>
      <c r="B14" s="4">
        <f t="shared" si="4"/>
        <v>6</v>
      </c>
      <c r="C14" s="3">
        <f t="shared" si="7"/>
        <v>43596</v>
      </c>
      <c r="D14" s="5">
        <v>1128.3599999999999</v>
      </c>
      <c r="E14" s="5"/>
      <c r="F14" s="91"/>
      <c r="G14" s="92"/>
      <c r="H14" s="111"/>
      <c r="I14" s="16">
        <f t="shared" si="5"/>
        <v>2</v>
      </c>
      <c r="J14" s="17">
        <v>43627</v>
      </c>
      <c r="K14" s="18">
        <v>994.7</v>
      </c>
      <c r="L14" s="18"/>
      <c r="M14" s="14"/>
      <c r="N14" s="14"/>
      <c r="O14" s="139"/>
      <c r="P14" s="115">
        <f t="shared" si="6"/>
        <v>4</v>
      </c>
      <c r="Q14" s="17">
        <v>43657</v>
      </c>
      <c r="R14" s="18"/>
      <c r="S14" s="18">
        <v>1390</v>
      </c>
      <c r="T14" s="14"/>
      <c r="U14" s="14"/>
      <c r="V14" s="117"/>
      <c r="W14" s="12"/>
      <c r="X14" s="12"/>
      <c r="Y14" s="12"/>
      <c r="Z14" s="1"/>
      <c r="AA14" s="112"/>
      <c r="AB14" s="111"/>
      <c r="AC14" s="16">
        <f t="shared" si="3"/>
        <v>7</v>
      </c>
      <c r="AD14" s="17">
        <v>43688</v>
      </c>
      <c r="AE14" s="18"/>
      <c r="AF14" s="18"/>
      <c r="AG14" s="14"/>
      <c r="AH14" s="14">
        <v>677.1</v>
      </c>
      <c r="AI14" s="139">
        <v>56</v>
      </c>
      <c r="AJ14" s="115">
        <f t="shared" si="0"/>
        <v>4</v>
      </c>
      <c r="AK14" s="17">
        <v>43720</v>
      </c>
      <c r="AL14" s="672"/>
      <c r="AM14" s="22">
        <v>1118.5999999999999</v>
      </c>
      <c r="AN14" s="232"/>
      <c r="AO14" s="117"/>
      <c r="AP14" s="141"/>
      <c r="AQ14" s="115">
        <f t="shared" si="1"/>
        <v>6</v>
      </c>
      <c r="AR14" s="17">
        <v>43750</v>
      </c>
      <c r="AS14" s="22"/>
      <c r="AT14" s="22"/>
      <c r="AU14" s="232">
        <v>879.06</v>
      </c>
      <c r="AV14" s="117"/>
      <c r="AW14" s="115">
        <f t="shared" si="2"/>
        <v>2</v>
      </c>
      <c r="AX14" s="17">
        <v>43781</v>
      </c>
      <c r="AY14" s="22">
        <v>544</v>
      </c>
      <c r="AZ14" s="22"/>
      <c r="BA14" s="232"/>
      <c r="BB14" s="232"/>
      <c r="BC14" s="232"/>
      <c r="BD14" s="632"/>
    </row>
    <row r="15" spans="1:56" ht="12.6" customHeight="1" x14ac:dyDescent="0.25">
      <c r="A15" s="111"/>
      <c r="B15" s="4">
        <f t="shared" si="4"/>
        <v>7</v>
      </c>
      <c r="C15" s="3">
        <f t="shared" si="7"/>
        <v>43597</v>
      </c>
      <c r="D15" s="5"/>
      <c r="E15" s="5">
        <v>969.9</v>
      </c>
      <c r="F15" s="91"/>
      <c r="G15" s="92"/>
      <c r="H15" s="111"/>
      <c r="I15" s="16">
        <f t="shared" si="5"/>
        <v>3</v>
      </c>
      <c r="J15" s="17">
        <v>43628</v>
      </c>
      <c r="K15" s="18"/>
      <c r="L15" s="18">
        <v>1063.4000000000001</v>
      </c>
      <c r="M15" s="14"/>
      <c r="N15" s="14"/>
      <c r="O15" s="139"/>
      <c r="P15" s="115">
        <f t="shared" si="6"/>
        <v>5</v>
      </c>
      <c r="Q15" s="17">
        <v>43658</v>
      </c>
      <c r="R15" s="18">
        <v>1224.95</v>
      </c>
      <c r="S15" s="18"/>
      <c r="T15" s="14"/>
      <c r="U15" s="14"/>
      <c r="V15" s="117"/>
      <c r="W15" s="12"/>
      <c r="X15" s="12"/>
      <c r="Y15" s="12"/>
      <c r="Z15" s="1"/>
      <c r="AA15" s="112"/>
      <c r="AB15" s="111"/>
      <c r="AC15" s="16">
        <f t="shared" si="3"/>
        <v>1</v>
      </c>
      <c r="AD15" s="17">
        <v>43689</v>
      </c>
      <c r="AE15" s="18"/>
      <c r="AF15" s="18"/>
      <c r="AG15" s="14"/>
      <c r="AH15" s="14">
        <v>903.85</v>
      </c>
      <c r="AI15" s="139">
        <v>0</v>
      </c>
      <c r="AJ15" s="115">
        <f t="shared" si="0"/>
        <v>5</v>
      </c>
      <c r="AK15" s="17">
        <v>43721</v>
      </c>
      <c r="AL15" s="672"/>
      <c r="AM15" s="22">
        <v>1249.4000000000001</v>
      </c>
      <c r="AN15" s="232"/>
      <c r="AO15" s="117"/>
      <c r="AP15" s="141"/>
      <c r="AQ15" s="115">
        <f t="shared" si="1"/>
        <v>7</v>
      </c>
      <c r="AR15" s="17">
        <v>43751</v>
      </c>
      <c r="AS15" s="22">
        <v>836.4</v>
      </c>
      <c r="AT15" s="22"/>
      <c r="AU15" s="232"/>
      <c r="AV15" s="76"/>
      <c r="AW15" s="115">
        <f t="shared" si="2"/>
        <v>3</v>
      </c>
      <c r="AX15" s="17">
        <v>43782</v>
      </c>
      <c r="AY15" s="22"/>
      <c r="AZ15" s="22"/>
      <c r="BA15" s="239">
        <v>979.4</v>
      </c>
      <c r="BB15" s="232"/>
      <c r="BC15" s="232"/>
      <c r="BD15" s="632"/>
    </row>
    <row r="16" spans="1:56" ht="12.6" customHeight="1" x14ac:dyDescent="0.25">
      <c r="A16" s="111"/>
      <c r="B16" s="4">
        <f t="shared" si="4"/>
        <v>1</v>
      </c>
      <c r="C16" s="3">
        <f t="shared" si="7"/>
        <v>43598</v>
      </c>
      <c r="D16" s="5"/>
      <c r="E16" s="5">
        <v>565.20000000000005</v>
      </c>
      <c r="F16" s="91"/>
      <c r="G16" s="92"/>
      <c r="H16" s="111"/>
      <c r="I16" s="16">
        <f t="shared" si="5"/>
        <v>4</v>
      </c>
      <c r="J16" s="17">
        <v>43629</v>
      </c>
      <c r="K16" s="18"/>
      <c r="L16" s="18">
        <v>699.7</v>
      </c>
      <c r="M16" s="14"/>
      <c r="N16" s="14"/>
      <c r="O16" s="237"/>
      <c r="P16" s="115">
        <f t="shared" si="6"/>
        <v>6</v>
      </c>
      <c r="Q16" s="17">
        <v>43659</v>
      </c>
      <c r="R16" s="18">
        <v>905.85</v>
      </c>
      <c r="S16" s="18"/>
      <c r="T16" s="14"/>
      <c r="U16" s="14"/>
      <c r="V16" s="117"/>
      <c r="W16" s="12"/>
      <c r="X16" s="12"/>
      <c r="Y16" s="12"/>
      <c r="Z16" s="1"/>
      <c r="AA16" s="112"/>
      <c r="AB16" s="111"/>
      <c r="AC16" s="16">
        <f t="shared" si="3"/>
        <v>2</v>
      </c>
      <c r="AD16" s="17">
        <v>43690</v>
      </c>
      <c r="AE16" s="18">
        <v>1070.6300000000001</v>
      </c>
      <c r="AF16" s="18"/>
      <c r="AG16" s="14"/>
      <c r="AH16" s="14"/>
      <c r="AI16" s="139">
        <v>0</v>
      </c>
      <c r="AJ16" s="115">
        <f t="shared" si="0"/>
        <v>6</v>
      </c>
      <c r="AK16" s="17">
        <v>43722</v>
      </c>
      <c r="AL16" s="672"/>
      <c r="AM16" s="22"/>
      <c r="AN16" s="232">
        <v>1926.62</v>
      </c>
      <c r="AO16" s="117"/>
      <c r="AP16" s="141"/>
      <c r="AQ16" s="115">
        <f t="shared" si="1"/>
        <v>1</v>
      </c>
      <c r="AR16" s="17">
        <v>43752</v>
      </c>
      <c r="AS16" s="243">
        <v>928.7</v>
      </c>
      <c r="AT16" s="22"/>
      <c r="AU16" s="232"/>
      <c r="AV16" s="117"/>
      <c r="AW16" s="115">
        <f t="shared" si="2"/>
        <v>4</v>
      </c>
      <c r="AX16" s="17">
        <v>43783</v>
      </c>
      <c r="AY16" s="22"/>
      <c r="AZ16" s="22">
        <v>154.69999999999999</v>
      </c>
      <c r="BA16" s="239">
        <v>209</v>
      </c>
      <c r="BB16" s="232"/>
      <c r="BC16" s="14"/>
      <c r="BD16" s="141"/>
    </row>
    <row r="17" spans="1:56" ht="12.6" customHeight="1" x14ac:dyDescent="0.25">
      <c r="A17" s="111"/>
      <c r="B17" s="4">
        <f t="shared" si="4"/>
        <v>2</v>
      </c>
      <c r="C17" s="3">
        <f t="shared" si="7"/>
        <v>43599</v>
      </c>
      <c r="D17" s="5">
        <v>875.95</v>
      </c>
      <c r="E17" s="5"/>
      <c r="F17" s="91"/>
      <c r="G17" s="92"/>
      <c r="H17" s="111"/>
      <c r="I17" s="16">
        <f t="shared" si="5"/>
        <v>5</v>
      </c>
      <c r="J17" s="17">
        <v>43630</v>
      </c>
      <c r="K17" s="22">
        <v>1139.6400000000001</v>
      </c>
      <c r="L17" s="18"/>
      <c r="M17" s="14"/>
      <c r="N17" s="14"/>
      <c r="O17" s="237"/>
      <c r="P17" s="115">
        <f t="shared" si="6"/>
        <v>7</v>
      </c>
      <c r="Q17" s="17">
        <v>43660</v>
      </c>
      <c r="R17" s="22"/>
      <c r="S17" s="18">
        <v>1082.45</v>
      </c>
      <c r="T17" s="14"/>
      <c r="U17" s="14"/>
      <c r="V17" s="117"/>
      <c r="W17" s="12"/>
      <c r="X17" s="12"/>
      <c r="Y17" s="12"/>
      <c r="Z17" s="1"/>
      <c r="AA17" s="112"/>
      <c r="AB17" s="111"/>
      <c r="AC17" s="16">
        <f t="shared" si="3"/>
        <v>3</v>
      </c>
      <c r="AD17" s="17">
        <v>43691</v>
      </c>
      <c r="AE17" s="22">
        <v>478.05</v>
      </c>
      <c r="AF17" s="18"/>
      <c r="AG17" s="14"/>
      <c r="AH17" s="14"/>
      <c r="AI17" s="139">
        <v>56.6</v>
      </c>
      <c r="AJ17" s="115">
        <f t="shared" si="0"/>
        <v>7</v>
      </c>
      <c r="AK17" s="17">
        <v>43723</v>
      </c>
      <c r="AL17" s="672"/>
      <c r="AM17" s="22">
        <v>1746.15</v>
      </c>
      <c r="AN17" s="232"/>
      <c r="AO17" s="117"/>
      <c r="AP17" s="141">
        <f>SUM(AL3:AM10)</f>
        <v>6371.05</v>
      </c>
      <c r="AQ17" s="115">
        <f t="shared" si="1"/>
        <v>2</v>
      </c>
      <c r="AR17" s="17">
        <v>43753</v>
      </c>
      <c r="AS17" s="285">
        <v>1671.24</v>
      </c>
      <c r="AT17" s="22"/>
      <c r="AU17" s="232"/>
      <c r="AV17" s="117"/>
      <c r="AW17" s="115">
        <f t="shared" si="2"/>
        <v>5</v>
      </c>
      <c r="AX17" s="17">
        <v>43784</v>
      </c>
      <c r="AY17" s="22"/>
      <c r="AZ17" s="22">
        <v>1332.44</v>
      </c>
      <c r="BA17" s="232"/>
      <c r="BB17" s="232"/>
      <c r="BC17" s="14"/>
      <c r="BD17" s="141"/>
    </row>
    <row r="18" spans="1:56" ht="12.6" customHeight="1" x14ac:dyDescent="0.25">
      <c r="A18" s="111"/>
      <c r="B18" s="4">
        <f t="shared" si="4"/>
        <v>3</v>
      </c>
      <c r="C18" s="3">
        <f t="shared" si="7"/>
        <v>43600</v>
      </c>
      <c r="D18" s="5"/>
      <c r="E18" s="5">
        <v>1876</v>
      </c>
      <c r="F18" s="91"/>
      <c r="G18" s="92"/>
      <c r="H18" s="111"/>
      <c r="I18" s="16">
        <f t="shared" si="5"/>
        <v>6</v>
      </c>
      <c r="J18" s="17">
        <v>43631</v>
      </c>
      <c r="K18" s="18">
        <v>1711.7</v>
      </c>
      <c r="L18" s="18"/>
      <c r="M18" s="14"/>
      <c r="N18" s="14"/>
      <c r="O18" s="139"/>
      <c r="P18" s="115">
        <f t="shared" si="6"/>
        <v>1</v>
      </c>
      <c r="Q18" s="17">
        <v>43661</v>
      </c>
      <c r="R18" s="18"/>
      <c r="S18" s="18">
        <v>1146.96</v>
      </c>
      <c r="T18" s="14"/>
      <c r="U18" s="14"/>
      <c r="V18" s="117"/>
      <c r="W18" s="12"/>
      <c r="X18" s="12"/>
      <c r="Y18" s="12"/>
      <c r="Z18" s="1"/>
      <c r="AA18" s="112"/>
      <c r="AB18" s="111"/>
      <c r="AC18" s="16">
        <f t="shared" si="3"/>
        <v>4</v>
      </c>
      <c r="AD18" s="17">
        <v>43692</v>
      </c>
      <c r="AE18" s="23">
        <v>25</v>
      </c>
      <c r="AF18" s="18"/>
      <c r="AG18" s="14"/>
      <c r="AH18" s="14">
        <v>1722.8</v>
      </c>
      <c r="AI18" s="139">
        <v>0</v>
      </c>
      <c r="AJ18" s="115">
        <f t="shared" si="0"/>
        <v>1</v>
      </c>
      <c r="AK18" s="17">
        <v>43724</v>
      </c>
      <c r="AL18" s="672"/>
      <c r="AM18" s="22">
        <v>1271.2</v>
      </c>
      <c r="AN18" s="232"/>
      <c r="AO18" s="117"/>
      <c r="AP18" s="141">
        <f>SUM(AM11:AN18)</f>
        <v>9779.2200000000012</v>
      </c>
      <c r="AQ18" s="115">
        <f t="shared" si="1"/>
        <v>3</v>
      </c>
      <c r="AR18" s="17">
        <v>43754</v>
      </c>
      <c r="AS18" s="243"/>
      <c r="AT18" s="22">
        <v>776.7</v>
      </c>
      <c r="AU18" s="232"/>
      <c r="AV18" s="117"/>
      <c r="AW18" s="115">
        <f t="shared" si="2"/>
        <v>6</v>
      </c>
      <c r="AX18" s="17">
        <v>43785</v>
      </c>
      <c r="AY18" s="22">
        <v>1101.3499999999999</v>
      </c>
      <c r="AZ18" s="22"/>
      <c r="BA18" s="232"/>
      <c r="BB18" s="232"/>
      <c r="BC18" s="14"/>
      <c r="BD18" s="141"/>
    </row>
    <row r="19" spans="1:56" ht="12.6" customHeight="1" x14ac:dyDescent="0.25">
      <c r="A19" s="111"/>
      <c r="B19" s="4">
        <f t="shared" si="4"/>
        <v>4</v>
      </c>
      <c r="C19" s="3">
        <f t="shared" si="7"/>
        <v>43601</v>
      </c>
      <c r="D19" s="5"/>
      <c r="E19" s="5">
        <v>1387.6</v>
      </c>
      <c r="F19" s="91"/>
      <c r="G19" s="92"/>
      <c r="H19" s="111"/>
      <c r="I19" s="16">
        <f t="shared" si="5"/>
        <v>7</v>
      </c>
      <c r="J19" s="17">
        <v>43632</v>
      </c>
      <c r="K19" s="18">
        <v>994.29</v>
      </c>
      <c r="L19" s="18"/>
      <c r="M19" s="14"/>
      <c r="N19" s="14"/>
      <c r="O19" s="139"/>
      <c r="P19" s="115">
        <f t="shared" si="6"/>
        <v>2</v>
      </c>
      <c r="Q19" s="17">
        <v>43662</v>
      </c>
      <c r="R19" s="18">
        <f>634.7+612.03</f>
        <v>1246.73</v>
      </c>
      <c r="S19" s="18"/>
      <c r="T19" s="14"/>
      <c r="U19" s="14"/>
      <c r="V19" s="117"/>
      <c r="W19" s="12"/>
      <c r="X19" s="12"/>
      <c r="Y19" s="12"/>
      <c r="Z19" s="1"/>
      <c r="AA19" s="112"/>
      <c r="AB19" s="111"/>
      <c r="AC19" s="16">
        <f t="shared" si="3"/>
        <v>5</v>
      </c>
      <c r="AD19" s="17">
        <v>43693</v>
      </c>
      <c r="AE19" s="18"/>
      <c r="AF19" s="18"/>
      <c r="AG19" s="14"/>
      <c r="AH19" s="14">
        <v>1478.5</v>
      </c>
      <c r="AI19" s="139">
        <v>75.900000000000006</v>
      </c>
      <c r="AJ19" s="115">
        <f t="shared" si="0"/>
        <v>2</v>
      </c>
      <c r="AK19" s="17">
        <v>43725</v>
      </c>
      <c r="AL19" s="672"/>
      <c r="AM19" s="22">
        <v>1298.31</v>
      </c>
      <c r="AN19" s="232"/>
      <c r="AO19" s="117"/>
      <c r="AP19" s="141">
        <f>AP18+AP17</f>
        <v>16150.27</v>
      </c>
      <c r="AQ19" s="115">
        <f t="shared" si="1"/>
        <v>4</v>
      </c>
      <c r="AR19" s="17">
        <v>43755</v>
      </c>
      <c r="AS19" s="243"/>
      <c r="AT19" s="22">
        <v>1366.5</v>
      </c>
      <c r="AU19" s="232"/>
      <c r="AV19" s="670" t="s">
        <v>145</v>
      </c>
      <c r="AW19" s="115">
        <f t="shared" si="2"/>
        <v>7</v>
      </c>
      <c r="AX19" s="17">
        <v>43786</v>
      </c>
      <c r="AY19" s="22">
        <v>993.1</v>
      </c>
      <c r="AZ19" s="22"/>
      <c r="BA19" s="232"/>
      <c r="BB19" s="232"/>
      <c r="BC19" s="14"/>
      <c r="BD19" s="141"/>
    </row>
    <row r="20" spans="1:56" ht="12.6" customHeight="1" x14ac:dyDescent="0.25">
      <c r="A20" s="111"/>
      <c r="B20" s="4">
        <f t="shared" si="4"/>
        <v>5</v>
      </c>
      <c r="C20" s="3">
        <f t="shared" si="7"/>
        <v>43602</v>
      </c>
      <c r="D20" s="5">
        <v>1419.21</v>
      </c>
      <c r="E20" s="5"/>
      <c r="F20" s="91"/>
      <c r="G20" s="92"/>
      <c r="H20" s="111"/>
      <c r="I20" s="16">
        <f t="shared" si="5"/>
        <v>1</v>
      </c>
      <c r="J20" s="17">
        <v>43633</v>
      </c>
      <c r="K20" s="18"/>
      <c r="L20" s="18">
        <v>1970.3</v>
      </c>
      <c r="M20" s="14"/>
      <c r="N20" s="14"/>
      <c r="O20" s="139"/>
      <c r="P20" s="115">
        <f t="shared" si="6"/>
        <v>3</v>
      </c>
      <c r="Q20" s="17">
        <v>43663</v>
      </c>
      <c r="R20" s="18">
        <v>1486.6</v>
      </c>
      <c r="S20" s="18"/>
      <c r="T20" s="14"/>
      <c r="U20" s="14"/>
      <c r="V20" s="117"/>
      <c r="W20" s="12"/>
      <c r="X20" s="12"/>
      <c r="Y20" s="12"/>
      <c r="Z20" s="1"/>
      <c r="AA20" s="112"/>
      <c r="AB20" s="111"/>
      <c r="AC20" s="16">
        <f t="shared" si="3"/>
        <v>6</v>
      </c>
      <c r="AD20" s="17">
        <v>43694</v>
      </c>
      <c r="AE20" s="18">
        <v>1064.92</v>
      </c>
      <c r="AF20" s="18"/>
      <c r="AG20" s="14"/>
      <c r="AH20" s="14"/>
      <c r="AI20" s="139">
        <v>8</v>
      </c>
      <c r="AJ20" s="115">
        <f t="shared" si="0"/>
        <v>3</v>
      </c>
      <c r="AK20" s="17">
        <v>43726</v>
      </c>
      <c r="AL20" s="672"/>
      <c r="AM20" s="22"/>
      <c r="AN20" s="22">
        <v>1026.1400000000001</v>
      </c>
      <c r="AO20" s="117"/>
      <c r="AP20" s="141"/>
      <c r="AQ20" s="115">
        <f t="shared" si="1"/>
        <v>5</v>
      </c>
      <c r="AR20" s="17">
        <v>43756</v>
      </c>
      <c r="AS20" s="243"/>
      <c r="AT20" s="22"/>
      <c r="AU20" s="22">
        <v>1412.13</v>
      </c>
      <c r="AV20" s="670"/>
      <c r="AW20" s="115">
        <f t="shared" si="2"/>
        <v>1</v>
      </c>
      <c r="AX20" s="17">
        <v>43787</v>
      </c>
      <c r="AY20" s="22"/>
      <c r="AZ20" s="22">
        <v>1409.25</v>
      </c>
      <c r="BA20" s="232"/>
      <c r="BB20" s="232"/>
      <c r="BC20" s="14"/>
      <c r="BD20" s="141"/>
    </row>
    <row r="21" spans="1:56" ht="12.6" customHeight="1" x14ac:dyDescent="0.25">
      <c r="A21" s="111"/>
      <c r="B21" s="4">
        <f t="shared" si="4"/>
        <v>6</v>
      </c>
      <c r="C21" s="3">
        <f t="shared" si="7"/>
        <v>43603</v>
      </c>
      <c r="D21" s="5">
        <v>1242.0899999999999</v>
      </c>
      <c r="E21" s="5"/>
      <c r="F21" s="91"/>
      <c r="G21" s="92"/>
      <c r="H21" s="111"/>
      <c r="I21" s="16">
        <f t="shared" si="5"/>
        <v>2</v>
      </c>
      <c r="J21" s="17">
        <v>43634</v>
      </c>
      <c r="K21" s="18"/>
      <c r="L21" s="18">
        <v>1280</v>
      </c>
      <c r="M21" s="14"/>
      <c r="N21" s="14"/>
      <c r="O21" s="139"/>
      <c r="P21" s="115">
        <f t="shared" si="6"/>
        <v>4</v>
      </c>
      <c r="Q21" s="17">
        <v>43664</v>
      </c>
      <c r="R21" s="18"/>
      <c r="S21" s="18">
        <f>810+382.8+200</f>
        <v>1392.8</v>
      </c>
      <c r="T21" s="14"/>
      <c r="U21" s="14"/>
      <c r="V21" s="117"/>
      <c r="W21" s="12"/>
      <c r="X21" s="12"/>
      <c r="Y21" s="12"/>
      <c r="Z21" s="1"/>
      <c r="AA21" s="112"/>
      <c r="AB21" s="111"/>
      <c r="AC21" s="16">
        <f t="shared" si="3"/>
        <v>7</v>
      </c>
      <c r="AD21" s="17">
        <v>43695</v>
      </c>
      <c r="AE21" s="18">
        <v>1150.92</v>
      </c>
      <c r="AF21" s="18"/>
      <c r="AG21" s="14"/>
      <c r="AH21" s="14"/>
      <c r="AI21" s="139">
        <v>135</v>
      </c>
      <c r="AJ21" s="115">
        <f t="shared" si="0"/>
        <v>4</v>
      </c>
      <c r="AK21" s="17">
        <v>43727</v>
      </c>
      <c r="AL21" s="672"/>
      <c r="AM21" s="22"/>
      <c r="AN21" s="232">
        <v>543.4</v>
      </c>
      <c r="AO21" s="76"/>
      <c r="AP21" s="141"/>
      <c r="AQ21" s="115">
        <f t="shared" si="1"/>
        <v>6</v>
      </c>
      <c r="AR21" s="17">
        <v>43757</v>
      </c>
      <c r="AS21" s="22"/>
      <c r="AT21" s="22">
        <v>983.85</v>
      </c>
      <c r="AU21" s="232"/>
      <c r="AV21" s="670"/>
      <c r="AW21" s="115">
        <f t="shared" si="2"/>
        <v>2</v>
      </c>
      <c r="AX21" s="17">
        <v>43788</v>
      </c>
      <c r="AY21" s="22"/>
      <c r="AZ21" s="22">
        <v>838.9</v>
      </c>
      <c r="BA21" s="232"/>
      <c r="BB21" s="232"/>
      <c r="BC21" s="18"/>
      <c r="BD21" s="141"/>
    </row>
    <row r="22" spans="1:56" ht="12.6" customHeight="1" x14ac:dyDescent="0.25">
      <c r="A22" s="111"/>
      <c r="B22" s="4">
        <f t="shared" si="4"/>
        <v>7</v>
      </c>
      <c r="C22" s="3">
        <f t="shared" si="7"/>
        <v>43604</v>
      </c>
      <c r="D22" s="5"/>
      <c r="E22" s="5">
        <v>1440.1</v>
      </c>
      <c r="F22" s="91"/>
      <c r="G22" s="92"/>
      <c r="H22" s="150"/>
      <c r="I22" s="16">
        <f t="shared" si="5"/>
        <v>3</v>
      </c>
      <c r="J22" s="17">
        <v>43635</v>
      </c>
      <c r="K22" s="22">
        <v>1357.53</v>
      </c>
      <c r="L22" s="22"/>
      <c r="M22" s="14"/>
      <c r="N22" s="14"/>
      <c r="O22" s="458"/>
      <c r="P22" s="115">
        <f t="shared" si="6"/>
        <v>5</v>
      </c>
      <c r="Q22" s="17">
        <v>43665</v>
      </c>
      <c r="R22" s="22"/>
      <c r="S22" s="22">
        <v>852.9</v>
      </c>
      <c r="T22" s="18"/>
      <c r="U22" s="14">
        <v>506.5</v>
      </c>
      <c r="V22" s="76"/>
      <c r="W22" s="12"/>
      <c r="X22" s="12"/>
      <c r="Y22" s="12"/>
      <c r="Z22" s="1"/>
      <c r="AA22" s="112"/>
      <c r="AB22" s="111"/>
      <c r="AC22" s="16">
        <f t="shared" si="3"/>
        <v>1</v>
      </c>
      <c r="AD22" s="17">
        <v>43696</v>
      </c>
      <c r="AE22" s="22"/>
      <c r="AF22" s="22"/>
      <c r="AG22" s="18"/>
      <c r="AH22" s="14">
        <v>842.25</v>
      </c>
      <c r="AI22" s="237">
        <v>0</v>
      </c>
      <c r="AJ22" s="115">
        <f t="shared" si="0"/>
        <v>5</v>
      </c>
      <c r="AK22" s="17">
        <v>43728</v>
      </c>
      <c r="AL22" s="672"/>
      <c r="AM22" s="22">
        <v>1251.95</v>
      </c>
      <c r="AN22" s="232"/>
      <c r="AO22" s="117"/>
      <c r="AP22" s="141"/>
      <c r="AQ22" s="115">
        <f t="shared" si="1"/>
        <v>7</v>
      </c>
      <c r="AR22" s="17">
        <v>43758</v>
      </c>
      <c r="AS22" s="22">
        <f>799.6+578.5</f>
        <v>1378.1</v>
      </c>
      <c r="AT22" s="22"/>
      <c r="AU22" s="232"/>
      <c r="AV22" s="670"/>
      <c r="AW22" s="115">
        <f t="shared" si="2"/>
        <v>3</v>
      </c>
      <c r="AX22" s="17">
        <v>43789</v>
      </c>
      <c r="AY22" s="22">
        <v>788</v>
      </c>
      <c r="AZ22" s="22"/>
      <c r="BA22" s="232"/>
      <c r="BB22" s="232"/>
      <c r="BC22" s="14"/>
      <c r="BD22" s="141"/>
    </row>
    <row r="23" spans="1:56" ht="12.6" customHeight="1" x14ac:dyDescent="0.25">
      <c r="A23" s="111"/>
      <c r="B23" s="4">
        <f t="shared" si="4"/>
        <v>1</v>
      </c>
      <c r="C23" s="3">
        <f t="shared" si="7"/>
        <v>43605</v>
      </c>
      <c r="D23" s="5"/>
      <c r="E23" s="5">
        <v>1466.2</v>
      </c>
      <c r="F23" s="91"/>
      <c r="G23" s="92"/>
      <c r="H23" s="111"/>
      <c r="I23" s="16">
        <f t="shared" si="5"/>
        <v>4</v>
      </c>
      <c r="J23" s="17">
        <v>43636</v>
      </c>
      <c r="K23" s="22">
        <v>1199.25</v>
      </c>
      <c r="L23" s="22"/>
      <c r="M23" s="14"/>
      <c r="N23" s="14"/>
      <c r="O23" s="139"/>
      <c r="P23" s="115">
        <f t="shared" si="6"/>
        <v>6</v>
      </c>
      <c r="Q23" s="17">
        <v>43666</v>
      </c>
      <c r="R23" s="22">
        <v>1072.8900000000001</v>
      </c>
      <c r="S23" s="22"/>
      <c r="T23" s="14"/>
      <c r="U23" s="14"/>
      <c r="V23" s="117"/>
      <c r="W23" s="12"/>
      <c r="X23" s="12"/>
      <c r="Y23" s="12"/>
      <c r="Z23" s="1"/>
      <c r="AA23" s="112"/>
      <c r="AB23" s="111"/>
      <c r="AC23" s="16">
        <f t="shared" si="3"/>
        <v>2</v>
      </c>
      <c r="AD23" s="17">
        <v>43697</v>
      </c>
      <c r="AE23" s="22"/>
      <c r="AF23" s="22"/>
      <c r="AG23" s="14"/>
      <c r="AH23" s="14">
        <v>1294.0999999999999</v>
      </c>
      <c r="AI23" s="139">
        <v>31</v>
      </c>
      <c r="AJ23" s="115">
        <f t="shared" si="0"/>
        <v>6</v>
      </c>
      <c r="AK23" s="17">
        <v>43729</v>
      </c>
      <c r="AL23" s="672"/>
      <c r="AM23" s="22">
        <v>1206.8</v>
      </c>
      <c r="AN23" s="232"/>
      <c r="AO23" s="117"/>
      <c r="AP23" s="141"/>
      <c r="AQ23" s="115">
        <f t="shared" si="1"/>
        <v>1</v>
      </c>
      <c r="AR23" s="17">
        <v>43759</v>
      </c>
      <c r="AS23" s="243">
        <v>1023.1</v>
      </c>
      <c r="AT23" s="22"/>
      <c r="AU23" s="232"/>
      <c r="AV23" s="670"/>
      <c r="AW23" s="115">
        <f t="shared" si="2"/>
        <v>4</v>
      </c>
      <c r="AX23" s="17">
        <v>43790</v>
      </c>
      <c r="AY23" s="22">
        <f>1000+432</f>
        <v>1432</v>
      </c>
      <c r="AZ23" s="22"/>
      <c r="BA23" s="232">
        <v>597.5</v>
      </c>
      <c r="BB23" s="606"/>
      <c r="BC23" s="14"/>
      <c r="BD23" s="141"/>
    </row>
    <row r="24" spans="1:56" ht="12.6" customHeight="1" x14ac:dyDescent="0.25">
      <c r="A24" s="111"/>
      <c r="B24" s="4">
        <f t="shared" si="4"/>
        <v>2</v>
      </c>
      <c r="C24" s="3">
        <f t="shared" si="7"/>
        <v>43606</v>
      </c>
      <c r="D24" s="5">
        <v>1133.2</v>
      </c>
      <c r="E24" s="5"/>
      <c r="F24" s="91"/>
      <c r="G24" s="92"/>
      <c r="H24" s="111"/>
      <c r="I24" s="16">
        <f t="shared" si="5"/>
        <v>5</v>
      </c>
      <c r="J24" s="17">
        <v>43637</v>
      </c>
      <c r="K24" s="22"/>
      <c r="L24" s="22">
        <v>1427</v>
      </c>
      <c r="M24" s="14"/>
      <c r="N24" s="14"/>
      <c r="O24" s="139"/>
      <c r="P24" s="115">
        <f t="shared" si="6"/>
        <v>7</v>
      </c>
      <c r="Q24" s="17">
        <v>43667</v>
      </c>
      <c r="R24" s="22">
        <v>1244.8699999999999</v>
      </c>
      <c r="S24" s="22"/>
      <c r="T24" s="14"/>
      <c r="U24" s="14"/>
      <c r="V24" s="117"/>
      <c r="W24" s="12"/>
      <c r="X24" s="12"/>
      <c r="Y24" s="12"/>
      <c r="Z24" s="1"/>
      <c r="AA24" s="112"/>
      <c r="AB24" s="111"/>
      <c r="AC24" s="16">
        <f t="shared" si="3"/>
        <v>3</v>
      </c>
      <c r="AD24" s="17">
        <v>43698</v>
      </c>
      <c r="AE24" s="22">
        <v>1502.4</v>
      </c>
      <c r="AF24" s="22"/>
      <c r="AG24" s="14"/>
      <c r="AH24" s="14"/>
      <c r="AI24" s="139">
        <v>198.6</v>
      </c>
      <c r="AJ24" s="118">
        <f t="shared" si="0"/>
        <v>7</v>
      </c>
      <c r="AK24" s="17">
        <v>43730</v>
      </c>
      <c r="AL24" s="672"/>
      <c r="AM24" s="234">
        <v>1555.3</v>
      </c>
      <c r="AN24" s="235"/>
      <c r="AO24" s="117"/>
      <c r="AP24" s="141"/>
      <c r="AQ24" s="118">
        <f t="shared" si="1"/>
        <v>2</v>
      </c>
      <c r="AR24" s="17">
        <v>43760</v>
      </c>
      <c r="AS24" s="243"/>
      <c r="AT24" s="234">
        <v>1620.9</v>
      </c>
      <c r="AU24" s="235"/>
      <c r="AV24" s="670"/>
      <c r="AW24" s="118">
        <f t="shared" si="2"/>
        <v>5</v>
      </c>
      <c r="AX24" s="17">
        <v>43791</v>
      </c>
      <c r="AY24" s="22"/>
      <c r="AZ24" s="22">
        <v>1130.45</v>
      </c>
      <c r="BA24" s="232"/>
      <c r="BB24" s="232">
        <v>137.49</v>
      </c>
      <c r="BC24" s="14"/>
      <c r="BD24" s="141"/>
    </row>
    <row r="25" spans="1:56" ht="12.6" customHeight="1" x14ac:dyDescent="0.25">
      <c r="A25" s="111"/>
      <c r="B25" s="4">
        <f t="shared" si="4"/>
        <v>3</v>
      </c>
      <c r="C25" s="3">
        <f t="shared" si="7"/>
        <v>43607</v>
      </c>
      <c r="D25" s="5">
        <v>1025.9000000000001</v>
      </c>
      <c r="E25" s="5"/>
      <c r="F25" s="91"/>
      <c r="G25" s="92"/>
      <c r="H25" s="111"/>
      <c r="I25" s="16">
        <f t="shared" si="5"/>
        <v>6</v>
      </c>
      <c r="J25" s="17">
        <v>43638</v>
      </c>
      <c r="K25" s="18"/>
      <c r="L25" s="23">
        <v>1282.7</v>
      </c>
      <c r="M25" s="14"/>
      <c r="N25" s="14"/>
      <c r="O25" s="139"/>
      <c r="P25" s="115">
        <f t="shared" si="6"/>
        <v>1</v>
      </c>
      <c r="Q25" s="17">
        <v>43668</v>
      </c>
      <c r="R25" s="18"/>
      <c r="S25" s="22">
        <v>917.95</v>
      </c>
      <c r="T25" s="14"/>
      <c r="U25" s="14"/>
      <c r="V25" s="117"/>
      <c r="W25" s="12"/>
      <c r="X25" s="12"/>
      <c r="Y25" s="12"/>
      <c r="Z25" s="1"/>
      <c r="AA25" s="112"/>
      <c r="AB25" s="111"/>
      <c r="AC25" s="16">
        <f t="shared" si="3"/>
        <v>4</v>
      </c>
      <c r="AD25" s="17">
        <v>43699</v>
      </c>
      <c r="AE25" s="18">
        <v>1946.8</v>
      </c>
      <c r="AF25" s="22"/>
      <c r="AG25" s="14"/>
      <c r="AH25" s="14"/>
      <c r="AI25" s="139">
        <v>34.200000000000003</v>
      </c>
      <c r="AJ25" s="115">
        <f t="shared" si="0"/>
        <v>1</v>
      </c>
      <c r="AK25" s="17">
        <v>43731</v>
      </c>
      <c r="AL25" s="275">
        <v>579.22</v>
      </c>
      <c r="AM25" s="276"/>
      <c r="AN25" s="232"/>
      <c r="AO25" s="117"/>
      <c r="AP25" s="407"/>
      <c r="AQ25" s="115">
        <f t="shared" si="1"/>
        <v>3</v>
      </c>
      <c r="AR25" s="17">
        <v>43761</v>
      </c>
      <c r="AS25" s="275"/>
      <c r="AT25" s="276">
        <v>1090</v>
      </c>
      <c r="AU25" s="232"/>
      <c r="AV25" s="670"/>
      <c r="AW25" s="115">
        <f t="shared" si="2"/>
        <v>6</v>
      </c>
      <c r="AX25" s="17">
        <v>43792</v>
      </c>
      <c r="AY25" s="22"/>
      <c r="AZ25" s="22">
        <v>1145.2</v>
      </c>
      <c r="BA25" s="232"/>
      <c r="BB25" s="232">
        <v>202.15</v>
      </c>
      <c r="BC25" s="14"/>
      <c r="BD25" s="141"/>
    </row>
    <row r="26" spans="1:56" ht="12.6" customHeight="1" x14ac:dyDescent="0.25">
      <c r="A26" s="111"/>
      <c r="B26" s="4">
        <f t="shared" si="4"/>
        <v>4</v>
      </c>
      <c r="C26" s="3">
        <f t="shared" si="7"/>
        <v>43608</v>
      </c>
      <c r="D26" s="5"/>
      <c r="E26" s="5">
        <v>925.3</v>
      </c>
      <c r="F26" s="91"/>
      <c r="G26" s="92"/>
      <c r="H26" s="111"/>
      <c r="I26" s="16">
        <f t="shared" si="5"/>
        <v>7</v>
      </c>
      <c r="J26" s="17">
        <v>43639</v>
      </c>
      <c r="K26" s="18">
        <v>956.65</v>
      </c>
      <c r="L26" s="18"/>
      <c r="M26" s="14"/>
      <c r="N26" s="14"/>
      <c r="O26" s="139"/>
      <c r="P26" s="115">
        <f t="shared" si="6"/>
        <v>2</v>
      </c>
      <c r="Q26" s="17">
        <v>43669</v>
      </c>
      <c r="R26" s="18"/>
      <c r="S26" s="18">
        <v>1320.9</v>
      </c>
      <c r="T26" s="14"/>
      <c r="U26" s="14"/>
      <c r="V26" s="117"/>
      <c r="W26" s="12"/>
      <c r="X26" s="12"/>
      <c r="Y26" s="12"/>
      <c r="Z26" s="1"/>
      <c r="AA26" s="112"/>
      <c r="AB26" s="111"/>
      <c r="AC26" s="16">
        <f t="shared" si="3"/>
        <v>5</v>
      </c>
      <c r="AD26" s="17">
        <v>43700</v>
      </c>
      <c r="AE26" s="23">
        <v>20</v>
      </c>
      <c r="AF26" s="18"/>
      <c r="AG26" s="14"/>
      <c r="AH26" s="14">
        <v>1047.0999999999999</v>
      </c>
      <c r="AI26" s="139">
        <v>16.399999999999999</v>
      </c>
      <c r="AJ26" s="115">
        <f t="shared" si="0"/>
        <v>2</v>
      </c>
      <c r="AK26" s="17">
        <v>43732</v>
      </c>
      <c r="AL26" s="275">
        <f>1090.05+5</f>
        <v>1095.05</v>
      </c>
      <c r="AM26" s="276"/>
      <c r="AN26" s="232"/>
      <c r="AO26" s="117"/>
      <c r="AP26" s="141"/>
      <c r="AQ26" s="115">
        <f t="shared" si="1"/>
        <v>4</v>
      </c>
      <c r="AR26" s="17">
        <v>43762</v>
      </c>
      <c r="AS26" s="275"/>
      <c r="AT26" s="276">
        <v>1059.0999999999999</v>
      </c>
      <c r="AU26" s="232"/>
      <c r="AV26" s="117"/>
      <c r="AW26" s="115">
        <f t="shared" si="2"/>
        <v>7</v>
      </c>
      <c r="AX26" s="17">
        <v>43793</v>
      </c>
      <c r="AY26" s="22"/>
      <c r="AZ26" s="22">
        <v>1087</v>
      </c>
      <c r="BA26" s="232"/>
      <c r="BB26" s="232">
        <v>192</v>
      </c>
      <c r="BC26" s="14"/>
      <c r="BD26" s="141"/>
    </row>
    <row r="27" spans="1:56" ht="12.6" customHeight="1" x14ac:dyDescent="0.25">
      <c r="A27" s="111"/>
      <c r="B27" s="4">
        <f t="shared" si="4"/>
        <v>5</v>
      </c>
      <c r="C27" s="3">
        <f t="shared" si="7"/>
        <v>43609</v>
      </c>
      <c r="D27" s="5"/>
      <c r="E27" s="5">
        <v>1083.1500000000001</v>
      </c>
      <c r="F27" s="91"/>
      <c r="G27" s="92"/>
      <c r="H27" s="111"/>
      <c r="I27" s="16">
        <f t="shared" si="5"/>
        <v>1</v>
      </c>
      <c r="J27" s="17">
        <v>43640</v>
      </c>
      <c r="K27" s="18">
        <v>1342.6</v>
      </c>
      <c r="L27" s="18"/>
      <c r="M27" s="14"/>
      <c r="N27" s="14"/>
      <c r="O27" s="139"/>
      <c r="P27" s="115">
        <f t="shared" si="6"/>
        <v>3</v>
      </c>
      <c r="Q27" s="17">
        <v>43670</v>
      </c>
      <c r="R27" s="18">
        <v>938.39</v>
      </c>
      <c r="S27" s="18"/>
      <c r="T27" s="14"/>
      <c r="U27" s="14"/>
      <c r="V27" s="117"/>
      <c r="W27" s="12"/>
      <c r="X27" s="12"/>
      <c r="Y27" s="12"/>
      <c r="Z27" s="1"/>
      <c r="AA27" s="112"/>
      <c r="AB27" s="111"/>
      <c r="AC27" s="16">
        <f t="shared" si="3"/>
        <v>6</v>
      </c>
      <c r="AD27" s="17">
        <v>43701</v>
      </c>
      <c r="AE27" s="18"/>
      <c r="AF27" s="18"/>
      <c r="AG27" s="14"/>
      <c r="AH27" s="14">
        <v>1159</v>
      </c>
      <c r="AI27" s="139">
        <v>40</v>
      </c>
      <c r="AJ27" s="115">
        <f t="shared" si="0"/>
        <v>3</v>
      </c>
      <c r="AK27" s="17">
        <v>43733</v>
      </c>
      <c r="AL27" s="275"/>
      <c r="AM27" s="276">
        <v>861.9</v>
      </c>
      <c r="AN27" s="232"/>
      <c r="AO27" s="117"/>
      <c r="AP27" s="141"/>
      <c r="AQ27" s="115">
        <f t="shared" si="1"/>
        <v>5</v>
      </c>
      <c r="AR27" s="17">
        <v>43763</v>
      </c>
      <c r="AS27" s="275">
        <v>874.8</v>
      </c>
      <c r="AT27" s="276"/>
      <c r="AU27" s="232"/>
      <c r="AV27" s="117"/>
      <c r="AW27" s="115">
        <f t="shared" si="2"/>
        <v>1</v>
      </c>
      <c r="AX27" s="17">
        <v>43794</v>
      </c>
      <c r="AY27" s="22">
        <v>825.87</v>
      </c>
      <c r="AZ27" s="22"/>
      <c r="BA27" s="232">
        <v>164.6</v>
      </c>
      <c r="BB27" s="606"/>
      <c r="BC27" s="14"/>
      <c r="BD27" s="141"/>
    </row>
    <row r="28" spans="1:56" ht="12.6" customHeight="1" x14ac:dyDescent="0.25">
      <c r="A28" s="111"/>
      <c r="B28" s="4">
        <f t="shared" si="4"/>
        <v>6</v>
      </c>
      <c r="C28" s="3">
        <f t="shared" si="7"/>
        <v>43610</v>
      </c>
      <c r="D28" s="5">
        <v>1197.3499999999999</v>
      </c>
      <c r="E28" s="5"/>
      <c r="F28" s="91"/>
      <c r="G28" s="92"/>
      <c r="H28" s="111"/>
      <c r="I28" s="16">
        <f t="shared" si="5"/>
        <v>2</v>
      </c>
      <c r="J28" s="17">
        <v>43641</v>
      </c>
      <c r="K28" s="18"/>
      <c r="L28" s="18">
        <v>1412.95</v>
      </c>
      <c r="M28" s="14"/>
      <c r="N28" s="14"/>
      <c r="O28" s="139"/>
      <c r="P28" s="115">
        <f t="shared" si="6"/>
        <v>4</v>
      </c>
      <c r="Q28" s="17">
        <v>43671</v>
      </c>
      <c r="R28" s="18">
        <v>1206.46</v>
      </c>
      <c r="S28" s="18"/>
      <c r="T28" s="14"/>
      <c r="U28" s="14"/>
      <c r="V28" s="117"/>
      <c r="W28" s="12"/>
      <c r="X28" s="12"/>
      <c r="Y28" s="12"/>
      <c r="Z28" s="1"/>
      <c r="AA28" s="112"/>
      <c r="AB28" s="111"/>
      <c r="AC28" s="16">
        <f t="shared" si="3"/>
        <v>7</v>
      </c>
      <c r="AD28" s="17">
        <v>43702</v>
      </c>
      <c r="AE28" s="18">
        <v>1398.5</v>
      </c>
      <c r="AF28" s="18"/>
      <c r="AG28" s="14"/>
      <c r="AH28" s="14"/>
      <c r="AI28" s="139">
        <v>36</v>
      </c>
      <c r="AJ28" s="115">
        <f t="shared" si="0"/>
        <v>4</v>
      </c>
      <c r="AK28" s="17">
        <v>43734</v>
      </c>
      <c r="AL28" s="275"/>
      <c r="AM28" s="276">
        <v>761.1</v>
      </c>
      <c r="AN28" s="22"/>
      <c r="AO28" s="408" t="s">
        <v>144</v>
      </c>
      <c r="AP28" s="141"/>
      <c r="AQ28" s="115">
        <f t="shared" si="1"/>
        <v>6</v>
      </c>
      <c r="AR28" s="17">
        <v>43764</v>
      </c>
      <c r="AS28" s="22">
        <v>1710.4</v>
      </c>
      <c r="AT28" s="22"/>
      <c r="AU28" s="22"/>
      <c r="AV28" s="408" t="s">
        <v>144</v>
      </c>
      <c r="AW28" s="115">
        <f t="shared" si="2"/>
        <v>2</v>
      </c>
      <c r="AX28" s="17">
        <v>43795</v>
      </c>
      <c r="AY28" s="22">
        <v>904.9</v>
      </c>
      <c r="AZ28" s="22"/>
      <c r="BA28" s="232">
        <v>148.30000000000001</v>
      </c>
      <c r="BB28" s="606"/>
      <c r="BC28" s="232"/>
      <c r="BD28" s="141"/>
    </row>
    <row r="29" spans="1:56" ht="12.6" customHeight="1" x14ac:dyDescent="0.25">
      <c r="A29" s="111"/>
      <c r="B29" s="4">
        <f t="shared" si="4"/>
        <v>7</v>
      </c>
      <c r="C29" s="3">
        <f t="shared" si="7"/>
        <v>43611</v>
      </c>
      <c r="D29" s="5">
        <v>995.48</v>
      </c>
      <c r="E29" s="5"/>
      <c r="F29" s="91"/>
      <c r="G29" s="92"/>
      <c r="H29" s="111"/>
      <c r="I29" s="16">
        <f t="shared" si="5"/>
        <v>3</v>
      </c>
      <c r="J29" s="17">
        <v>43642</v>
      </c>
      <c r="K29" s="18"/>
      <c r="L29" s="18">
        <v>1331.7</v>
      </c>
      <c r="M29" s="14"/>
      <c r="N29" s="14"/>
      <c r="O29" s="139"/>
      <c r="P29" s="115">
        <f t="shared" si="6"/>
        <v>5</v>
      </c>
      <c r="Q29" s="17">
        <v>43672</v>
      </c>
      <c r="R29" s="18"/>
      <c r="S29" s="18">
        <v>1176.4000000000001</v>
      </c>
      <c r="T29" s="14"/>
      <c r="U29" s="14"/>
      <c r="V29" s="76"/>
      <c r="W29" s="12"/>
      <c r="X29" s="12"/>
      <c r="Y29" s="12"/>
      <c r="Z29" s="1"/>
      <c r="AA29" s="112"/>
      <c r="AB29" s="111"/>
      <c r="AC29" s="16">
        <f t="shared" si="3"/>
        <v>1</v>
      </c>
      <c r="AD29" s="17">
        <v>43703</v>
      </c>
      <c r="AE29" s="18">
        <v>1378.3</v>
      </c>
      <c r="AF29" s="18"/>
      <c r="AG29" s="14"/>
      <c r="AH29" s="14"/>
      <c r="AI29" s="139">
        <v>69.5</v>
      </c>
      <c r="AJ29" s="115">
        <f t="shared" si="0"/>
        <v>5</v>
      </c>
      <c r="AK29" s="17">
        <v>43735</v>
      </c>
      <c r="AL29" s="275">
        <v>657.65</v>
      </c>
      <c r="AM29" s="275"/>
      <c r="AN29" s="243"/>
      <c r="AO29" s="409" t="s">
        <v>142</v>
      </c>
      <c r="AP29" s="667" t="s">
        <v>145</v>
      </c>
      <c r="AQ29" s="115">
        <f t="shared" si="1"/>
        <v>7</v>
      </c>
      <c r="AR29" s="17">
        <v>43765</v>
      </c>
      <c r="AS29" s="22"/>
      <c r="AT29" s="22">
        <v>1203</v>
      </c>
      <c r="AU29" s="22"/>
      <c r="AV29" s="409" t="s">
        <v>142</v>
      </c>
      <c r="AW29" s="115">
        <f t="shared" si="2"/>
        <v>3</v>
      </c>
      <c r="AX29" s="17">
        <v>43796</v>
      </c>
      <c r="AY29" s="22"/>
      <c r="AZ29" s="22">
        <v>809.7</v>
      </c>
      <c r="BA29" s="232">
        <v>171</v>
      </c>
      <c r="BB29" s="606"/>
      <c r="BC29" s="232"/>
      <c r="BD29" s="141"/>
    </row>
    <row r="30" spans="1:56" ht="12.6" customHeight="1" x14ac:dyDescent="0.25">
      <c r="A30" s="111"/>
      <c r="B30" s="4">
        <f t="shared" si="4"/>
        <v>1</v>
      </c>
      <c r="C30" s="3">
        <f t="shared" si="7"/>
        <v>43612</v>
      </c>
      <c r="D30" s="5"/>
      <c r="E30" s="5">
        <v>1224.3</v>
      </c>
      <c r="F30" s="91"/>
      <c r="G30" s="92"/>
      <c r="H30" s="111"/>
      <c r="I30" s="16">
        <f t="shared" si="5"/>
        <v>4</v>
      </c>
      <c r="J30" s="17">
        <v>43643</v>
      </c>
      <c r="K30" s="18">
        <v>1078.4100000000001</v>
      </c>
      <c r="L30" s="18"/>
      <c r="M30" s="14"/>
      <c r="N30" s="14"/>
      <c r="O30" s="139"/>
      <c r="P30" s="115">
        <f t="shared" si="6"/>
        <v>6</v>
      </c>
      <c r="Q30" s="17">
        <v>43673</v>
      </c>
      <c r="R30" s="18"/>
      <c r="S30" s="18">
        <v>1048.5999999999999</v>
      </c>
      <c r="T30" s="14"/>
      <c r="U30" s="14"/>
      <c r="V30" s="117"/>
      <c r="W30" s="12"/>
      <c r="X30" s="12"/>
      <c r="Y30" s="12"/>
      <c r="Z30" s="1"/>
      <c r="AA30" s="112"/>
      <c r="AB30" s="111"/>
      <c r="AC30" s="16">
        <f t="shared" si="3"/>
        <v>2</v>
      </c>
      <c r="AD30" s="17">
        <v>43704</v>
      </c>
      <c r="AE30" s="18"/>
      <c r="AF30" s="18"/>
      <c r="AG30" s="14"/>
      <c r="AH30" s="14">
        <v>1377.98</v>
      </c>
      <c r="AI30" s="139">
        <v>18</v>
      </c>
      <c r="AJ30" s="115">
        <f t="shared" si="0"/>
        <v>6</v>
      </c>
      <c r="AK30" s="17">
        <v>43736</v>
      </c>
      <c r="AL30" s="276">
        <f>720.9+762.84</f>
        <v>1483.74</v>
      </c>
      <c r="AM30" s="276"/>
      <c r="AN30" s="232"/>
      <c r="AO30" s="117"/>
      <c r="AP30" s="667"/>
      <c r="AQ30" s="115">
        <f t="shared" si="1"/>
        <v>1</v>
      </c>
      <c r="AR30" s="17">
        <v>43766</v>
      </c>
      <c r="AS30" s="276"/>
      <c r="AT30" s="276">
        <v>1136.3</v>
      </c>
      <c r="AU30" s="232"/>
      <c r="AV30" s="117"/>
      <c r="AW30" s="115">
        <f t="shared" si="2"/>
        <v>4</v>
      </c>
      <c r="AX30" s="17">
        <v>43797</v>
      </c>
      <c r="AY30" s="22"/>
      <c r="AZ30" s="22">
        <v>487.5</v>
      </c>
      <c r="BA30" s="232"/>
      <c r="BB30" s="232">
        <v>95</v>
      </c>
      <c r="BC30" s="14"/>
      <c r="BD30" s="141"/>
    </row>
    <row r="31" spans="1:56" ht="12.6" customHeight="1" x14ac:dyDescent="0.25">
      <c r="A31" s="111"/>
      <c r="B31" s="4">
        <f t="shared" si="4"/>
        <v>2</v>
      </c>
      <c r="C31" s="3">
        <f t="shared" si="7"/>
        <v>43613</v>
      </c>
      <c r="D31" s="5"/>
      <c r="E31" s="5">
        <v>1124.4000000000001</v>
      </c>
      <c r="F31" s="91"/>
      <c r="G31" s="92"/>
      <c r="H31" s="111"/>
      <c r="I31" s="16">
        <f t="shared" si="5"/>
        <v>5</v>
      </c>
      <c r="J31" s="17">
        <v>43644</v>
      </c>
      <c r="K31" s="18">
        <v>1478.3</v>
      </c>
      <c r="L31" s="18"/>
      <c r="M31" s="14"/>
      <c r="N31" s="14"/>
      <c r="O31" s="139"/>
      <c r="P31" s="115">
        <f t="shared" si="6"/>
        <v>7</v>
      </c>
      <c r="Q31" s="17">
        <v>43674</v>
      </c>
      <c r="R31" s="18">
        <v>716.7</v>
      </c>
      <c r="S31" s="18"/>
      <c r="T31" s="14"/>
      <c r="U31" s="14"/>
      <c r="V31" s="76"/>
      <c r="W31" s="12"/>
      <c r="X31" s="12"/>
      <c r="Y31" s="12"/>
      <c r="Z31" s="1"/>
      <c r="AA31" s="112"/>
      <c r="AB31" s="111"/>
      <c r="AC31" s="16">
        <f t="shared" si="3"/>
        <v>3</v>
      </c>
      <c r="AD31" s="17">
        <v>43705</v>
      </c>
      <c r="AE31" s="18">
        <v>1688.01</v>
      </c>
      <c r="AF31" s="18"/>
      <c r="AG31" s="14"/>
      <c r="AH31" s="14"/>
      <c r="AI31" s="139">
        <v>55.9</v>
      </c>
      <c r="AJ31" s="115">
        <f t="shared" si="0"/>
        <v>7</v>
      </c>
      <c r="AK31" s="17">
        <v>43737</v>
      </c>
      <c r="AL31" s="276"/>
      <c r="AM31" s="276">
        <v>1596.55</v>
      </c>
      <c r="AN31" s="232"/>
      <c r="AO31" s="117"/>
      <c r="AP31" s="667"/>
      <c r="AQ31" s="115">
        <f t="shared" si="1"/>
        <v>2</v>
      </c>
      <c r="AR31" s="17">
        <v>43767</v>
      </c>
      <c r="AS31" s="276">
        <v>830.8</v>
      </c>
      <c r="AT31" s="276"/>
      <c r="AU31" s="232"/>
      <c r="AV31" s="117"/>
      <c r="AW31" s="115">
        <f t="shared" si="2"/>
        <v>5</v>
      </c>
      <c r="AX31" s="17">
        <v>43798</v>
      </c>
      <c r="AY31" s="22">
        <v>1186.0999999999999</v>
      </c>
      <c r="AZ31" s="22"/>
      <c r="BA31" s="232"/>
      <c r="BB31" s="232">
        <v>613.26</v>
      </c>
      <c r="BC31" s="14"/>
      <c r="BD31" s="141"/>
    </row>
    <row r="32" spans="1:56" ht="12.6" customHeight="1" x14ac:dyDescent="0.25">
      <c r="A32" s="111"/>
      <c r="B32" s="4">
        <f t="shared" si="4"/>
        <v>3</v>
      </c>
      <c r="C32" s="3">
        <f t="shared" si="7"/>
        <v>43614</v>
      </c>
      <c r="D32" s="5">
        <v>927</v>
      </c>
      <c r="E32" s="5"/>
      <c r="F32" s="91"/>
      <c r="G32" s="92"/>
      <c r="H32" s="111"/>
      <c r="I32" s="16">
        <f t="shared" si="5"/>
        <v>6</v>
      </c>
      <c r="J32" s="17">
        <v>43645</v>
      </c>
      <c r="K32" s="18"/>
      <c r="L32" s="18">
        <v>947.4</v>
      </c>
      <c r="M32" s="14"/>
      <c r="N32" s="14"/>
      <c r="O32" s="237"/>
      <c r="P32" s="115">
        <f t="shared" si="6"/>
        <v>1</v>
      </c>
      <c r="Q32" s="17">
        <v>43675</v>
      </c>
      <c r="R32" s="18">
        <v>1458.34</v>
      </c>
      <c r="S32" s="18"/>
      <c r="T32" s="14"/>
      <c r="U32" s="14"/>
      <c r="V32" s="117"/>
      <c r="W32" s="12"/>
      <c r="X32" s="12"/>
      <c r="Y32" s="12"/>
      <c r="Z32" s="1"/>
      <c r="AA32" s="112"/>
      <c r="AB32" s="111"/>
      <c r="AC32" s="16">
        <f t="shared" si="3"/>
        <v>4</v>
      </c>
      <c r="AD32" s="17">
        <v>43706</v>
      </c>
      <c r="AE32" s="18">
        <v>1373.12</v>
      </c>
      <c r="AF32" s="18"/>
      <c r="AG32" s="14"/>
      <c r="AH32" s="14"/>
      <c r="AI32" s="139"/>
      <c r="AJ32" s="118">
        <f t="shared" si="0"/>
        <v>1</v>
      </c>
      <c r="AK32" s="17">
        <v>43738</v>
      </c>
      <c r="AL32" s="277"/>
      <c r="AM32" s="278">
        <f>619.7+268.4</f>
        <v>888.1</v>
      </c>
      <c r="AN32" s="235"/>
      <c r="AO32" s="117"/>
      <c r="AP32" s="667"/>
      <c r="AQ32" s="115">
        <f t="shared" si="1"/>
        <v>3</v>
      </c>
      <c r="AR32" s="17">
        <v>43768</v>
      </c>
      <c r="AS32" s="275">
        <v>754.4</v>
      </c>
      <c r="AT32" s="276"/>
      <c r="AU32" s="232"/>
      <c r="AV32" s="117"/>
      <c r="AW32" s="115">
        <f t="shared" si="2"/>
        <v>6</v>
      </c>
      <c r="AX32" s="17">
        <v>43799</v>
      </c>
      <c r="AY32" s="22">
        <v>338.85</v>
      </c>
      <c r="AZ32" s="22"/>
      <c r="BA32" s="232"/>
      <c r="BB32" s="232">
        <v>99.1</v>
      </c>
      <c r="BC32" s="18">
        <f>(501.38+458.5)-AY32</f>
        <v>621.03</v>
      </c>
      <c r="BD32" s="141"/>
    </row>
    <row r="33" spans="1:56" ht="12.6" customHeight="1" x14ac:dyDescent="0.25">
      <c r="A33" s="111"/>
      <c r="B33" s="4">
        <f t="shared" si="4"/>
        <v>4</v>
      </c>
      <c r="C33" s="3">
        <f t="shared" si="7"/>
        <v>43615</v>
      </c>
      <c r="D33" s="5">
        <v>885.9</v>
      </c>
      <c r="E33" s="5"/>
      <c r="F33" s="91"/>
      <c r="G33" s="92"/>
      <c r="H33" s="150"/>
      <c r="I33" s="24">
        <f t="shared" si="5"/>
        <v>7</v>
      </c>
      <c r="J33" s="17">
        <v>43646</v>
      </c>
      <c r="K33" s="25"/>
      <c r="L33" s="25">
        <v>626.1</v>
      </c>
      <c r="M33" s="26"/>
      <c r="N33" s="26"/>
      <c r="O33" s="139"/>
      <c r="P33" s="118">
        <f t="shared" si="6"/>
        <v>2</v>
      </c>
      <c r="Q33" s="17">
        <v>43676</v>
      </c>
      <c r="R33" s="25"/>
      <c r="S33" s="25">
        <f>675.95+381.6</f>
        <v>1057.5500000000002</v>
      </c>
      <c r="T33" s="26"/>
      <c r="U33" s="26"/>
      <c r="V33" s="117"/>
      <c r="W33" s="12" t="str">
        <f>IF(R33=0," ",R33)</f>
        <v xml:space="preserve"> </v>
      </c>
      <c r="X33" s="12"/>
      <c r="Y33" s="12" t="str">
        <f>IF(T33=0," ",T33)</f>
        <v xml:space="preserve"> </v>
      </c>
      <c r="Z33" s="1"/>
      <c r="AA33" s="112"/>
      <c r="AB33" s="111"/>
      <c r="AC33" s="24">
        <f t="shared" si="3"/>
        <v>5</v>
      </c>
      <c r="AD33" s="17">
        <v>43707</v>
      </c>
      <c r="AE33" s="18"/>
      <c r="AF33" s="25">
        <v>1143.5999999999999</v>
      </c>
      <c r="AG33" s="26"/>
      <c r="AH33" s="26"/>
      <c r="AI33" s="139"/>
      <c r="AJ33" s="403">
        <f t="shared" si="0"/>
        <v>2</v>
      </c>
      <c r="AK33" s="17">
        <v>43739</v>
      </c>
      <c r="AL33" s="253"/>
      <c r="AM33" s="255"/>
      <c r="AN33" s="256"/>
      <c r="AO33" s="1"/>
      <c r="AP33" s="667"/>
      <c r="AQ33" s="115">
        <f t="shared" si="1"/>
        <v>4</v>
      </c>
      <c r="AR33" s="17">
        <v>43769</v>
      </c>
      <c r="AS33" s="243"/>
      <c r="AT33" s="243">
        <v>1299.51</v>
      </c>
      <c r="AU33" s="232"/>
      <c r="AV33" s="1"/>
      <c r="AW33" s="633"/>
      <c r="AX33" s="310"/>
      <c r="AY33" s="242"/>
      <c r="AZ33" s="242"/>
      <c r="BA33" s="311"/>
      <c r="BB33" s="311"/>
      <c r="BC33" s="1"/>
      <c r="BD33" s="141"/>
    </row>
    <row r="34" spans="1:56" ht="12.6" customHeight="1" thickBot="1" x14ac:dyDescent="0.3">
      <c r="A34" s="111"/>
      <c r="B34" s="4">
        <f t="shared" si="4"/>
        <v>5</v>
      </c>
      <c r="C34" s="3">
        <f t="shared" si="7"/>
        <v>43616</v>
      </c>
      <c r="D34" s="5"/>
      <c r="E34" s="5">
        <v>1239.95</v>
      </c>
      <c r="F34" s="91"/>
      <c r="G34" s="92"/>
      <c r="H34" s="111"/>
      <c r="I34" s="28"/>
      <c r="J34" s="29"/>
      <c r="K34" s="30"/>
      <c r="L34" s="30"/>
      <c r="M34" s="7"/>
      <c r="N34" s="7"/>
      <c r="O34" s="112"/>
      <c r="P34" s="115">
        <f>IF(Q34="","",WEEKDAY(Q34,2))</f>
        <v>3</v>
      </c>
      <c r="Q34" s="17">
        <v>43677</v>
      </c>
      <c r="R34" s="25"/>
      <c r="S34" s="25">
        <v>1629.93</v>
      </c>
      <c r="T34" s="14"/>
      <c r="U34" s="14"/>
      <c r="V34" s="1"/>
      <c r="W34" s="12"/>
      <c r="X34" s="12"/>
      <c r="Y34" s="1"/>
      <c r="Z34" s="1"/>
      <c r="AA34" s="112"/>
      <c r="AB34" s="111"/>
      <c r="AC34" s="16">
        <f t="shared" si="3"/>
        <v>6</v>
      </c>
      <c r="AD34" s="17">
        <v>43708</v>
      </c>
      <c r="AE34" s="18"/>
      <c r="AF34" s="25">
        <v>1410.8</v>
      </c>
      <c r="AG34" s="26"/>
      <c r="AH34" s="26"/>
      <c r="AI34" s="112">
        <f>SUM(AI3:AI33)</f>
        <v>1209.3000000000002</v>
      </c>
      <c r="AJ34" s="119"/>
      <c r="AK34" s="254" t="s">
        <v>3</v>
      </c>
      <c r="AL34" s="254">
        <v>4</v>
      </c>
      <c r="AM34" s="254">
        <f>COUNT(AM3:AM33)</f>
        <v>17</v>
      </c>
      <c r="AN34" s="254">
        <f>COUNT(AN3:AN33)</f>
        <v>5</v>
      </c>
      <c r="AO34" s="1"/>
      <c r="AP34" s="667"/>
      <c r="AQ34" s="119"/>
      <c r="AR34" s="254" t="s">
        <v>3</v>
      </c>
      <c r="AS34" s="254">
        <f>COUNT(AS3:AS33)</f>
        <v>14</v>
      </c>
      <c r="AT34" s="254">
        <f>COUNT(AT3:AT33)</f>
        <v>14</v>
      </c>
      <c r="AU34" s="254">
        <v>5</v>
      </c>
      <c r="AV34" s="1"/>
      <c r="AW34" s="119"/>
      <c r="AX34" s="86" t="s">
        <v>3</v>
      </c>
      <c r="AY34" s="86">
        <f>COUNT(AY3:AY33)</f>
        <v>14</v>
      </c>
      <c r="AZ34" s="86">
        <f>COUNT(AZ3:AZ33)</f>
        <v>15</v>
      </c>
      <c r="BA34" s="86">
        <f>COUNT(BA3:BA33)</f>
        <v>6</v>
      </c>
      <c r="BB34" s="86">
        <f>COUNT(BB3:BB33)</f>
        <v>6</v>
      </c>
      <c r="BC34" s="1"/>
      <c r="BD34" s="141"/>
    </row>
    <row r="35" spans="1:56" ht="15.75" thickBot="1" x14ac:dyDescent="0.3">
      <c r="A35" s="111"/>
      <c r="B35" s="1"/>
      <c r="C35" s="10" t="s">
        <v>3</v>
      </c>
      <c r="D35" s="10">
        <f>COUNT(D4:D34)</f>
        <v>16</v>
      </c>
      <c r="E35" s="10">
        <f>COUNT(E4:E34)</f>
        <v>15</v>
      </c>
      <c r="F35" s="10">
        <f>COUNT(F4:F34)</f>
        <v>0</v>
      </c>
      <c r="G35" s="10">
        <f>COUNT(G4:G34)</f>
        <v>0</v>
      </c>
      <c r="H35" s="111"/>
      <c r="I35" s="117"/>
      <c r="J35" s="114" t="s">
        <v>3</v>
      </c>
      <c r="K35" s="114">
        <f>COUNT(K4:K34)</f>
        <v>10</v>
      </c>
      <c r="L35" s="114">
        <f>COUNT(L4:L34)</f>
        <v>16</v>
      </c>
      <c r="M35" s="10">
        <f>COUNT(M4:M34)</f>
        <v>4</v>
      </c>
      <c r="N35" s="10">
        <f>COUNT(N4:N34)</f>
        <v>0</v>
      </c>
      <c r="O35" s="112"/>
      <c r="P35" s="119"/>
      <c r="Q35" s="63" t="s">
        <v>3</v>
      </c>
      <c r="R35" s="64">
        <f>COUNT(R4:R34)</f>
        <v>16</v>
      </c>
      <c r="S35" s="65">
        <f>COUNT(S4:S34)</f>
        <v>14</v>
      </c>
      <c r="T35" s="114">
        <f>COUNT(T4:T34)</f>
        <v>0</v>
      </c>
      <c r="U35" s="114">
        <f>COUNT(U4:U34)</f>
        <v>2</v>
      </c>
      <c r="V35" s="1"/>
      <c r="W35" s="12"/>
      <c r="X35" s="5" t="s">
        <v>2</v>
      </c>
      <c r="Y35" s="91" t="s">
        <v>96</v>
      </c>
      <c r="Z35" s="91" t="s">
        <v>73</v>
      </c>
      <c r="AA35" s="120" t="s">
        <v>22</v>
      </c>
      <c r="AB35" s="111"/>
      <c r="AC35" s="117"/>
      <c r="AD35" s="176" t="s">
        <v>3</v>
      </c>
      <c r="AE35" s="177">
        <f>COUNT(AE4:AE34)</f>
        <v>18</v>
      </c>
      <c r="AF35" s="178">
        <f>COUNT(AF4:AF34)</f>
        <v>4</v>
      </c>
      <c r="AG35" s="177">
        <f>COUNT(AG4:AG34)</f>
        <v>0</v>
      </c>
      <c r="AH35" s="179">
        <f>COUNT(AH4:AH34)</f>
        <v>11</v>
      </c>
      <c r="AI35" s="112"/>
      <c r="AJ35" s="119"/>
      <c r="AK35" s="86" t="s">
        <v>143</v>
      </c>
      <c r="AL35" s="86"/>
      <c r="AM35" s="86">
        <v>1</v>
      </c>
      <c r="AN35" s="257">
        <v>1</v>
      </c>
      <c r="AO35" s="259" t="s">
        <v>146</v>
      </c>
      <c r="AP35" s="141"/>
      <c r="AQ35" s="119"/>
      <c r="AR35" s="86" t="s">
        <v>143</v>
      </c>
      <c r="AS35" s="86"/>
      <c r="AT35" s="86"/>
      <c r="AU35" s="257">
        <v>1</v>
      </c>
      <c r="AV35" s="108" t="s">
        <v>146</v>
      </c>
      <c r="AW35" s="119"/>
      <c r="AX35" s="86" t="s">
        <v>143</v>
      </c>
      <c r="AY35" s="86"/>
      <c r="AZ35" s="86">
        <v>1</v>
      </c>
      <c r="BA35" s="86">
        <v>1</v>
      </c>
      <c r="BB35" s="257"/>
      <c r="BC35" s="259" t="s">
        <v>189</v>
      </c>
      <c r="BD35" s="298" t="s">
        <v>190</v>
      </c>
    </row>
    <row r="36" spans="1:56" ht="15.75" thickBot="1" x14ac:dyDescent="0.3">
      <c r="A36" s="111"/>
      <c r="B36" s="1"/>
      <c r="C36" s="10" t="s">
        <v>13</v>
      </c>
      <c r="D36" s="140">
        <f>SUM(D4:D34)</f>
        <v>16255.77</v>
      </c>
      <c r="E36" s="140">
        <f>SUM(E4:E34)</f>
        <v>17136.399999999998</v>
      </c>
      <c r="F36" s="140">
        <f>SUM(F4:F34)</f>
        <v>0</v>
      </c>
      <c r="G36" s="140">
        <f>SUM(G4:G34)</f>
        <v>0</v>
      </c>
      <c r="H36" s="150">
        <f>SUM(D4:F34)</f>
        <v>33392.170000000006</v>
      </c>
      <c r="I36" s="76"/>
      <c r="J36" s="114" t="s">
        <v>13</v>
      </c>
      <c r="K36" s="67">
        <f>SUM(K4:K34)</f>
        <v>12253.07</v>
      </c>
      <c r="L36" s="67">
        <f>SUM(L4:L34)</f>
        <v>16676.25</v>
      </c>
      <c r="M36" s="140">
        <f>SUM(M4:M34)</f>
        <v>3880.58</v>
      </c>
      <c r="N36" s="140">
        <f>SUM(N4:N34)</f>
        <v>0</v>
      </c>
      <c r="O36" s="458">
        <f>SUM(K4:N33)</f>
        <v>32809.9</v>
      </c>
      <c r="P36" s="119"/>
      <c r="Q36" s="66" t="s">
        <v>13</v>
      </c>
      <c r="R36" s="67">
        <f>SUM(R4:R34)</f>
        <v>17915.129999999997</v>
      </c>
      <c r="S36" s="68">
        <f>SUM(S4:S34)</f>
        <v>15812.350000000002</v>
      </c>
      <c r="T36" s="67">
        <f>SUM(T4:T34)</f>
        <v>0</v>
      </c>
      <c r="U36" s="67">
        <f>SUM(U4:U34)</f>
        <v>1532.1</v>
      </c>
      <c r="V36" s="150">
        <f>SUM(R4:U34)</f>
        <v>35259.58</v>
      </c>
      <c r="W36" s="12"/>
      <c r="X36" s="3">
        <v>43648</v>
      </c>
      <c r="Y36" s="91">
        <v>3</v>
      </c>
      <c r="Z36" s="91"/>
      <c r="AA36" s="121"/>
      <c r="AB36" s="111"/>
      <c r="AC36" s="117"/>
      <c r="AD36" s="180" t="s">
        <v>13</v>
      </c>
      <c r="AE36" s="67">
        <f>SUM(AE4:AE34)</f>
        <v>19113.339999999997</v>
      </c>
      <c r="AF36" s="68">
        <f>SUM(AF4:AF34)</f>
        <v>3797</v>
      </c>
      <c r="AG36" s="67">
        <f>SUM(AG4:AG34)</f>
        <v>0</v>
      </c>
      <c r="AH36" s="181">
        <f>SUM(AH4:AH34)</f>
        <v>11779.88</v>
      </c>
      <c r="AI36" s="141">
        <f>SUM(AE4:AH34)</f>
        <v>34690.219999999994</v>
      </c>
      <c r="AJ36" s="119"/>
      <c r="AK36" s="86" t="s">
        <v>13</v>
      </c>
      <c r="AL36" s="244">
        <f>SUM(AL25:AL33)</f>
        <v>3815.66</v>
      </c>
      <c r="AM36" s="244">
        <f>SUM(AM3:AM33)</f>
        <v>18148.759999999998</v>
      </c>
      <c r="AN36" s="258">
        <f>SUM(AN3:AN33)</f>
        <v>4787.8599999999997</v>
      </c>
      <c r="AO36" s="260">
        <f>SUM(AL3:AN32)</f>
        <v>30955.48</v>
      </c>
      <c r="AP36" s="141"/>
      <c r="AQ36" s="119"/>
      <c r="AR36" s="86" t="s">
        <v>13</v>
      </c>
      <c r="AS36" s="244">
        <f>SUM(AS3:AS33)</f>
        <v>14125.789999999997</v>
      </c>
      <c r="AT36" s="244">
        <f>SUM(AT3:AT33)</f>
        <v>13740.66</v>
      </c>
      <c r="AU36" s="244">
        <f>SUM(AU3:AU33)</f>
        <v>3372.99</v>
      </c>
      <c r="AV36" s="628">
        <f>SUM(AS3:AU33)</f>
        <v>31239.439999999995</v>
      </c>
      <c r="AW36" s="119"/>
      <c r="AX36" s="86" t="s">
        <v>13</v>
      </c>
      <c r="AY36" s="244">
        <f>SUM(AY3:AY33)</f>
        <v>13429.570000000002</v>
      </c>
      <c r="AZ36" s="244">
        <f>SUM(AZ3:AZ33)</f>
        <v>13747.990000000002</v>
      </c>
      <c r="BA36" s="244">
        <f>SUM(BA3:BA33)</f>
        <v>2269.8000000000002</v>
      </c>
      <c r="BB36" s="258">
        <f>SUM(BB3:BB33)</f>
        <v>1339</v>
      </c>
      <c r="BC36" s="298">
        <f>SUM(AY3:AZ32)+BA15+BA16+BC32</f>
        <v>28986.99</v>
      </c>
      <c r="BD36" s="298">
        <f>SUM(BA23:BB32)</f>
        <v>2420.3999999999996</v>
      </c>
    </row>
    <row r="37" spans="1:56" x14ac:dyDescent="0.25">
      <c r="A37" s="111"/>
      <c r="B37" s="1"/>
      <c r="C37" s="10" t="s">
        <v>4</v>
      </c>
      <c r="D37" s="10">
        <v>15814.87</v>
      </c>
      <c r="E37" s="10">
        <v>15679.25</v>
      </c>
      <c r="F37" s="10"/>
      <c r="G37" s="10"/>
      <c r="H37" s="111"/>
      <c r="I37" s="117"/>
      <c r="J37" s="114" t="s">
        <v>22</v>
      </c>
      <c r="K37" s="67">
        <v>11684.77</v>
      </c>
      <c r="L37" s="67">
        <v>14949.4</v>
      </c>
      <c r="M37" s="10"/>
      <c r="N37" s="10"/>
      <c r="O37" s="112"/>
      <c r="P37" s="119"/>
      <c r="Q37" s="66" t="s">
        <v>22</v>
      </c>
      <c r="R37" s="67">
        <v>17231.86</v>
      </c>
      <c r="S37" s="68">
        <v>14644.26</v>
      </c>
      <c r="T37" s="114"/>
      <c r="U37" s="114">
        <v>1447.4</v>
      </c>
      <c r="V37" s="12"/>
      <c r="W37" s="12"/>
      <c r="X37" s="3">
        <v>43649</v>
      </c>
      <c r="Y37" s="91">
        <v>3</v>
      </c>
      <c r="Z37" s="91"/>
      <c r="AA37" s="121"/>
      <c r="AB37" s="111"/>
      <c r="AC37" s="117"/>
      <c r="AD37" s="180" t="s">
        <v>22</v>
      </c>
      <c r="AE37" s="67">
        <v>19184.04</v>
      </c>
      <c r="AF37" s="68">
        <v>3422.9</v>
      </c>
      <c r="AG37" s="114"/>
      <c r="AH37" s="181">
        <v>10358.68</v>
      </c>
      <c r="AI37" s="141"/>
      <c r="AJ37" s="119"/>
      <c r="AK37" s="86" t="s">
        <v>22</v>
      </c>
      <c r="AL37" s="244">
        <f>3315.16+16</f>
        <v>3331.16</v>
      </c>
      <c r="AM37" s="244">
        <v>15758.81</v>
      </c>
      <c r="AN37" s="244">
        <v>4370.82</v>
      </c>
      <c r="AO37" s="12"/>
      <c r="AP37" s="141"/>
      <c r="AQ37" s="119"/>
      <c r="AR37" s="86" t="s">
        <v>22</v>
      </c>
      <c r="AS37" s="244">
        <v>11831.39</v>
      </c>
      <c r="AT37" s="244">
        <v>12143.31</v>
      </c>
      <c r="AU37" s="244">
        <v>2674.84</v>
      </c>
      <c r="AV37" s="12"/>
      <c r="AW37" s="119"/>
      <c r="AX37" s="86" t="s">
        <v>22</v>
      </c>
      <c r="AY37" s="244">
        <v>10499.12</v>
      </c>
      <c r="AZ37" s="244">
        <v>10580.94</v>
      </c>
      <c r="BA37" s="244">
        <v>1901.5</v>
      </c>
      <c r="BB37" s="244">
        <v>681.74</v>
      </c>
      <c r="BC37" s="12"/>
      <c r="BD37" s="141"/>
    </row>
    <row r="38" spans="1:56" outlineLevel="1" x14ac:dyDescent="0.25">
      <c r="A38" s="111"/>
      <c r="B38" s="1"/>
      <c r="C38" s="10" t="s">
        <v>5</v>
      </c>
      <c r="D38" s="142">
        <f>D36-D37</f>
        <v>440.89999999999964</v>
      </c>
      <c r="E38" s="142">
        <f>E36-E37</f>
        <v>1457.1499999999978</v>
      </c>
      <c r="F38" s="144">
        <f>F36-F37</f>
        <v>0</v>
      </c>
      <c r="G38" s="144">
        <f>G36-G37</f>
        <v>0</v>
      </c>
      <c r="H38" s="111"/>
      <c r="I38" s="117"/>
      <c r="J38" s="114" t="s">
        <v>5</v>
      </c>
      <c r="K38" s="69">
        <f>K36-K37</f>
        <v>568.29999999999927</v>
      </c>
      <c r="L38" s="69">
        <f>L36-L37</f>
        <v>1726.8500000000004</v>
      </c>
      <c r="M38" s="142">
        <f>ABS(M36-M37)</f>
        <v>3880.58</v>
      </c>
      <c r="N38" s="142">
        <f>ABS(N36-N37)</f>
        <v>0</v>
      </c>
      <c r="O38" s="112"/>
      <c r="P38" s="119"/>
      <c r="Q38" s="66" t="s">
        <v>5</v>
      </c>
      <c r="R38" s="69">
        <f>R36-R37</f>
        <v>683.2699999999968</v>
      </c>
      <c r="S38" s="70">
        <f>S36-S37</f>
        <v>1168.090000000002</v>
      </c>
      <c r="T38" s="69">
        <f>ABS(T36-T37)</f>
        <v>0</v>
      </c>
      <c r="U38" s="69">
        <f>ABS(U36-U37)</f>
        <v>84.699999999999818</v>
      </c>
      <c r="V38" s="1"/>
      <c r="W38" s="1"/>
      <c r="X38" s="3">
        <v>43650</v>
      </c>
      <c r="Y38" s="91">
        <v>2.5</v>
      </c>
      <c r="Z38" s="91"/>
      <c r="AA38" s="121"/>
      <c r="AB38" s="111"/>
      <c r="AC38" s="117"/>
      <c r="AD38" s="180" t="s">
        <v>5</v>
      </c>
      <c r="AE38" s="69">
        <f>AE36-AE37</f>
        <v>-70.700000000004366</v>
      </c>
      <c r="AF38" s="70">
        <f>AF36-AF37</f>
        <v>374.09999999999991</v>
      </c>
      <c r="AG38" s="69">
        <f>ABS(AG36-AG37)</f>
        <v>0</v>
      </c>
      <c r="AH38" s="182">
        <f>ABS(AH36-AH37)</f>
        <v>1421.1999999999989</v>
      </c>
      <c r="AI38" s="112"/>
      <c r="AJ38" s="124"/>
      <c r="AK38" s="86" t="s">
        <v>5</v>
      </c>
      <c r="AL38" s="89">
        <f>AL36-AL37</f>
        <v>484.5</v>
      </c>
      <c r="AM38" s="89">
        <f>AM36-AM37</f>
        <v>2389.9499999999989</v>
      </c>
      <c r="AN38" s="89">
        <f>ABS(AN36-AN37)</f>
        <v>417.03999999999996</v>
      </c>
      <c r="AO38" s="1"/>
      <c r="AP38" s="112"/>
      <c r="AQ38" s="124"/>
      <c r="AR38" s="86" t="s">
        <v>5</v>
      </c>
      <c r="AS38" s="89">
        <f>AS36-AS37</f>
        <v>2294.3999999999978</v>
      </c>
      <c r="AT38" s="89">
        <f>AT36-AT37</f>
        <v>1597.3500000000004</v>
      </c>
      <c r="AU38" s="89">
        <f>ABS(AU36-AU37)</f>
        <v>698.14999999999964</v>
      </c>
      <c r="AV38" s="1"/>
      <c r="AW38" s="124"/>
      <c r="AX38" s="86" t="s">
        <v>5</v>
      </c>
      <c r="AY38" s="89">
        <f>AY36-AY37</f>
        <v>2930.4500000000007</v>
      </c>
      <c r="AZ38" s="89">
        <f>AZ36-AZ37</f>
        <v>3167.0500000000011</v>
      </c>
      <c r="BA38" s="89">
        <f>ABS(BA36-BA37)</f>
        <v>368.30000000000018</v>
      </c>
      <c r="BB38" s="89">
        <f>ABS(BB36-BB37)</f>
        <v>657.26</v>
      </c>
      <c r="BC38" s="1"/>
      <c r="BD38" s="112"/>
    </row>
    <row r="39" spans="1:56" outlineLevel="1" x14ac:dyDescent="0.25">
      <c r="A39" s="111"/>
      <c r="B39" s="1"/>
      <c r="C39" s="10" t="s">
        <v>8</v>
      </c>
      <c r="D39" s="143">
        <f>D38*1%</f>
        <v>4.4089999999999963</v>
      </c>
      <c r="E39" s="143">
        <f>E38*1%</f>
        <v>14.571499999999979</v>
      </c>
      <c r="F39" s="143">
        <f>F38*1%</f>
        <v>0</v>
      </c>
      <c r="G39" s="143">
        <f>G38*1%</f>
        <v>0</v>
      </c>
      <c r="H39" s="111"/>
      <c r="I39" s="117"/>
      <c r="J39" s="114" t="s">
        <v>8</v>
      </c>
      <c r="K39" s="71">
        <f>K38*1%</f>
        <v>5.6829999999999927</v>
      </c>
      <c r="L39" s="71">
        <f>L38*1%</f>
        <v>17.268500000000003</v>
      </c>
      <c r="M39" s="143">
        <f>M38*1%</f>
        <v>38.805799999999998</v>
      </c>
      <c r="N39" s="143">
        <f>N38*1%</f>
        <v>0</v>
      </c>
      <c r="O39" s="141"/>
      <c r="P39" s="119"/>
      <c r="Q39" s="66" t="s">
        <v>74</v>
      </c>
      <c r="R39" s="71">
        <f>R38*1%</f>
        <v>6.832699999999968</v>
      </c>
      <c r="S39" s="72">
        <f>S38*1%</f>
        <v>11.680900000000021</v>
      </c>
      <c r="T39" s="122">
        <f>T38*1%</f>
        <v>0</v>
      </c>
      <c r="U39" s="122">
        <f>U38*1%</f>
        <v>0.8469999999999982</v>
      </c>
      <c r="V39" s="1"/>
      <c r="W39" s="1"/>
      <c r="X39" s="3">
        <v>43651</v>
      </c>
      <c r="Y39" s="91">
        <v>8.5</v>
      </c>
      <c r="Z39" s="91"/>
      <c r="AA39" s="121"/>
      <c r="AB39" s="111"/>
      <c r="AC39" s="117"/>
      <c r="AD39" s="180" t="s">
        <v>74</v>
      </c>
      <c r="AE39" s="71">
        <f>AE38*1%</f>
        <v>-0.7070000000000437</v>
      </c>
      <c r="AF39" s="72">
        <f>AF38*1%</f>
        <v>3.7409999999999992</v>
      </c>
      <c r="AG39" s="122">
        <f>AG38*1%</f>
        <v>0</v>
      </c>
      <c r="AH39" s="193">
        <f>AH38*1%</f>
        <v>14.211999999999989</v>
      </c>
      <c r="AI39" s="112"/>
      <c r="AJ39" s="119"/>
      <c r="AK39" s="86" t="s">
        <v>74</v>
      </c>
      <c r="AL39" s="90">
        <f>AL38*1%</f>
        <v>4.8449999999999998</v>
      </c>
      <c r="AM39" s="90">
        <f>AM38*1%</f>
        <v>23.899499999999989</v>
      </c>
      <c r="AN39" s="90">
        <f>AN38*1%</f>
        <v>4.1703999999999999</v>
      </c>
      <c r="AO39" s="1"/>
      <c r="AP39" s="112"/>
      <c r="AQ39" s="119"/>
      <c r="AR39" s="86" t="s">
        <v>74</v>
      </c>
      <c r="AS39" s="90">
        <f>AS38*1%</f>
        <v>22.943999999999978</v>
      </c>
      <c r="AT39" s="90">
        <f>AT38*1%</f>
        <v>15.973500000000003</v>
      </c>
      <c r="AU39" s="90">
        <f>AU38*1%</f>
        <v>6.9814999999999969</v>
      </c>
      <c r="AV39" s="1"/>
      <c r="AW39" s="119"/>
      <c r="AX39" s="86" t="s">
        <v>74</v>
      </c>
      <c r="AY39" s="90">
        <f>AY38*1%</f>
        <v>29.304500000000008</v>
      </c>
      <c r="AZ39" s="90">
        <f>AZ38*1%</f>
        <v>31.670500000000011</v>
      </c>
      <c r="BA39" s="90">
        <f>BA38*1%</f>
        <v>3.683000000000002</v>
      </c>
      <c r="BB39" s="90">
        <f>BB38*1%</f>
        <v>6.5726000000000004</v>
      </c>
      <c r="BC39" s="1"/>
      <c r="BD39" s="141"/>
    </row>
    <row r="40" spans="1:56" outlineLevel="1" x14ac:dyDescent="0.25">
      <c r="A40" s="111"/>
      <c r="B40" s="1"/>
      <c r="C40" s="10" t="s">
        <v>6</v>
      </c>
      <c r="D40" s="143">
        <f>3%*D37</f>
        <v>474.4461</v>
      </c>
      <c r="E40" s="143">
        <f>3%*E37</f>
        <v>470.3775</v>
      </c>
      <c r="F40" s="143">
        <f>3%*F37</f>
        <v>0</v>
      </c>
      <c r="G40" s="143">
        <f>3%*G37</f>
        <v>0</v>
      </c>
      <c r="H40" s="111"/>
      <c r="I40" s="117"/>
      <c r="J40" s="114" t="s">
        <v>6</v>
      </c>
      <c r="K40" s="71">
        <f>3%*K37</f>
        <v>350.54309999999998</v>
      </c>
      <c r="L40" s="71">
        <f>3%*L37</f>
        <v>448.48199999999997</v>
      </c>
      <c r="M40" s="143">
        <f>3%*M37</f>
        <v>0</v>
      </c>
      <c r="N40" s="143">
        <f>3%*N37</f>
        <v>0</v>
      </c>
      <c r="O40" s="141"/>
      <c r="P40" s="119"/>
      <c r="Q40" s="66" t="s">
        <v>75</v>
      </c>
      <c r="R40" s="71">
        <f>3%*R37</f>
        <v>516.95579999999995</v>
      </c>
      <c r="S40" s="72">
        <f>3%*S37</f>
        <v>439.32779999999997</v>
      </c>
      <c r="T40" s="122">
        <f>3%*T37</f>
        <v>0</v>
      </c>
      <c r="U40" s="122">
        <f>3%*U37</f>
        <v>43.422000000000004</v>
      </c>
      <c r="V40" s="1"/>
      <c r="W40" s="1"/>
      <c r="X40" s="3">
        <v>43652</v>
      </c>
      <c r="Y40" s="91">
        <v>4.5</v>
      </c>
      <c r="Z40" s="91"/>
      <c r="AA40" s="121"/>
      <c r="AB40" s="111"/>
      <c r="AC40" s="117"/>
      <c r="AD40" s="180" t="s">
        <v>75</v>
      </c>
      <c r="AE40" s="71">
        <f>3%*AE37</f>
        <v>575.52120000000002</v>
      </c>
      <c r="AF40" s="72">
        <f>3%*AF37</f>
        <v>102.687</v>
      </c>
      <c r="AG40" s="122">
        <f>3%*AG37</f>
        <v>0</v>
      </c>
      <c r="AH40" s="183">
        <f>3%*AH37</f>
        <v>310.7604</v>
      </c>
      <c r="AI40" s="112"/>
      <c r="AJ40" s="119"/>
      <c r="AK40" s="86" t="s">
        <v>75</v>
      </c>
      <c r="AL40" s="90">
        <f>3%*AL37</f>
        <v>99.934799999999996</v>
      </c>
      <c r="AM40" s="90">
        <f>3%*AM37</f>
        <v>472.76429999999999</v>
      </c>
      <c r="AN40" s="90">
        <f>3%*AN37</f>
        <v>131.12459999999999</v>
      </c>
      <c r="AO40" s="1"/>
      <c r="AP40" s="112"/>
      <c r="AQ40" s="119"/>
      <c r="AR40" s="86" t="s">
        <v>75</v>
      </c>
      <c r="AS40" s="90">
        <f>3%*AS37</f>
        <v>354.94169999999997</v>
      </c>
      <c r="AT40" s="90">
        <f>3%*AT37</f>
        <v>364.29929999999996</v>
      </c>
      <c r="AU40" s="90">
        <f>3%*AU37</f>
        <v>80.245199999999997</v>
      </c>
      <c r="AV40" s="1"/>
      <c r="AW40" s="119"/>
      <c r="AX40" s="86" t="s">
        <v>75</v>
      </c>
      <c r="AY40" s="90">
        <f>3%*AY37</f>
        <v>314.97360000000003</v>
      </c>
      <c r="AZ40" s="90">
        <f>3%*AZ37</f>
        <v>317.4282</v>
      </c>
      <c r="BA40" s="90">
        <f>3%*BA37</f>
        <v>57.044999999999995</v>
      </c>
      <c r="BB40" s="90">
        <f>3%*BB37</f>
        <v>20.452200000000001</v>
      </c>
      <c r="BC40" s="1"/>
      <c r="BD40" s="70"/>
    </row>
    <row r="41" spans="1:56" outlineLevel="1" x14ac:dyDescent="0.25">
      <c r="A41" s="111"/>
      <c r="B41" s="1"/>
      <c r="C41" s="10" t="s">
        <v>7</v>
      </c>
      <c r="D41" s="144">
        <v>50</v>
      </c>
      <c r="E41" s="144">
        <v>50</v>
      </c>
      <c r="F41" s="144">
        <v>50</v>
      </c>
      <c r="G41" s="144">
        <v>50</v>
      </c>
      <c r="H41" s="111"/>
      <c r="I41" s="117"/>
      <c r="J41" s="114" t="s">
        <v>7</v>
      </c>
      <c r="K41" s="73">
        <v>50</v>
      </c>
      <c r="L41" s="73">
        <v>50</v>
      </c>
      <c r="M41" s="144">
        <v>50</v>
      </c>
      <c r="N41" s="144">
        <v>50</v>
      </c>
      <c r="O41" s="112"/>
      <c r="P41" s="119"/>
      <c r="Q41" s="66" t="s">
        <v>7</v>
      </c>
      <c r="R41" s="73">
        <v>50</v>
      </c>
      <c r="S41" s="74">
        <v>50</v>
      </c>
      <c r="T41" s="73">
        <v>50</v>
      </c>
      <c r="U41" s="73"/>
      <c r="V41" s="1"/>
      <c r="W41" s="1"/>
      <c r="X41" s="3">
        <v>43653</v>
      </c>
      <c r="Y41" s="41">
        <v>8.5</v>
      </c>
      <c r="Z41" s="5">
        <v>1025.5999999999999</v>
      </c>
      <c r="AA41" s="123">
        <v>1027.0999999999999</v>
      </c>
      <c r="AB41" s="111"/>
      <c r="AC41" s="117"/>
      <c r="AD41" s="180" t="s">
        <v>7</v>
      </c>
      <c r="AE41" s="73">
        <v>50</v>
      </c>
      <c r="AF41" s="74">
        <v>50</v>
      </c>
      <c r="AG41" s="73">
        <v>50</v>
      </c>
      <c r="AH41" s="184"/>
      <c r="AI41" s="112"/>
      <c r="AJ41" s="119"/>
      <c r="AK41" s="86" t="s">
        <v>7</v>
      </c>
      <c r="AL41" s="88"/>
      <c r="AM41" s="88">
        <v>50</v>
      </c>
      <c r="AN41" s="88"/>
      <c r="AO41" s="1"/>
      <c r="AP41" s="141"/>
      <c r="AQ41" s="119"/>
      <c r="AR41" s="86" t="s">
        <v>7</v>
      </c>
      <c r="AS41" s="88">
        <v>180</v>
      </c>
      <c r="AT41" s="88">
        <v>50</v>
      </c>
      <c r="AU41" s="88"/>
      <c r="AV41" s="1"/>
      <c r="AW41" s="119"/>
      <c r="AX41" s="86" t="s">
        <v>7</v>
      </c>
      <c r="AY41" s="88">
        <v>150</v>
      </c>
      <c r="AZ41" s="88">
        <v>50</v>
      </c>
      <c r="BA41" s="88"/>
      <c r="BB41" s="88"/>
      <c r="BC41" s="1"/>
      <c r="BD41" s="141"/>
    </row>
    <row r="42" spans="1:56" ht="15.75" outlineLevel="1" thickBot="1" x14ac:dyDescent="0.3">
      <c r="A42" s="111"/>
      <c r="B42" s="1"/>
      <c r="C42" s="10" t="s">
        <v>14</v>
      </c>
      <c r="D42" s="144">
        <f>20*D35</f>
        <v>320</v>
      </c>
      <c r="E42" s="144">
        <f>20*E35</f>
        <v>300</v>
      </c>
      <c r="F42" s="144">
        <f>20*F35</f>
        <v>0</v>
      </c>
      <c r="G42" s="144">
        <f>20*G35</f>
        <v>0</v>
      </c>
      <c r="H42" s="111"/>
      <c r="I42" s="117"/>
      <c r="J42" s="114" t="s">
        <v>14</v>
      </c>
      <c r="K42" s="73">
        <f>20*K35</f>
        <v>200</v>
      </c>
      <c r="L42" s="73">
        <f>20*L35</f>
        <v>320</v>
      </c>
      <c r="M42" s="144">
        <f>20*M35</f>
        <v>80</v>
      </c>
      <c r="N42" s="144">
        <f>20*N35</f>
        <v>0</v>
      </c>
      <c r="O42" s="74"/>
      <c r="P42" s="119"/>
      <c r="Q42" s="66" t="s">
        <v>14</v>
      </c>
      <c r="R42" s="73">
        <f>20*R35</f>
        <v>320</v>
      </c>
      <c r="S42" s="74">
        <f>20*S35</f>
        <v>280</v>
      </c>
      <c r="T42" s="73">
        <f>20*T35</f>
        <v>0</v>
      </c>
      <c r="U42" s="73"/>
      <c r="V42" s="1"/>
      <c r="W42" s="1"/>
      <c r="X42" s="3">
        <v>43664</v>
      </c>
      <c r="Y42" s="91">
        <v>2</v>
      </c>
      <c r="Z42" s="91"/>
      <c r="AA42" s="121"/>
      <c r="AB42" s="111"/>
      <c r="AC42" s="117"/>
      <c r="AD42" s="180" t="s">
        <v>14</v>
      </c>
      <c r="AE42" s="73">
        <f>20*AE35</f>
        <v>360</v>
      </c>
      <c r="AF42" s="74">
        <f>20*AF35</f>
        <v>80</v>
      </c>
      <c r="AG42" s="73">
        <f>20*AG35</f>
        <v>0</v>
      </c>
      <c r="AH42" s="184">
        <f>20*AH35</f>
        <v>220</v>
      </c>
      <c r="AI42" s="112"/>
      <c r="AJ42" s="119"/>
      <c r="AK42" s="86" t="s">
        <v>14</v>
      </c>
      <c r="AL42" s="88">
        <f>20*(AL34-AL35)+(10*AL35)</f>
        <v>80</v>
      </c>
      <c r="AM42" s="88">
        <f>20*(AM34-AM35)+(10*AM35)</f>
        <v>330</v>
      </c>
      <c r="AN42" s="88">
        <f>20*(AN34-AN35)+(10*AN35)+40</f>
        <v>130</v>
      </c>
      <c r="AO42" s="1"/>
      <c r="AP42" s="74"/>
      <c r="AQ42" s="119"/>
      <c r="AR42" s="86" t="s">
        <v>14</v>
      </c>
      <c r="AS42" s="88">
        <f>20*(AS34-AS35)+(10*AS35)</f>
        <v>280</v>
      </c>
      <c r="AT42" s="88">
        <f>20*(AT34-AT35)+(10*AT35)</f>
        <v>280</v>
      </c>
      <c r="AU42" s="88">
        <f>(4*20)+10</f>
        <v>90</v>
      </c>
      <c r="AV42" s="1"/>
      <c r="AW42" s="119"/>
      <c r="AX42" s="86" t="s">
        <v>14</v>
      </c>
      <c r="AY42" s="88">
        <f>20*(AY34-AY35)+(10*AY35)</f>
        <v>280</v>
      </c>
      <c r="AZ42" s="88">
        <f>20*(AZ34-AZ35)+(10*AZ35)</f>
        <v>290</v>
      </c>
      <c r="BA42" s="88">
        <f>20*(BA34-BA35)+(10*BA35)</f>
        <v>110</v>
      </c>
      <c r="BB42" s="88">
        <f>20*(BB34-BB35)+(10*BB35)</f>
        <v>120</v>
      </c>
      <c r="BC42" s="1"/>
      <c r="BD42" s="70"/>
    </row>
    <row r="43" spans="1:56" ht="15.75" thickBot="1" x14ac:dyDescent="0.3">
      <c r="A43" s="111"/>
      <c r="B43" s="663" t="s">
        <v>15</v>
      </c>
      <c r="C43" s="664"/>
      <c r="D43" s="6">
        <f>D41+D40+D39+D42</f>
        <v>848.85509999999999</v>
      </c>
      <c r="E43" s="6">
        <f>E41+E40+E39+E42</f>
        <v>834.94900000000007</v>
      </c>
      <c r="F43" s="6">
        <f>F41+F40+F39+F42</f>
        <v>50</v>
      </c>
      <c r="G43" s="6">
        <f>G41+G40+G39+G42</f>
        <v>50</v>
      </c>
      <c r="H43" s="111"/>
      <c r="I43" s="117"/>
      <c r="J43" s="116" t="s">
        <v>26</v>
      </c>
      <c r="K43" s="76">
        <v>298.10000000000002</v>
      </c>
      <c r="L43" s="145">
        <f>160.36+130</f>
        <v>290.36</v>
      </c>
      <c r="M43" s="144"/>
      <c r="N43" s="144"/>
      <c r="O43" s="112"/>
      <c r="P43" s="124"/>
      <c r="Q43" s="75" t="s">
        <v>94</v>
      </c>
      <c r="R43" s="76">
        <v>298.10000000000002</v>
      </c>
      <c r="S43" s="77">
        <f>160.36</f>
        <v>160.36000000000001</v>
      </c>
      <c r="T43" s="73"/>
      <c r="U43" s="69"/>
      <c r="V43" s="12"/>
      <c r="W43" s="1"/>
      <c r="X43" s="3">
        <v>43665</v>
      </c>
      <c r="Y43" s="41">
        <v>2</v>
      </c>
      <c r="Z43" s="91">
        <v>506.5</v>
      </c>
      <c r="AA43" s="121">
        <v>420.3</v>
      </c>
      <c r="AB43" s="150"/>
      <c r="AC43" s="76"/>
      <c r="AD43" s="198" t="s">
        <v>94</v>
      </c>
      <c r="AE43" s="196">
        <v>300</v>
      </c>
      <c r="AF43" s="77">
        <f>160.36</f>
        <v>160.36000000000001</v>
      </c>
      <c r="AG43" s="73"/>
      <c r="AH43" s="184"/>
      <c r="AI43" s="141"/>
      <c r="AJ43" s="124"/>
      <c r="AK43" s="245" t="s">
        <v>94</v>
      </c>
      <c r="AL43" s="246"/>
      <c r="AM43" s="247"/>
      <c r="AN43" s="88"/>
      <c r="AO43" s="12"/>
      <c r="AP43" s="112"/>
      <c r="AQ43" s="124"/>
      <c r="AR43" s="245" t="s">
        <v>94</v>
      </c>
      <c r="AS43" s="246">
        <v>298.10000000000002</v>
      </c>
      <c r="AT43" s="247">
        <v>160.36000000000001</v>
      </c>
      <c r="AU43" s="88"/>
      <c r="AV43" s="12"/>
      <c r="AW43" s="124"/>
      <c r="AX43" s="245" t="s">
        <v>94</v>
      </c>
      <c r="AY43" s="246">
        <v>298.10000000000002</v>
      </c>
      <c r="AZ43" s="247">
        <v>160.36000000000001</v>
      </c>
      <c r="BA43" s="88"/>
      <c r="BB43" s="88"/>
      <c r="BC43" s="12"/>
      <c r="BD43" s="112"/>
    </row>
    <row r="44" spans="1:56" ht="15.75" thickBot="1" x14ac:dyDescent="0.3">
      <c r="A44" s="111"/>
      <c r="B44" s="1"/>
      <c r="C44" s="11"/>
      <c r="D44" s="1"/>
      <c r="E44" s="11"/>
      <c r="F44" s="1"/>
      <c r="G44" s="1"/>
      <c r="H44" s="111"/>
      <c r="I44" s="32"/>
      <c r="J44" s="33" t="s">
        <v>15</v>
      </c>
      <c r="K44" s="34">
        <f>K41+K40+K39+K42-K43</f>
        <v>308.12609999999995</v>
      </c>
      <c r="L44" s="27">
        <f>L41+L40+L39+L42-L43+1</f>
        <v>546.39049999999997</v>
      </c>
      <c r="M44" s="6">
        <f>M41+M40+M39+M42-M43</f>
        <v>168.8058</v>
      </c>
      <c r="N44" s="6">
        <f>N41+N40+N39+N42-N43</f>
        <v>50</v>
      </c>
      <c r="O44" s="141"/>
      <c r="P44" s="124"/>
      <c r="Q44" s="665" t="s">
        <v>79</v>
      </c>
      <c r="R44" s="666"/>
      <c r="S44" s="78">
        <v>140</v>
      </c>
      <c r="T44" s="69">
        <f>S39+S40+S41+S42</f>
        <v>781.00869999999998</v>
      </c>
      <c r="U44" s="73"/>
      <c r="V44" s="12"/>
      <c r="W44" s="1"/>
      <c r="X44" s="3">
        <v>43672</v>
      </c>
      <c r="Y44" s="91">
        <v>8.5</v>
      </c>
      <c r="Z44" s="91"/>
      <c r="AA44" s="121"/>
      <c r="AB44" s="150"/>
      <c r="AC44" s="76"/>
      <c r="AD44" s="185" t="s">
        <v>111</v>
      </c>
      <c r="AE44" s="197">
        <v>298.10000000000002</v>
      </c>
      <c r="AF44" s="78"/>
      <c r="AG44" s="69">
        <f>AF39+AF40+AF41+AF42</f>
        <v>236.428</v>
      </c>
      <c r="AH44" s="184"/>
      <c r="AI44" s="141"/>
      <c r="AJ44" s="124"/>
      <c r="AK44" s="248" t="s">
        <v>26</v>
      </c>
      <c r="AL44" s="249"/>
      <c r="AM44" s="250">
        <f>160+140</f>
        <v>300</v>
      </c>
      <c r="AN44" s="88"/>
      <c r="AO44" s="12"/>
      <c r="AP44" s="112"/>
      <c r="AQ44" s="124"/>
      <c r="AR44" s="248" t="s">
        <v>26</v>
      </c>
      <c r="AS44" s="249"/>
      <c r="AT44" s="18">
        <v>139.65</v>
      </c>
      <c r="AU44" s="88"/>
      <c r="AV44" s="12"/>
      <c r="AW44" s="124"/>
      <c r="AX44" s="248" t="s">
        <v>26</v>
      </c>
      <c r="AY44" s="249"/>
      <c r="AZ44" s="246">
        <v>150</v>
      </c>
      <c r="BA44" s="88"/>
      <c r="BB44" s="88"/>
      <c r="BC44" s="12"/>
      <c r="BD44" s="112"/>
    </row>
    <row r="45" spans="1:56" ht="15.75" thickBot="1" x14ac:dyDescent="0.3">
      <c r="A45" s="111"/>
      <c r="B45" s="1"/>
      <c r="C45" s="11"/>
      <c r="D45" s="1"/>
      <c r="E45" s="11"/>
      <c r="F45" s="1"/>
      <c r="G45" s="1"/>
      <c r="H45" s="111"/>
      <c r="I45" s="1"/>
      <c r="J45" s="11" t="s">
        <v>45</v>
      </c>
      <c r="K45" s="12">
        <f>K44+K43</f>
        <v>606.22609999999997</v>
      </c>
      <c r="L45" s="12">
        <f>L44+L43</f>
        <v>836.75049999999999</v>
      </c>
      <c r="M45" s="12">
        <f>M44+M43</f>
        <v>168.8058</v>
      </c>
      <c r="N45" s="12">
        <f>N44+N43</f>
        <v>50</v>
      </c>
      <c r="O45" s="141"/>
      <c r="P45" s="125"/>
      <c r="Q45" s="62" t="s">
        <v>77</v>
      </c>
      <c r="R45" s="61">
        <f>R41+R40+R39+R42-R43</f>
        <v>595.68849999999986</v>
      </c>
      <c r="S45" s="60">
        <f>S46-S43-S44</f>
        <v>480.64869999999996</v>
      </c>
      <c r="T45" s="45">
        <f>T41+T40+T39+T42-T43</f>
        <v>50</v>
      </c>
      <c r="U45" s="45">
        <f>U40+U39+AE47</f>
        <v>44.269000000000005</v>
      </c>
      <c r="V45" s="12"/>
      <c r="W45" s="12"/>
      <c r="X45" s="3">
        <v>43675</v>
      </c>
      <c r="Y45" s="91">
        <v>3</v>
      </c>
      <c r="Z45" s="91"/>
      <c r="AA45" s="121"/>
      <c r="AB45" s="111"/>
      <c r="AC45" s="32"/>
      <c r="AD45" s="186" t="s">
        <v>77</v>
      </c>
      <c r="AE45" s="61">
        <f>AE39+AE40+AE41+AE42-AE43-AE44</f>
        <v>386.71420000000001</v>
      </c>
      <c r="AF45" s="212">
        <f>ROUND(AF39+AF40+AF41+AF42-AF43,0)</f>
        <v>76</v>
      </c>
      <c r="AG45" s="45">
        <f>AG41+AG40+AG39+AG42-AG43</f>
        <v>50</v>
      </c>
      <c r="AH45" s="192">
        <f>AH39+AH40+AH41+AH42</f>
        <v>544.97239999999999</v>
      </c>
      <c r="AI45" s="141"/>
      <c r="AJ45" s="125"/>
      <c r="AK45" s="251" t="s">
        <v>77</v>
      </c>
      <c r="AL45" s="252">
        <f>AL39+AL40+AL41+AL42-AL44-AL43</f>
        <v>184.77979999999999</v>
      </c>
      <c r="AM45" s="252">
        <f>AM39+AM40+AM41+AM42-AM44</f>
        <v>576.66380000000004</v>
      </c>
      <c r="AN45" s="252">
        <f>AN39+AN40+AN41+AN42</f>
        <v>265.29499999999996</v>
      </c>
      <c r="AO45" s="173"/>
      <c r="AP45" s="401"/>
      <c r="AQ45" s="125"/>
      <c r="AR45" s="251" t="s">
        <v>77</v>
      </c>
      <c r="AS45" s="252">
        <f>AS39+AS40+AS41+AS42-AS44-AS43</f>
        <v>539.78569999999991</v>
      </c>
      <c r="AT45" s="252">
        <f>AT39+AT40+AT41+AT42-AT44-AT43</f>
        <v>410.26279999999997</v>
      </c>
      <c r="AU45" s="291">
        <f>AU39+AU40+AU41+AU42</f>
        <v>177.22669999999999</v>
      </c>
      <c r="AV45" s="173"/>
      <c r="AW45" s="125"/>
      <c r="AX45" s="251" t="s">
        <v>77</v>
      </c>
      <c r="AY45" s="252">
        <f>AY46-AY43</f>
        <v>476.17809999999997</v>
      </c>
      <c r="AZ45" s="252">
        <f>AZ39+AZ40+AZ41+AZ42-AZ43-AZ44</f>
        <v>378.73869999999999</v>
      </c>
      <c r="BA45" s="252">
        <f>BA39+BA40+BA41+BA42</f>
        <v>170.72800000000001</v>
      </c>
      <c r="BB45" s="252">
        <f>BB39+BB40+BB41+BB42</f>
        <v>147.0248</v>
      </c>
      <c r="BC45" s="173"/>
      <c r="BD45" s="401"/>
    </row>
    <row r="46" spans="1:56" ht="15.75" thickBot="1" x14ac:dyDescent="0.3">
      <c r="A46" s="111"/>
      <c r="B46" s="1"/>
      <c r="C46" s="11"/>
      <c r="D46" s="1"/>
      <c r="E46" s="11"/>
      <c r="F46" s="1"/>
      <c r="G46" s="1"/>
      <c r="H46" s="111"/>
      <c r="I46" s="1"/>
      <c r="J46" s="11"/>
      <c r="K46" s="12"/>
      <c r="L46" s="12"/>
      <c r="M46" s="1"/>
      <c r="N46" s="1"/>
      <c r="O46" s="112"/>
      <c r="P46" s="111"/>
      <c r="Q46" s="79" t="s">
        <v>45</v>
      </c>
      <c r="R46" s="80">
        <f>R45+R43</f>
        <v>893.78849999999989</v>
      </c>
      <c r="S46" s="81">
        <f>S39+S40+S41+S42</f>
        <v>781.00869999999998</v>
      </c>
      <c r="T46" s="76">
        <f>T45+T43</f>
        <v>50</v>
      </c>
      <c r="U46" s="76"/>
      <c r="V46" s="12"/>
      <c r="W46" s="1"/>
      <c r="X46" s="3">
        <v>43676</v>
      </c>
      <c r="Y46" s="91">
        <v>8.5</v>
      </c>
      <c r="Z46" s="91"/>
      <c r="AA46" s="121"/>
      <c r="AB46" s="111"/>
      <c r="AC46" s="1"/>
      <c r="AD46" s="187" t="s">
        <v>45</v>
      </c>
      <c r="AE46" s="188">
        <f>AE45+AE43+AE44</f>
        <v>984.81420000000003</v>
      </c>
      <c r="AF46" s="189">
        <f>AF43+AF45</f>
        <v>236.36</v>
      </c>
      <c r="AG46" s="190"/>
      <c r="AH46" s="191"/>
      <c r="AI46" s="141"/>
      <c r="AJ46" s="150"/>
      <c r="AK46" s="147"/>
      <c r="AL46" s="373"/>
      <c r="AM46" s="1"/>
      <c r="AN46" s="1"/>
      <c r="AO46" s="1"/>
      <c r="AP46" s="112"/>
      <c r="AQ46" s="126"/>
      <c r="AR46" s="292" t="s">
        <v>45</v>
      </c>
      <c r="AS46" s="22">
        <f>540+AS43</f>
        <v>838.1</v>
      </c>
      <c r="AT46" s="293">
        <f>410+AT44+AT43</f>
        <v>710.01</v>
      </c>
      <c r="AU46" s="1"/>
      <c r="AV46" s="173"/>
      <c r="AW46" s="126"/>
      <c r="AX46" s="292" t="s">
        <v>45</v>
      </c>
      <c r="AY46" s="293">
        <f>AY41+AY42+AY40+AY39</f>
        <v>774.27809999999999</v>
      </c>
      <c r="AZ46" s="293">
        <f>AZ41+AZ42+AZ40+AZ39</f>
        <v>689.09870000000012</v>
      </c>
      <c r="BA46" s="293">
        <f>BA41+BA42+BA40+BA39</f>
        <v>170.72799999999998</v>
      </c>
      <c r="BB46" s="293">
        <f>BB41+BB42+BB40+BB39</f>
        <v>147.0248</v>
      </c>
      <c r="BC46" s="173"/>
      <c r="BD46" s="141"/>
    </row>
    <row r="47" spans="1:56" x14ac:dyDescent="0.25">
      <c r="A47" s="111"/>
      <c r="B47" s="1"/>
      <c r="C47" s="11"/>
      <c r="D47" s="1"/>
      <c r="E47" s="11"/>
      <c r="F47" s="1"/>
      <c r="G47" s="1"/>
      <c r="H47" s="111"/>
      <c r="I47" s="1"/>
      <c r="J47" s="11"/>
      <c r="K47" s="1"/>
      <c r="L47" s="11"/>
      <c r="M47" s="12"/>
      <c r="N47" s="1"/>
      <c r="O47" s="112"/>
      <c r="P47" s="126"/>
      <c r="Q47" s="127" t="s">
        <v>78</v>
      </c>
      <c r="R47" s="12">
        <f>R45-400</f>
        <v>195.68849999999986</v>
      </c>
      <c r="S47" s="128"/>
      <c r="T47" s="1"/>
      <c r="U47" s="12"/>
      <c r="V47" s="1"/>
      <c r="W47" s="1"/>
      <c r="X47" s="51"/>
      <c r="Y47" s="129"/>
      <c r="Z47" s="51"/>
      <c r="AA47" s="112"/>
      <c r="AB47" s="111"/>
      <c r="AC47" s="399"/>
      <c r="AD47" s="400"/>
      <c r="AE47" s="148"/>
      <c r="AF47" s="148"/>
      <c r="AG47" s="1"/>
      <c r="AH47" s="1"/>
      <c r="AI47" s="401"/>
      <c r="AJ47" s="150"/>
      <c r="AK47" s="373"/>
      <c r="AL47" s="129"/>
      <c r="AM47" s="1"/>
      <c r="AN47" s="1"/>
      <c r="AO47" s="1"/>
      <c r="AP47" s="112"/>
      <c r="AQ47" s="111"/>
      <c r="AR47" s="1"/>
      <c r="AS47" s="1"/>
      <c r="AT47" s="1"/>
      <c r="AU47" s="1"/>
      <c r="AV47" s="1"/>
      <c r="AW47" s="111"/>
      <c r="AX47" s="204"/>
      <c r="AY47" s="634"/>
      <c r="AZ47" s="238"/>
      <c r="BA47" s="1"/>
      <c r="BB47" s="1"/>
      <c r="BC47" s="12"/>
      <c r="BD47" s="141"/>
    </row>
    <row r="48" spans="1:56" ht="15.75" thickBot="1" x14ac:dyDescent="0.3">
      <c r="A48" s="132"/>
      <c r="B48" s="133"/>
      <c r="C48" s="134"/>
      <c r="D48" s="133"/>
      <c r="E48" s="134"/>
      <c r="F48" s="1"/>
      <c r="G48" s="1"/>
      <c r="H48" s="111"/>
      <c r="I48" s="1"/>
      <c r="J48" s="1"/>
      <c r="K48" s="133"/>
      <c r="L48" s="133"/>
      <c r="M48" s="133"/>
      <c r="N48" s="133"/>
      <c r="O48" s="135"/>
      <c r="P48" s="111"/>
      <c r="Q48" s="130" t="s">
        <v>77</v>
      </c>
      <c r="R48" s="131">
        <v>196</v>
      </c>
      <c r="S48" s="131"/>
      <c r="T48" s="12"/>
      <c r="U48" s="173"/>
      <c r="V48" s="12"/>
      <c r="W48" s="1"/>
      <c r="X48" s="73"/>
      <c r="Y48" s="73"/>
      <c r="Z48" s="51"/>
      <c r="AA48" s="112"/>
      <c r="AB48" s="111"/>
      <c r="AC48" s="1"/>
      <c r="AD48" s="204"/>
      <c r="AE48" s="402"/>
      <c r="AF48" s="402"/>
      <c r="AG48" s="12"/>
      <c r="AH48" s="1"/>
      <c r="AI48" s="141"/>
      <c r="AJ48" s="150"/>
      <c r="AK48" s="73"/>
      <c r="AL48" s="73"/>
      <c r="AM48" s="1"/>
      <c r="AN48" s="1"/>
      <c r="AO48" s="1"/>
      <c r="AP48" s="112"/>
      <c r="AQ48" s="111"/>
      <c r="AR48" s="1"/>
      <c r="AS48" s="1"/>
      <c r="AT48" s="1"/>
      <c r="AU48" s="1"/>
      <c r="AV48" s="1"/>
      <c r="AW48" s="111"/>
      <c r="AX48" s="1"/>
      <c r="AY48" s="1"/>
      <c r="AZ48" s="11"/>
      <c r="BA48" s="12"/>
      <c r="BB48" s="12"/>
      <c r="BC48" s="173"/>
      <c r="BD48" s="112"/>
    </row>
    <row r="49" spans="3:56" x14ac:dyDescent="0.25">
      <c r="C49" s="662" t="s">
        <v>166</v>
      </c>
      <c r="D49" s="662"/>
      <c r="E49" s="2" t="s">
        <v>189</v>
      </c>
      <c r="F49" s="464" t="s">
        <v>167</v>
      </c>
      <c r="G49" s="638"/>
      <c r="H49" s="638"/>
      <c r="I49" s="638"/>
      <c r="J49" s="639"/>
      <c r="K49" s="373" t="s">
        <v>198</v>
      </c>
      <c r="L49" s="457"/>
      <c r="N49" s="579" t="s">
        <v>258</v>
      </c>
      <c r="O49" s="579"/>
      <c r="P49" s="1"/>
      <c r="Q49" s="1"/>
      <c r="R49" s="11"/>
      <c r="S49" s="1"/>
      <c r="T49" s="12"/>
      <c r="U49" s="1"/>
      <c r="V49" s="1"/>
      <c r="W49" s="73"/>
      <c r="X49" s="73"/>
      <c r="Y49" s="93">
        <v>102.35</v>
      </c>
      <c r="Z49" s="112"/>
      <c r="AA49" s="111"/>
      <c r="AB49" s="1"/>
      <c r="AC49" s="1"/>
      <c r="AD49" s="1"/>
      <c r="AE49" s="1"/>
      <c r="AF49" s="1"/>
      <c r="AG49" s="1"/>
      <c r="AH49" s="112"/>
      <c r="AI49" s="111"/>
      <c r="AJ49" s="1"/>
      <c r="AK49" s="1"/>
      <c r="AL49" s="1"/>
      <c r="AM49" s="1"/>
      <c r="AN49" s="1"/>
      <c r="AO49" s="112"/>
      <c r="AP49" s="111"/>
      <c r="AQ49" s="1"/>
      <c r="AR49" s="1"/>
      <c r="AS49" s="1"/>
      <c r="AT49" s="1"/>
      <c r="AU49" s="112"/>
      <c r="AW49" s="111"/>
      <c r="AX49" s="1"/>
      <c r="AY49" s="1"/>
      <c r="AZ49" s="1"/>
      <c r="BA49" s="1"/>
      <c r="BB49" s="1"/>
      <c r="BC49" s="1"/>
      <c r="BD49" s="112"/>
    </row>
    <row r="50" spans="3:56" x14ac:dyDescent="0.25">
      <c r="C50" s="2" t="s">
        <v>164</v>
      </c>
      <c r="E50" s="2"/>
      <c r="F50" s="216"/>
      <c r="G50" s="93" t="s">
        <v>168</v>
      </c>
      <c r="H50" s="93" t="s">
        <v>169</v>
      </c>
      <c r="I50" s="93" t="s">
        <v>204</v>
      </c>
      <c r="J50" s="570" t="s">
        <v>203</v>
      </c>
      <c r="K50" s="373" t="s">
        <v>166</v>
      </c>
      <c r="L50" s="457"/>
      <c r="N50" s="580" t="s">
        <v>192</v>
      </c>
      <c r="O50" s="582">
        <v>3501.9999999999995</v>
      </c>
      <c r="P50" s="1"/>
      <c r="Q50" s="240"/>
      <c r="R50" s="240"/>
      <c r="S50" s="463"/>
      <c r="T50" s="1"/>
      <c r="U50" s="1"/>
      <c r="V50" s="1"/>
      <c r="W50" s="373"/>
      <c r="X50" s="69"/>
      <c r="Y50" s="1"/>
      <c r="Z50" s="112"/>
      <c r="AA50" s="111"/>
      <c r="AB50" s="1"/>
      <c r="AC50" s="1"/>
      <c r="AD50" s="1"/>
      <c r="AE50" s="1"/>
      <c r="AF50" s="1"/>
      <c r="AG50" s="1"/>
      <c r="AH50" s="112"/>
      <c r="AI50" s="111"/>
      <c r="AJ50" s="1"/>
      <c r="AK50" s="1"/>
      <c r="AL50" s="1"/>
      <c r="AM50" s="1"/>
      <c r="AN50" s="1"/>
      <c r="AO50" s="112"/>
      <c r="AP50" s="111"/>
      <c r="AQ50" s="1"/>
      <c r="AR50" s="1"/>
      <c r="AS50" s="1"/>
      <c r="AT50" s="1"/>
      <c r="AU50" s="112"/>
      <c r="AW50" s="111"/>
      <c r="AX50" s="1"/>
      <c r="AY50" s="1"/>
      <c r="AZ50" s="1"/>
      <c r="BA50" s="1"/>
      <c r="BB50" s="1"/>
      <c r="BC50" s="1"/>
      <c r="BD50" s="112"/>
    </row>
    <row r="51" spans="3:56" x14ac:dyDescent="0.25">
      <c r="C51" s="2" t="s">
        <v>9</v>
      </c>
      <c r="D51" s="8">
        <f>H36</f>
        <v>33392.170000000006</v>
      </c>
      <c r="E51" s="195"/>
      <c r="F51" s="576" t="s">
        <v>18</v>
      </c>
      <c r="G51" s="572">
        <v>2502.15</v>
      </c>
      <c r="H51" s="572">
        <v>660.88</v>
      </c>
      <c r="I51" s="572">
        <v>1841.27</v>
      </c>
      <c r="J51" s="573"/>
      <c r="K51" s="147" t="s">
        <v>164</v>
      </c>
      <c r="L51" s="454"/>
      <c r="N51" s="580" t="s">
        <v>199</v>
      </c>
      <c r="O51" s="581">
        <v>3192.5899999999997</v>
      </c>
      <c r="P51" s="1"/>
      <c r="Q51" s="240"/>
      <c r="R51" s="240"/>
      <c r="S51" s="307"/>
      <c r="T51" s="1"/>
      <c r="U51" s="1"/>
      <c r="V51" s="1"/>
      <c r="W51" s="73"/>
      <c r="X51" s="69"/>
      <c r="Y51" s="1"/>
      <c r="Z51" s="112"/>
      <c r="AA51" s="111"/>
      <c r="AB51" s="1"/>
      <c r="AC51" s="1"/>
      <c r="AD51" s="1"/>
      <c r="AE51" s="1"/>
      <c r="AF51" s="1"/>
      <c r="AG51" s="1"/>
      <c r="AH51" s="112"/>
      <c r="AI51" s="111"/>
      <c r="AJ51" s="1"/>
      <c r="AK51" s="1"/>
      <c r="AL51" s="1"/>
      <c r="AM51" s="1"/>
      <c r="AN51" s="1"/>
      <c r="AO51" s="112"/>
      <c r="AP51" s="111"/>
      <c r="AQ51" s="1"/>
      <c r="AR51" s="1"/>
      <c r="AS51" s="1"/>
      <c r="AT51" s="1"/>
      <c r="AU51" s="112"/>
      <c r="AW51" s="111"/>
      <c r="AX51" s="1"/>
      <c r="AY51" s="1"/>
      <c r="AZ51" s="1"/>
      <c r="BA51" s="1"/>
      <c r="BB51" s="1"/>
      <c r="BC51" s="1"/>
      <c r="BD51" s="112"/>
    </row>
    <row r="52" spans="3:56" x14ac:dyDescent="0.25">
      <c r="C52" s="2" t="s">
        <v>18</v>
      </c>
      <c r="D52" s="8">
        <f>O36</f>
        <v>32809.9</v>
      </c>
      <c r="E52" s="195"/>
      <c r="F52" s="576" t="s">
        <v>19</v>
      </c>
      <c r="G52" s="572">
        <v>3130.41</v>
      </c>
      <c r="H52" s="572">
        <v>965.66</v>
      </c>
      <c r="I52" s="572">
        <v>2164.75</v>
      </c>
      <c r="J52" s="573"/>
      <c r="K52" s="568" t="s">
        <v>163</v>
      </c>
      <c r="L52" s="97">
        <v>2420.3999999999996</v>
      </c>
      <c r="N52" s="580" t="s">
        <v>209</v>
      </c>
      <c r="O52" s="646">
        <v>2936.18</v>
      </c>
      <c r="P52" s="1"/>
      <c r="Q52" s="1"/>
      <c r="R52" s="11"/>
      <c r="S52" s="1"/>
      <c r="T52" s="1"/>
      <c r="U52" s="1"/>
      <c r="V52" s="1"/>
      <c r="W52" s="73"/>
      <c r="X52" s="69"/>
      <c r="Y52" s="1"/>
      <c r="Z52" s="112"/>
      <c r="AA52" s="111"/>
      <c r="AB52" s="1"/>
      <c r="AC52" s="1"/>
      <c r="AD52" s="1"/>
      <c r="AE52" s="1"/>
      <c r="AF52" s="1"/>
      <c r="AG52" s="1"/>
      <c r="AH52" s="112"/>
      <c r="AI52" s="111"/>
      <c r="AJ52" s="1"/>
      <c r="AK52" s="1"/>
      <c r="AL52" s="1"/>
      <c r="AM52" s="1"/>
      <c r="AN52" s="1"/>
      <c r="AO52" s="112"/>
      <c r="AP52" s="111"/>
      <c r="AQ52" s="1"/>
      <c r="AR52" s="1"/>
      <c r="AS52" s="1"/>
      <c r="AT52" s="1"/>
      <c r="AU52" s="112"/>
      <c r="AW52" s="111"/>
      <c r="AX52" s="1"/>
      <c r="AY52" s="1"/>
      <c r="AZ52" s="1"/>
      <c r="BA52" s="1"/>
      <c r="BB52" s="1"/>
      <c r="BC52" s="1"/>
      <c r="BD52" s="112"/>
    </row>
    <row r="53" spans="3:56" x14ac:dyDescent="0.25">
      <c r="C53" s="2" t="s">
        <v>19</v>
      </c>
      <c r="D53" s="8">
        <f>V36</f>
        <v>35259.58</v>
      </c>
      <c r="E53" s="195"/>
      <c r="F53" s="576" t="s">
        <v>20</v>
      </c>
      <c r="G53" s="572">
        <v>1180.2600000000002</v>
      </c>
      <c r="H53" s="572">
        <v>632.44000000000005</v>
      </c>
      <c r="I53" s="572">
        <v>547.82000000000005</v>
      </c>
      <c r="J53" s="573"/>
      <c r="K53" s="568" t="s">
        <v>192</v>
      </c>
      <c r="L53" s="456">
        <v>7629.6900000000023</v>
      </c>
      <c r="N53" s="580" t="s">
        <v>210</v>
      </c>
      <c r="O53" s="583">
        <f>'ЗП МАРТ'!K35</f>
        <v>1625.2</v>
      </c>
      <c r="P53" s="1"/>
      <c r="Q53" s="1"/>
      <c r="R53" s="11"/>
      <c r="S53" s="1"/>
      <c r="T53" s="1"/>
      <c r="U53" s="1"/>
      <c r="V53" s="1"/>
      <c r="W53" s="73"/>
      <c r="X53" s="73"/>
      <c r="Y53" s="1"/>
      <c r="Z53" s="112"/>
      <c r="AA53" s="111"/>
      <c r="AB53" s="1"/>
      <c r="AC53" s="1"/>
      <c r="AD53" s="1"/>
      <c r="AE53" s="1"/>
      <c r="AF53" s="1"/>
      <c r="AG53" s="1"/>
      <c r="AH53" s="112"/>
      <c r="AI53" s="111"/>
      <c r="AJ53" s="1"/>
      <c r="AK53" s="1"/>
      <c r="AL53" s="1"/>
      <c r="AM53" s="1"/>
      <c r="AN53" s="1"/>
      <c r="AO53" s="112"/>
      <c r="AP53" s="111"/>
      <c r="AQ53" s="1"/>
      <c r="AR53" s="1"/>
      <c r="AS53" s="1"/>
      <c r="AT53" s="1"/>
      <c r="AU53" s="112"/>
      <c r="AW53" s="111"/>
      <c r="AX53" s="1"/>
      <c r="AY53" s="1"/>
      <c r="AZ53" s="1"/>
      <c r="BA53" s="1"/>
      <c r="BB53" s="1"/>
      <c r="BC53" s="1"/>
      <c r="BD53" s="112"/>
    </row>
    <row r="54" spans="3:56" x14ac:dyDescent="0.25">
      <c r="C54" s="2" t="s">
        <v>20</v>
      </c>
      <c r="D54">
        <v>34690.219999999994</v>
      </c>
      <c r="E54" s="195"/>
      <c r="F54" s="576" t="s">
        <v>257</v>
      </c>
      <c r="G54" s="572">
        <v>2026.4</v>
      </c>
      <c r="H54" s="572">
        <v>868.92</v>
      </c>
      <c r="I54" s="572">
        <v>1157.48</v>
      </c>
      <c r="J54" s="573"/>
      <c r="K54" s="568" t="s">
        <v>199</v>
      </c>
      <c r="L54" s="456">
        <v>8423.6400000000012</v>
      </c>
      <c r="N54" s="147"/>
      <c r="O54" s="373"/>
      <c r="P54" s="1"/>
      <c r="Q54" s="1"/>
      <c r="R54" s="11"/>
      <c r="S54" s="1"/>
      <c r="T54" s="1"/>
      <c r="U54" s="1"/>
      <c r="V54" s="1"/>
      <c r="W54" s="73"/>
      <c r="X54" s="69"/>
      <c r="Y54" s="373"/>
      <c r="Z54" s="422"/>
      <c r="AA54" s="111"/>
      <c r="AB54" s="1"/>
      <c r="AC54" s="1"/>
      <c r="AD54" s="1"/>
      <c r="AE54" s="1"/>
      <c r="AF54" s="1"/>
      <c r="AG54" s="1"/>
      <c r="AH54" s="112"/>
      <c r="AI54" s="111"/>
      <c r="AJ54" s="1"/>
      <c r="AK54" s="1"/>
      <c r="AL54" s="1"/>
      <c r="AM54" s="1"/>
      <c r="AN54" s="1"/>
      <c r="AO54" s="112"/>
      <c r="AP54" s="111"/>
      <c r="AQ54" s="1"/>
      <c r="AR54" s="1"/>
      <c r="AS54" s="1"/>
      <c r="AT54" s="1"/>
      <c r="AU54" s="112"/>
      <c r="AW54" s="111"/>
      <c r="AX54" s="1"/>
      <c r="AY54" s="1"/>
      <c r="AZ54" s="1"/>
      <c r="BA54" s="1"/>
      <c r="BB54" s="1"/>
      <c r="BC54" s="1"/>
      <c r="BD54" s="112"/>
    </row>
    <row r="55" spans="3:56" ht="15.75" thickBot="1" x14ac:dyDescent="0.3">
      <c r="C55" s="2" t="s">
        <v>148</v>
      </c>
      <c r="D55">
        <v>30955.48</v>
      </c>
      <c r="E55" s="195"/>
      <c r="F55" s="576" t="s">
        <v>162</v>
      </c>
      <c r="G55" s="574">
        <v>2927.79</v>
      </c>
      <c r="H55" s="575">
        <v>1147.08</v>
      </c>
      <c r="I55" s="572">
        <v>1780.71</v>
      </c>
      <c r="J55" s="573"/>
      <c r="K55" s="569" t="s">
        <v>209</v>
      </c>
      <c r="L55" s="456">
        <v>8639.7199999999993</v>
      </c>
      <c r="N55" s="2"/>
      <c r="O55" s="205"/>
      <c r="P55" s="1"/>
      <c r="Q55" s="1"/>
      <c r="R55" s="11"/>
      <c r="S55" s="1"/>
      <c r="T55" s="1"/>
      <c r="U55" s="1"/>
      <c r="V55" s="1"/>
      <c r="W55" s="73"/>
      <c r="X55" s="146"/>
      <c r="Y55" s="452"/>
      <c r="Z55" s="453"/>
      <c r="AA55" s="132"/>
      <c r="AB55" s="133"/>
      <c r="AC55" s="133"/>
      <c r="AD55" s="133"/>
      <c r="AE55" s="133"/>
      <c r="AF55" s="133"/>
      <c r="AG55" s="133"/>
      <c r="AH55" s="135"/>
      <c r="AI55" s="132"/>
      <c r="AJ55" s="133"/>
      <c r="AK55" s="133"/>
      <c r="AL55" s="133"/>
      <c r="AM55" s="133"/>
      <c r="AN55" s="133"/>
      <c r="AO55" s="135"/>
      <c r="AP55" s="132"/>
      <c r="AQ55" s="133"/>
      <c r="AR55" s="133"/>
      <c r="AS55" s="133"/>
      <c r="AT55" s="133"/>
      <c r="AU55" s="135"/>
      <c r="AW55" s="132"/>
      <c r="AX55" s="133"/>
      <c r="AY55" s="133"/>
      <c r="AZ55" s="133"/>
      <c r="BA55" s="133"/>
      <c r="BB55" s="133"/>
      <c r="BC55" s="133"/>
      <c r="BD55" s="135"/>
    </row>
    <row r="56" spans="3:56" x14ac:dyDescent="0.25">
      <c r="C56" s="2" t="s">
        <v>162</v>
      </c>
      <c r="D56">
        <v>31239.439999999995</v>
      </c>
      <c r="E56" s="195"/>
      <c r="F56" s="576" t="s">
        <v>163</v>
      </c>
      <c r="G56" s="572">
        <f>H56+I56</f>
        <v>2494.3200000000002</v>
      </c>
      <c r="H56" s="572">
        <v>1035.6500000000001</v>
      </c>
      <c r="I56" s="572">
        <v>1458.67</v>
      </c>
      <c r="J56" s="637">
        <v>199.36</v>
      </c>
      <c r="K56" s="645" t="s">
        <v>210</v>
      </c>
      <c r="L56" s="466">
        <f>'ЗП МАРТ'!J35</f>
        <v>9915.6</v>
      </c>
      <c r="N56" s="2"/>
      <c r="O56" s="35"/>
      <c r="P56" s="1"/>
      <c r="Q56" s="1"/>
      <c r="R56" s="1"/>
      <c r="S56" s="1"/>
      <c r="T56" s="1"/>
      <c r="U56" s="1"/>
      <c r="V56" s="1"/>
      <c r="Y56" s="87"/>
      <c r="Z56" s="87"/>
    </row>
    <row r="57" spans="3:56" x14ac:dyDescent="0.25">
      <c r="C57" s="2" t="s">
        <v>163</v>
      </c>
      <c r="D57" s="8">
        <v>28986.99</v>
      </c>
      <c r="E57" s="195"/>
      <c r="F57" s="576" t="s">
        <v>192</v>
      </c>
      <c r="G57" s="572">
        <f>H57+I57</f>
        <v>2957.59</v>
      </c>
      <c r="H57" s="572">
        <v>918.57</v>
      </c>
      <c r="I57" s="572">
        <v>2039.02</v>
      </c>
      <c r="J57" s="571">
        <v>703.01</v>
      </c>
      <c r="N57" s="1"/>
      <c r="O57" s="1"/>
      <c r="P57" s="1"/>
      <c r="Q57" s="1"/>
      <c r="R57" s="1"/>
      <c r="S57" s="1"/>
      <c r="T57" s="1"/>
      <c r="U57" s="1"/>
      <c r="V57" s="1"/>
      <c r="Y57" s="87"/>
      <c r="Z57" s="87"/>
    </row>
    <row r="58" spans="3:56" x14ac:dyDescent="0.25">
      <c r="C58" s="2" t="s">
        <v>192</v>
      </c>
      <c r="D58" s="87">
        <v>31654.69</v>
      </c>
      <c r="E58" s="2"/>
      <c r="F58" s="576" t="s">
        <v>199</v>
      </c>
      <c r="G58" s="572">
        <f>H58+I58</f>
        <v>2533.39</v>
      </c>
      <c r="H58" s="572">
        <v>899.78</v>
      </c>
      <c r="I58" s="572">
        <v>1633.61</v>
      </c>
      <c r="J58" s="573">
        <v>529.24</v>
      </c>
      <c r="N58" s="128"/>
      <c r="O58" s="647"/>
      <c r="P58" s="1"/>
      <c r="Q58" s="1"/>
      <c r="R58" s="1"/>
      <c r="S58" s="1"/>
      <c r="T58" s="1"/>
      <c r="U58" s="1"/>
      <c r="V58" s="1"/>
    </row>
    <row r="59" spans="3:56" x14ac:dyDescent="0.25">
      <c r="C59" s="2" t="s">
        <v>199</v>
      </c>
      <c r="D59" s="171">
        <v>28891.4</v>
      </c>
      <c r="E59" s="2"/>
      <c r="F59" s="576" t="s">
        <v>209</v>
      </c>
      <c r="G59" s="572">
        <f>H59+I59</f>
        <v>2379.6400000000003</v>
      </c>
      <c r="H59" s="572">
        <v>815.26</v>
      </c>
      <c r="I59" s="572">
        <v>1564.38</v>
      </c>
      <c r="J59" s="573">
        <v>500.24</v>
      </c>
      <c r="N59" s="1"/>
      <c r="O59" s="1"/>
      <c r="P59" s="1"/>
      <c r="Q59" s="1"/>
      <c r="R59" s="1"/>
      <c r="S59" s="1"/>
      <c r="T59" s="1"/>
      <c r="U59" s="1"/>
      <c r="V59" s="1"/>
    </row>
    <row r="60" spans="3:56" ht="15.75" thickBot="1" x14ac:dyDescent="0.3">
      <c r="C60" s="11" t="s">
        <v>209</v>
      </c>
      <c r="D60" s="644">
        <v>28339.37</v>
      </c>
      <c r="E60" s="2"/>
      <c r="F60" s="640" t="s">
        <v>210</v>
      </c>
      <c r="G60" s="641"/>
      <c r="H60" s="642"/>
      <c r="I60" s="641"/>
      <c r="J60" s="643"/>
      <c r="N60" s="1"/>
      <c r="O60" s="1"/>
      <c r="P60" s="1"/>
      <c r="Q60" s="1"/>
      <c r="R60" s="1"/>
      <c r="S60" s="1"/>
      <c r="T60" s="1"/>
      <c r="U60" s="1"/>
      <c r="V60" s="1"/>
    </row>
    <row r="61" spans="3:56" x14ac:dyDescent="0.25">
      <c r="C61" s="2" t="s">
        <v>210</v>
      </c>
      <c r="D61" s="567">
        <f>'ЗП МАРТ'!I35</f>
        <v>22742.850000000002</v>
      </c>
      <c r="E61" s="2"/>
      <c r="N61" s="1"/>
      <c r="O61" s="1"/>
      <c r="P61" s="1"/>
      <c r="Q61" s="1"/>
      <c r="R61" s="1"/>
      <c r="S61" s="1"/>
      <c r="T61" s="1"/>
      <c r="U61" s="1"/>
      <c r="V61" s="1"/>
    </row>
    <row r="62" spans="3:56" x14ac:dyDescent="0.25">
      <c r="C62" s="2"/>
      <c r="E62" s="2"/>
    </row>
    <row r="63" spans="3:56" x14ac:dyDescent="0.25">
      <c r="C63" s="2"/>
      <c r="E63" s="2"/>
    </row>
    <row r="64" spans="3:56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</sheetData>
  <mergeCells count="15">
    <mergeCell ref="AY1:BA1"/>
    <mergeCell ref="C49:D49"/>
    <mergeCell ref="B43:C43"/>
    <mergeCell ref="D1:E1"/>
    <mergeCell ref="K1:L1"/>
    <mergeCell ref="Q44:R44"/>
    <mergeCell ref="AP29:AP34"/>
    <mergeCell ref="AL1:AN1"/>
    <mergeCell ref="AP12:AP13"/>
    <mergeCell ref="T1:V1"/>
    <mergeCell ref="AV10:AV12"/>
    <mergeCell ref="AV19:AV25"/>
    <mergeCell ref="AR1:AT1"/>
    <mergeCell ref="AG1:AI1"/>
    <mergeCell ref="AL11:AL24"/>
  </mergeCells>
  <conditionalFormatting sqref="B4:G34">
    <cfRule type="expression" dxfId="43" priority="35">
      <formula>$B4=7</formula>
    </cfRule>
    <cfRule type="expression" dxfId="42" priority="36">
      <formula>$B4=6</formula>
    </cfRule>
  </conditionalFormatting>
  <conditionalFormatting sqref="P4:U34">
    <cfRule type="expression" dxfId="41" priority="31">
      <formula>$B4=7</formula>
    </cfRule>
    <cfRule type="expression" dxfId="40" priority="32">
      <formula>$B4=6</formula>
    </cfRule>
  </conditionalFormatting>
  <conditionalFormatting sqref="I4:N34">
    <cfRule type="expression" dxfId="39" priority="33">
      <formula>$B4=7</formula>
    </cfRule>
    <cfRule type="expression" dxfId="38" priority="34">
      <formula>$B4=6</formula>
    </cfRule>
  </conditionalFormatting>
  <conditionalFormatting sqref="AC4:AH34">
    <cfRule type="expression" dxfId="37" priority="29">
      <formula>$B4=7</formula>
    </cfRule>
    <cfRule type="expression" dxfId="36" priority="30">
      <formula>$B4=6</formula>
    </cfRule>
  </conditionalFormatting>
  <conditionalFormatting sqref="AJ3:AN3 AM12:AN27 AM30:AN33 AM28 AL4:AN11 AJ4:AK33">
    <cfRule type="expression" dxfId="35" priority="27">
      <formula>$B3=7</formula>
    </cfRule>
    <cfRule type="expression" dxfId="34" priority="28">
      <formula>$B3=6</formula>
    </cfRule>
  </conditionalFormatting>
  <conditionalFormatting sqref="AL31">
    <cfRule type="expression" dxfId="33" priority="25">
      <formula>$B31=7</formula>
    </cfRule>
    <cfRule type="expression" dxfId="32" priority="26">
      <formula>$B31=6</formula>
    </cfRule>
  </conditionalFormatting>
  <conditionalFormatting sqref="AN28">
    <cfRule type="expression" dxfId="31" priority="23">
      <formula>$B28=7</formula>
    </cfRule>
    <cfRule type="expression" dxfId="30" priority="24">
      <formula>$B28=6</formula>
    </cfRule>
  </conditionalFormatting>
  <conditionalFormatting sqref="AL30">
    <cfRule type="expression" dxfId="29" priority="21">
      <formula>$B30=7</formula>
    </cfRule>
    <cfRule type="expression" dxfId="28" priority="22">
      <formula>$B30=6</formula>
    </cfRule>
  </conditionalFormatting>
  <conditionalFormatting sqref="AQ3:AU3 AT31:AU32 AT12:AU27 AU30 AU33 AS4:AU11 AQ4:AR33">
    <cfRule type="expression" dxfId="27" priority="19">
      <formula>$B3=7</formula>
    </cfRule>
    <cfRule type="expression" dxfId="26" priority="20">
      <formula>$B3=6</formula>
    </cfRule>
  </conditionalFormatting>
  <conditionalFormatting sqref="AS31">
    <cfRule type="expression" dxfId="25" priority="17">
      <formula>$B31=7</formula>
    </cfRule>
    <cfRule type="expression" dxfId="24" priority="18">
      <formula>$B31=6</formula>
    </cfRule>
  </conditionalFormatting>
  <conditionalFormatting sqref="AS30">
    <cfRule type="expression" dxfId="23" priority="15">
      <formula>$B30=7</formula>
    </cfRule>
    <cfRule type="expression" dxfId="22" priority="16">
      <formula>$B30=6</formula>
    </cfRule>
  </conditionalFormatting>
  <conditionalFormatting sqref="AS14:AS15">
    <cfRule type="expression" dxfId="21" priority="13">
      <formula>$B14=7</formula>
    </cfRule>
    <cfRule type="expression" dxfId="20" priority="14">
      <formula>$B14=6</formula>
    </cfRule>
  </conditionalFormatting>
  <conditionalFormatting sqref="AS21:AS22">
    <cfRule type="expression" dxfId="19" priority="11">
      <formula>$B21=7</formula>
    </cfRule>
    <cfRule type="expression" dxfId="18" priority="12">
      <formula>$B21=6</formula>
    </cfRule>
  </conditionalFormatting>
  <conditionalFormatting sqref="AS28:AS29">
    <cfRule type="expression" dxfId="17" priority="9">
      <formula>$B28=7</formula>
    </cfRule>
    <cfRule type="expression" dxfId="16" priority="10">
      <formula>$B28=6</formula>
    </cfRule>
  </conditionalFormatting>
  <conditionalFormatting sqref="AT28:AT29">
    <cfRule type="expression" dxfId="15" priority="7">
      <formula>$B28=7</formula>
    </cfRule>
    <cfRule type="expression" dxfId="14" priority="8">
      <formula>$B28=6</formula>
    </cfRule>
  </conditionalFormatting>
  <conditionalFormatting sqref="AU28:AU29">
    <cfRule type="expression" dxfId="13" priority="5">
      <formula>$B28=7</formula>
    </cfRule>
    <cfRule type="expression" dxfId="12" priority="6">
      <formula>$B28=6</formula>
    </cfRule>
  </conditionalFormatting>
  <conditionalFormatting sqref="AT30">
    <cfRule type="expression" dxfId="11" priority="3">
      <formula>$B30=7</formula>
    </cfRule>
    <cfRule type="expression" dxfId="10" priority="4">
      <formula>$B30=6</formula>
    </cfRule>
  </conditionalFormatting>
  <conditionalFormatting sqref="BA33:BB33 AW33:AX33 AW30:BB32 AW27:BA29 AW3:BB22 AW24:BB26 AW23:BA23">
    <cfRule type="expression" dxfId="9" priority="1">
      <formula>$B3=7</formula>
    </cfRule>
    <cfRule type="expression" dxfId="8" priority="2">
      <formula>$B3=6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8"/>
  <sheetViews>
    <sheetView topLeftCell="A142" zoomScale="85" zoomScaleNormal="85" zoomScaleSheetLayoutView="85" workbookViewId="0">
      <selection activeCell="B155" sqref="B155"/>
    </sheetView>
  </sheetViews>
  <sheetFormatPr defaultRowHeight="15" x14ac:dyDescent="0.25"/>
  <cols>
    <col min="1" max="1" width="11.5703125" style="35" customWidth="1"/>
    <col min="2" max="2" width="15.140625" style="35" customWidth="1"/>
    <col min="3" max="3" width="10.5703125" style="35" customWidth="1"/>
    <col min="4" max="5" width="9.140625" style="35"/>
    <col min="6" max="6" width="11.42578125" style="35" customWidth="1"/>
    <col min="7" max="7" width="11" customWidth="1"/>
    <col min="8" max="8" width="6.28515625" customWidth="1"/>
    <col min="9" max="9" width="10.28515625" customWidth="1"/>
    <col min="10" max="10" width="11" customWidth="1"/>
    <col min="11" max="11" width="10.7109375" customWidth="1"/>
    <col min="12" max="12" width="10.28515625" customWidth="1"/>
    <col min="13" max="13" width="14.42578125" customWidth="1"/>
    <col min="14" max="14" width="10.140625" style="1" bestFit="1" customWidth="1"/>
    <col min="15" max="15" width="14.85546875" customWidth="1"/>
  </cols>
  <sheetData>
    <row r="1" spans="1:17" x14ac:dyDescent="0.25">
      <c r="A1" s="704" t="s">
        <v>28</v>
      </c>
      <c r="B1" s="705"/>
      <c r="C1" s="705"/>
      <c r="D1" s="705"/>
      <c r="E1" s="705"/>
      <c r="F1" s="705"/>
      <c r="G1" s="706"/>
      <c r="H1" s="411"/>
      <c r="I1" s="701" t="s">
        <v>43</v>
      </c>
      <c r="J1" s="701"/>
      <c r="K1" s="701"/>
      <c r="L1" s="701"/>
      <c r="M1" s="709"/>
      <c r="N1" s="705" t="s">
        <v>60</v>
      </c>
      <c r="O1" s="705"/>
      <c r="P1" s="109"/>
      <c r="Q1" s="110"/>
    </row>
    <row r="2" spans="1:17" ht="19.5" customHeight="1" x14ac:dyDescent="0.25">
      <c r="A2" s="412" t="s">
        <v>2</v>
      </c>
      <c r="B2" s="375" t="s">
        <v>34</v>
      </c>
      <c r="C2" s="36" t="s">
        <v>35</v>
      </c>
      <c r="D2" s="36" t="s">
        <v>38</v>
      </c>
      <c r="E2" s="36" t="s">
        <v>42</v>
      </c>
      <c r="F2" s="379" t="s">
        <v>36</v>
      </c>
      <c r="G2" s="1" t="s">
        <v>37</v>
      </c>
      <c r="H2" s="43"/>
      <c r="I2" s="40"/>
      <c r="J2" s="376" t="s">
        <v>41</v>
      </c>
      <c r="K2" s="376" t="s">
        <v>38</v>
      </c>
      <c r="L2" s="376" t="s">
        <v>42</v>
      </c>
      <c r="M2" s="101" t="s">
        <v>44</v>
      </c>
      <c r="O2" s="1"/>
      <c r="P2" s="288" t="s">
        <v>58</v>
      </c>
      <c r="Q2" s="413" t="s">
        <v>65</v>
      </c>
    </row>
    <row r="3" spans="1:17" x14ac:dyDescent="0.25">
      <c r="A3" s="414">
        <v>43647</v>
      </c>
      <c r="B3" s="377" t="s">
        <v>97</v>
      </c>
      <c r="C3" s="37">
        <v>1364.15</v>
      </c>
      <c r="D3" s="37">
        <v>500</v>
      </c>
      <c r="E3" s="37">
        <f>C3-D3</f>
        <v>864.15000000000009</v>
      </c>
      <c r="F3" s="376" t="s">
        <v>91</v>
      </c>
      <c r="G3" s="153" t="e">
        <f>#REF!</f>
        <v>#REF!</v>
      </c>
      <c r="H3" s="43"/>
      <c r="I3" s="376" t="s">
        <v>39</v>
      </c>
      <c r="J3" s="376">
        <v>1841.27</v>
      </c>
      <c r="K3" s="376">
        <v>900</v>
      </c>
      <c r="L3" s="376">
        <f>J3-K3</f>
        <v>941.27</v>
      </c>
      <c r="M3" s="102">
        <v>43651</v>
      </c>
      <c r="N3" s="100">
        <v>43647</v>
      </c>
      <c r="O3" s="376" t="s">
        <v>30</v>
      </c>
      <c r="P3" s="376">
        <v>764.4</v>
      </c>
      <c r="Q3" s="112"/>
    </row>
    <row r="4" spans="1:17" x14ac:dyDescent="0.25">
      <c r="A4" s="415"/>
      <c r="B4" s="377" t="s">
        <v>33</v>
      </c>
      <c r="C4" s="38">
        <v>756.48</v>
      </c>
      <c r="D4" s="46">
        <f>500+256.48</f>
        <v>756.48</v>
      </c>
      <c r="E4" s="37">
        <f t="shared" ref="E4:E9" si="0">C4-D4</f>
        <v>0</v>
      </c>
      <c r="F4" s="376" t="str">
        <f t="shared" ref="F4:F21" si="1">IF(C4=0,"",IF(C4-D4=0,"оплачено",""))</f>
        <v>оплачено</v>
      </c>
      <c r="G4" s="1" t="e">
        <f>#REF!</f>
        <v>#REF!</v>
      </c>
      <c r="H4" s="43"/>
      <c r="I4" s="376" t="s">
        <v>40</v>
      </c>
      <c r="J4" s="376">
        <v>660.88</v>
      </c>
      <c r="K4" s="376">
        <v>300</v>
      </c>
      <c r="L4" s="376">
        <f>J4-K4</f>
        <v>360.88</v>
      </c>
      <c r="M4" s="102">
        <v>43651</v>
      </c>
      <c r="N4" s="100">
        <v>43656</v>
      </c>
      <c r="O4" s="376" t="s">
        <v>30</v>
      </c>
      <c r="P4" s="376">
        <v>634.79999999999995</v>
      </c>
      <c r="Q4" s="112"/>
    </row>
    <row r="5" spans="1:17" x14ac:dyDescent="0.25">
      <c r="A5" s="416" t="s">
        <v>70</v>
      </c>
      <c r="B5" s="55" t="s">
        <v>27</v>
      </c>
      <c r="C5" s="56">
        <v>1040.7</v>
      </c>
      <c r="D5" s="57">
        <v>1040.7</v>
      </c>
      <c r="E5" s="58">
        <f t="shared" si="0"/>
        <v>0</v>
      </c>
      <c r="F5" s="59" t="str">
        <f t="shared" si="1"/>
        <v>оплачено</v>
      </c>
      <c r="G5" s="1">
        <v>1628</v>
      </c>
      <c r="H5" s="43"/>
      <c r="I5" s="1"/>
      <c r="J5" s="93">
        <f>SUM(J3:J4)</f>
        <v>2502.15</v>
      </c>
      <c r="K5" s="1"/>
      <c r="L5" s="1">
        <f>SUM(L3:L4)</f>
        <v>1302.1500000000001</v>
      </c>
      <c r="M5" s="44"/>
      <c r="N5" s="100">
        <v>43661</v>
      </c>
      <c r="O5" s="376" t="s">
        <v>55</v>
      </c>
      <c r="P5" s="376">
        <v>575.25</v>
      </c>
      <c r="Q5" s="112"/>
    </row>
    <row r="6" spans="1:17" x14ac:dyDescent="0.25">
      <c r="A6" s="417"/>
      <c r="B6" s="377" t="s">
        <v>29</v>
      </c>
      <c r="C6" s="39">
        <v>234.3</v>
      </c>
      <c r="D6" s="47">
        <v>234.3</v>
      </c>
      <c r="E6" s="37">
        <f t="shared" si="0"/>
        <v>0</v>
      </c>
      <c r="F6" s="376" t="str">
        <f t="shared" si="1"/>
        <v>оплачено</v>
      </c>
      <c r="G6" s="107">
        <v>354.5</v>
      </c>
      <c r="H6" s="1"/>
      <c r="I6" s="153"/>
      <c r="J6" s="1"/>
      <c r="K6" s="1"/>
      <c r="L6" s="1"/>
      <c r="M6" s="44"/>
      <c r="N6" s="378"/>
      <c r="O6" s="53" t="s">
        <v>64</v>
      </c>
      <c r="P6" s="53">
        <v>1182.9000000000001</v>
      </c>
      <c r="Q6" s="112"/>
    </row>
    <row r="7" spans="1:17" ht="15" customHeight="1" x14ac:dyDescent="0.25">
      <c r="A7" s="707">
        <v>43648</v>
      </c>
      <c r="B7" s="42" t="s">
        <v>31</v>
      </c>
      <c r="C7" s="41">
        <v>745.23</v>
      </c>
      <c r="D7" s="48"/>
      <c r="E7" s="50">
        <f t="shared" si="0"/>
        <v>745.23</v>
      </c>
      <c r="F7" s="41" t="s">
        <v>61</v>
      </c>
      <c r="G7" s="107">
        <v>1162</v>
      </c>
      <c r="H7" s="684" t="s">
        <v>16</v>
      </c>
      <c r="I7" s="685" t="s">
        <v>17</v>
      </c>
      <c r="J7" s="685" t="s">
        <v>21</v>
      </c>
      <c r="K7" s="685"/>
      <c r="L7" s="686" t="s">
        <v>93</v>
      </c>
      <c r="M7" s="687" t="s">
        <v>95</v>
      </c>
      <c r="N7" s="378"/>
      <c r="O7" s="53" t="s">
        <v>66</v>
      </c>
      <c r="P7" s="53">
        <v>554.70000000000005</v>
      </c>
      <c r="Q7" s="112"/>
    </row>
    <row r="8" spans="1:17" ht="23.25" customHeight="1" x14ac:dyDescent="0.25">
      <c r="A8" s="708"/>
      <c r="B8" s="376" t="s">
        <v>32</v>
      </c>
      <c r="C8" s="376">
        <v>229.95</v>
      </c>
      <c r="D8" s="49">
        <v>229.95</v>
      </c>
      <c r="E8" s="37">
        <f t="shared" si="0"/>
        <v>0</v>
      </c>
      <c r="F8" s="376" t="str">
        <f t="shared" si="1"/>
        <v>оплачено</v>
      </c>
      <c r="G8" s="107">
        <v>378</v>
      </c>
      <c r="H8" s="684"/>
      <c r="I8" s="685"/>
      <c r="J8" s="380" t="s">
        <v>21</v>
      </c>
      <c r="K8" s="380" t="s">
        <v>25</v>
      </c>
      <c r="L8" s="686"/>
      <c r="M8" s="687"/>
      <c r="N8" s="378"/>
      <c r="O8" s="53" t="s">
        <v>67</v>
      </c>
      <c r="P8" s="376">
        <f>292.5/2</f>
        <v>146.25</v>
      </c>
      <c r="Q8" s="112"/>
    </row>
    <row r="9" spans="1:17" x14ac:dyDescent="0.25">
      <c r="A9" s="418">
        <v>43655</v>
      </c>
      <c r="B9" s="42" t="s">
        <v>31</v>
      </c>
      <c r="C9" s="41">
        <v>418.54</v>
      </c>
      <c r="D9" s="48"/>
      <c r="E9" s="50">
        <f t="shared" si="0"/>
        <v>418.54</v>
      </c>
      <c r="F9" s="41" t="s">
        <v>61</v>
      </c>
      <c r="G9" s="107"/>
      <c r="H9" s="106" t="s">
        <v>18</v>
      </c>
      <c r="I9" s="95">
        <v>32809.9</v>
      </c>
      <c r="J9" s="95">
        <v>1675.7199999999998</v>
      </c>
      <c r="K9" s="99">
        <v>1047.01</v>
      </c>
      <c r="L9" s="97">
        <v>52152</v>
      </c>
      <c r="M9" s="105">
        <f>82159.79-I9-J9-K9+L9</f>
        <v>98779.159999999989</v>
      </c>
      <c r="N9" s="100">
        <v>43669</v>
      </c>
      <c r="O9" s="376" t="s">
        <v>55</v>
      </c>
      <c r="P9" s="53">
        <v>1798</v>
      </c>
      <c r="Q9" s="112"/>
    </row>
    <row r="10" spans="1:17" x14ac:dyDescent="0.25">
      <c r="A10" s="418">
        <v>43656</v>
      </c>
      <c r="B10" s="377" t="s">
        <v>149</v>
      </c>
      <c r="C10" s="376">
        <v>211.4</v>
      </c>
      <c r="D10" s="376">
        <v>211.4</v>
      </c>
      <c r="E10" s="37">
        <f t="shared" ref="E10:E21" si="2">C10-D10</f>
        <v>0</v>
      </c>
      <c r="F10" s="376" t="str">
        <f t="shared" si="1"/>
        <v>оплачено</v>
      </c>
      <c r="G10" s="107"/>
      <c r="H10" s="106" t="s">
        <v>19</v>
      </c>
      <c r="I10" s="95">
        <v>35259.579999999994</v>
      </c>
      <c r="J10" s="96">
        <v>1363.3000000000002</v>
      </c>
      <c r="K10" s="95">
        <v>1176.05</v>
      </c>
      <c r="L10" s="98">
        <v>40465.950000000004</v>
      </c>
      <c r="M10" s="97">
        <f>M9-I10-J10-K10+L10</f>
        <v>101446.18</v>
      </c>
      <c r="N10" s="378"/>
      <c r="O10" s="53" t="s">
        <v>82</v>
      </c>
      <c r="P10" s="53">
        <v>550</v>
      </c>
      <c r="Q10" s="112"/>
    </row>
    <row r="11" spans="1:17" x14ac:dyDescent="0.25">
      <c r="A11" s="419">
        <v>43657</v>
      </c>
      <c r="B11" s="377" t="s">
        <v>71</v>
      </c>
      <c r="C11" s="376">
        <v>264.07</v>
      </c>
      <c r="D11" s="49">
        <v>264.07</v>
      </c>
      <c r="E11" s="37">
        <f t="shared" si="2"/>
        <v>0</v>
      </c>
      <c r="F11" s="376" t="str">
        <f t="shared" si="1"/>
        <v>оплачено</v>
      </c>
      <c r="G11" s="107"/>
      <c r="H11" s="1"/>
      <c r="I11" s="5" t="e">
        <f>#REF!</f>
        <v>#REF!</v>
      </c>
      <c r="J11" s="13">
        <v>1209.3000000000002</v>
      </c>
      <c r="K11" s="49">
        <v>1213.33</v>
      </c>
      <c r="L11" s="49">
        <v>19306</v>
      </c>
      <c r="M11" s="103"/>
      <c r="N11" s="378"/>
      <c r="O11" s="53" t="s">
        <v>83</v>
      </c>
      <c r="P11" s="53">
        <v>1800</v>
      </c>
      <c r="Q11" s="112"/>
    </row>
    <row r="12" spans="1:17" x14ac:dyDescent="0.25">
      <c r="A12" s="419">
        <v>43658</v>
      </c>
      <c r="B12" s="377" t="s">
        <v>62</v>
      </c>
      <c r="C12" s="376">
        <v>543.64</v>
      </c>
      <c r="D12" s="376">
        <v>543.64</v>
      </c>
      <c r="E12" s="37">
        <f t="shared" si="2"/>
        <v>0</v>
      </c>
      <c r="F12" s="376" t="str">
        <f t="shared" si="1"/>
        <v>оплачено</v>
      </c>
      <c r="G12" s="12">
        <f>C10+C15</f>
        <v>378</v>
      </c>
      <c r="H12" s="43"/>
      <c r="I12" s="153"/>
      <c r="J12" s="1"/>
      <c r="K12" s="160"/>
      <c r="L12" s="153"/>
      <c r="M12" s="103"/>
      <c r="N12" s="378"/>
      <c r="O12" s="53" t="s">
        <v>84</v>
      </c>
      <c r="P12" s="53">
        <v>2400</v>
      </c>
      <c r="Q12" s="112"/>
    </row>
    <row r="13" spans="1:17" x14ac:dyDescent="0.25">
      <c r="A13" s="419">
        <v>43663</v>
      </c>
      <c r="B13" s="42" t="s">
        <v>31</v>
      </c>
      <c r="C13" s="41">
        <v>497.17</v>
      </c>
      <c r="D13" s="41"/>
      <c r="E13" s="50">
        <f t="shared" si="2"/>
        <v>497.17</v>
      </c>
      <c r="F13" s="41" t="s">
        <v>61</v>
      </c>
      <c r="G13" s="1"/>
      <c r="H13" s="43"/>
      <c r="I13" s="1"/>
      <c r="J13" s="153"/>
      <c r="K13" s="160"/>
      <c r="L13" s="153"/>
      <c r="M13" s="103"/>
      <c r="N13" s="378"/>
      <c r="O13" s="53" t="s">
        <v>85</v>
      </c>
      <c r="P13" s="53">
        <v>40</v>
      </c>
      <c r="Q13" s="112"/>
    </row>
    <row r="14" spans="1:17" x14ac:dyDescent="0.25">
      <c r="A14" s="418">
        <v>43666</v>
      </c>
      <c r="B14" s="376" t="s">
        <v>63</v>
      </c>
      <c r="C14" s="376">
        <v>178.15</v>
      </c>
      <c r="D14" s="376">
        <v>178.15</v>
      </c>
      <c r="E14" s="37">
        <f t="shared" si="2"/>
        <v>0</v>
      </c>
      <c r="F14" s="376" t="str">
        <f t="shared" si="1"/>
        <v>оплачено</v>
      </c>
      <c r="G14" s="1"/>
      <c r="H14" s="43"/>
      <c r="I14" s="1"/>
      <c r="J14" s="1"/>
      <c r="K14" s="161"/>
      <c r="L14" s="153"/>
      <c r="M14" s="44"/>
      <c r="N14" s="378"/>
      <c r="O14" s="53" t="s">
        <v>86</v>
      </c>
      <c r="P14" s="376">
        <f>1074/2</f>
        <v>537</v>
      </c>
      <c r="Q14" s="112"/>
    </row>
    <row r="15" spans="1:17" x14ac:dyDescent="0.25">
      <c r="A15" s="418">
        <v>43668</v>
      </c>
      <c r="B15" s="376" t="s">
        <v>149</v>
      </c>
      <c r="C15" s="5">
        <v>166.6</v>
      </c>
      <c r="D15" s="5">
        <v>166.6</v>
      </c>
      <c r="E15" s="37">
        <f t="shared" si="2"/>
        <v>0</v>
      </c>
      <c r="F15" s="376" t="str">
        <f t="shared" si="1"/>
        <v>оплачено</v>
      </c>
      <c r="G15" s="1"/>
      <c r="H15" s="43"/>
      <c r="I15" s="1"/>
      <c r="J15" s="1"/>
      <c r="K15" s="1"/>
      <c r="L15" s="1"/>
      <c r="M15" s="103"/>
      <c r="N15" s="378"/>
      <c r="O15" s="53" t="s">
        <v>87</v>
      </c>
      <c r="P15" s="376">
        <v>165</v>
      </c>
      <c r="Q15" s="112"/>
    </row>
    <row r="16" spans="1:17" x14ac:dyDescent="0.25">
      <c r="A16" s="418">
        <v>43661</v>
      </c>
      <c r="B16" s="376" t="s">
        <v>69</v>
      </c>
      <c r="C16" s="376">
        <v>293.3</v>
      </c>
      <c r="D16" s="376">
        <v>293.3</v>
      </c>
      <c r="E16" s="37">
        <f t="shared" si="2"/>
        <v>0</v>
      </c>
      <c r="F16" s="376" t="str">
        <f t="shared" si="1"/>
        <v>оплачено</v>
      </c>
      <c r="G16" s="1"/>
      <c r="H16" s="43"/>
      <c r="I16" s="1"/>
      <c r="J16" s="1"/>
      <c r="K16" s="1"/>
      <c r="L16" s="1"/>
      <c r="M16" s="44"/>
      <c r="N16" s="378"/>
      <c r="O16" s="53" t="s">
        <v>88</v>
      </c>
      <c r="P16" s="376">
        <f>594.3/2</f>
        <v>297.14999999999998</v>
      </c>
      <c r="Q16" s="112"/>
    </row>
    <row r="17" spans="1:17" x14ac:dyDescent="0.25">
      <c r="A17" s="418">
        <v>43669</v>
      </c>
      <c r="B17" s="376" t="s">
        <v>71</v>
      </c>
      <c r="C17" s="376">
        <v>306.07</v>
      </c>
      <c r="D17" s="376">
        <v>306.07</v>
      </c>
      <c r="E17" s="37">
        <f t="shared" si="2"/>
        <v>0</v>
      </c>
      <c r="F17" s="376" t="str">
        <f t="shared" si="1"/>
        <v>оплачено</v>
      </c>
      <c r="G17" s="1"/>
      <c r="H17" s="43"/>
      <c r="I17" s="1"/>
      <c r="J17" s="1"/>
      <c r="K17" s="1"/>
      <c r="L17" s="1"/>
      <c r="M17" s="104"/>
      <c r="N17" s="378"/>
      <c r="O17" s="53" t="s">
        <v>92</v>
      </c>
      <c r="P17" s="376">
        <v>1200</v>
      </c>
      <c r="Q17" s="112"/>
    </row>
    <row r="18" spans="1:17" x14ac:dyDescent="0.25">
      <c r="A18" s="418">
        <v>43671</v>
      </c>
      <c r="B18" s="376" t="s">
        <v>69</v>
      </c>
      <c r="C18" s="376">
        <v>297.16000000000003</v>
      </c>
      <c r="D18" s="376">
        <v>297.16000000000003</v>
      </c>
      <c r="E18" s="37">
        <f t="shared" si="2"/>
        <v>0</v>
      </c>
      <c r="F18" s="376" t="str">
        <f t="shared" si="1"/>
        <v>оплачено</v>
      </c>
      <c r="G18" s="1"/>
      <c r="H18" s="43">
        <v>1</v>
      </c>
      <c r="I18" s="680" t="s">
        <v>47</v>
      </c>
      <c r="J18" s="680"/>
      <c r="K18" s="376">
        <v>288.75</v>
      </c>
      <c r="L18" s="1" t="s">
        <v>56</v>
      </c>
      <c r="M18" s="44"/>
      <c r="N18" s="82">
        <v>43677</v>
      </c>
      <c r="O18" s="83" t="s">
        <v>27</v>
      </c>
      <c r="P18" s="160">
        <v>500</v>
      </c>
      <c r="Q18" s="420">
        <v>994</v>
      </c>
    </row>
    <row r="19" spans="1:17" x14ac:dyDescent="0.25">
      <c r="A19" s="412"/>
      <c r="B19" s="376" t="s">
        <v>80</v>
      </c>
      <c r="C19" s="376">
        <v>1180.9000000000001</v>
      </c>
      <c r="D19" s="376">
        <v>1180.9000000000001</v>
      </c>
      <c r="E19" s="37">
        <f t="shared" si="2"/>
        <v>0</v>
      </c>
      <c r="F19" s="376" t="str">
        <f t="shared" si="1"/>
        <v>оплачено</v>
      </c>
      <c r="G19" s="1"/>
      <c r="H19" s="43">
        <v>2</v>
      </c>
      <c r="I19" s="680" t="s">
        <v>51</v>
      </c>
      <c r="J19" s="680"/>
      <c r="K19" s="376">
        <v>64.349999999999994</v>
      </c>
      <c r="L19" s="1" t="s">
        <v>56</v>
      </c>
      <c r="M19" s="44"/>
      <c r="O19" s="1"/>
      <c r="P19" s="93">
        <f>SUM(P3:P18)</f>
        <v>13145.449999999999</v>
      </c>
      <c r="Q19" s="112"/>
    </row>
    <row r="20" spans="1:17" x14ac:dyDescent="0.25">
      <c r="A20" s="412" t="s">
        <v>90</v>
      </c>
      <c r="B20" s="376" t="s">
        <v>89</v>
      </c>
      <c r="C20" s="376">
        <v>1570</v>
      </c>
      <c r="D20" s="376">
        <v>1570</v>
      </c>
      <c r="E20" s="37">
        <f t="shared" si="2"/>
        <v>0</v>
      </c>
      <c r="F20" s="376" t="str">
        <f t="shared" si="1"/>
        <v>оплачено</v>
      </c>
      <c r="G20" s="1"/>
      <c r="H20" s="43">
        <v>3</v>
      </c>
      <c r="I20" s="680" t="s">
        <v>52</v>
      </c>
      <c r="J20" s="680"/>
      <c r="K20" s="376">
        <v>10</v>
      </c>
      <c r="L20" s="1" t="s">
        <v>56</v>
      </c>
      <c r="M20" s="44"/>
      <c r="O20" s="1"/>
      <c r="P20" s="1"/>
      <c r="Q20" s="112"/>
    </row>
    <row r="21" spans="1:17" x14ac:dyDescent="0.25">
      <c r="A21" s="418">
        <v>43677</v>
      </c>
      <c r="B21" s="376" t="s">
        <v>97</v>
      </c>
      <c r="C21" s="94">
        <v>526.5</v>
      </c>
      <c r="D21" s="94">
        <v>526.5</v>
      </c>
      <c r="E21" s="37">
        <f t="shared" si="2"/>
        <v>0</v>
      </c>
      <c r="F21" s="376" t="str">
        <f t="shared" si="1"/>
        <v>оплачено</v>
      </c>
      <c r="G21" s="1"/>
      <c r="H21" s="43">
        <v>4</v>
      </c>
      <c r="I21" s="680" t="s">
        <v>53</v>
      </c>
      <c r="J21" s="680"/>
      <c r="K21" s="376">
        <v>5</v>
      </c>
      <c r="L21" s="1" t="s">
        <v>56</v>
      </c>
      <c r="M21" s="103"/>
      <c r="O21" s="1"/>
      <c r="P21" s="1"/>
      <c r="Q21" s="112"/>
    </row>
    <row r="22" spans="1:17" x14ac:dyDescent="0.25">
      <c r="A22" s="111"/>
      <c r="B22" s="1"/>
      <c r="C22" s="421">
        <f>SUM(C3:C21)-C7-C9-C13</f>
        <v>9163.369999999999</v>
      </c>
      <c r="D22" s="1"/>
      <c r="E22" s="1"/>
      <c r="F22" s="1"/>
      <c r="G22" s="1"/>
      <c r="H22" s="43">
        <v>5</v>
      </c>
      <c r="I22" s="680" t="s">
        <v>54</v>
      </c>
      <c r="J22" s="680"/>
      <c r="K22" s="376">
        <v>4</v>
      </c>
      <c r="L22" s="1" t="s">
        <v>56</v>
      </c>
      <c r="M22" s="103"/>
      <c r="O22" s="1"/>
      <c r="P22" s="1"/>
      <c r="Q22" s="112"/>
    </row>
    <row r="23" spans="1:17" x14ac:dyDescent="0.25">
      <c r="A23" s="111"/>
      <c r="B23" s="1"/>
      <c r="C23" s="1"/>
      <c r="D23" s="1"/>
      <c r="E23" s="1"/>
      <c r="F23" s="153"/>
      <c r="G23" s="1"/>
      <c r="H23" s="43">
        <v>6</v>
      </c>
      <c r="I23" s="680" t="s">
        <v>49</v>
      </c>
      <c r="J23" s="680"/>
      <c r="K23" s="376">
        <v>332.56</v>
      </c>
      <c r="L23" s="1" t="s">
        <v>56</v>
      </c>
      <c r="M23" s="103"/>
      <c r="O23" s="1"/>
      <c r="P23" s="1"/>
      <c r="Q23" s="112"/>
    </row>
    <row r="24" spans="1:17" x14ac:dyDescent="0.25">
      <c r="A24" s="111"/>
      <c r="B24" s="1"/>
      <c r="C24" s="1"/>
      <c r="D24" s="1"/>
      <c r="E24" s="1"/>
      <c r="F24" s="1"/>
      <c r="G24" s="1"/>
      <c r="H24" s="43">
        <v>7</v>
      </c>
      <c r="I24" s="675" t="s">
        <v>48</v>
      </c>
      <c r="J24" s="676"/>
      <c r="K24" s="376">
        <v>458.46</v>
      </c>
      <c r="L24" s="153" t="s">
        <v>56</v>
      </c>
      <c r="M24" s="103"/>
      <c r="O24" s="1"/>
      <c r="P24" s="1"/>
      <c r="Q24" s="112"/>
    </row>
    <row r="25" spans="1:17" x14ac:dyDescent="0.25">
      <c r="A25" s="111"/>
      <c r="B25" s="1"/>
      <c r="C25" s="1"/>
      <c r="D25" s="1"/>
      <c r="E25" s="1"/>
      <c r="F25" s="1"/>
      <c r="G25" s="1"/>
      <c r="H25" s="43">
        <v>8</v>
      </c>
      <c r="I25" s="675" t="s">
        <v>57</v>
      </c>
      <c r="J25" s="676"/>
      <c r="K25" s="376">
        <v>4.58</v>
      </c>
      <c r="L25" s="1" t="s">
        <v>56</v>
      </c>
      <c r="M25" s="44" t="s">
        <v>76</v>
      </c>
      <c r="O25" s="1"/>
      <c r="P25" s="1"/>
      <c r="Q25" s="112"/>
    </row>
    <row r="26" spans="1:17" s="35" customFormat="1" x14ac:dyDescent="0.25">
      <c r="A26" s="111"/>
      <c r="B26" s="1"/>
      <c r="C26" s="153"/>
      <c r="D26" s="1"/>
      <c r="E26" s="1"/>
      <c r="F26" s="12"/>
      <c r="G26" s="1"/>
      <c r="H26" s="43">
        <v>9</v>
      </c>
      <c r="I26" s="677" t="s">
        <v>59</v>
      </c>
      <c r="J26" s="677"/>
      <c r="K26" s="376">
        <v>1041.98</v>
      </c>
      <c r="L26" s="1" t="s">
        <v>56</v>
      </c>
      <c r="M26" s="44"/>
      <c r="N26" s="1"/>
      <c r="O26" s="1"/>
      <c r="P26" s="1"/>
      <c r="Q26" s="112"/>
    </row>
    <row r="27" spans="1:17" s="35" customFormat="1" x14ac:dyDescent="0.25">
      <c r="A27" s="111"/>
      <c r="B27" s="1"/>
      <c r="C27" s="1"/>
      <c r="D27" s="1"/>
      <c r="E27" s="1"/>
      <c r="F27" s="1"/>
      <c r="G27" s="1"/>
      <c r="H27" s="43">
        <v>10</v>
      </c>
      <c r="I27" s="678" t="s">
        <v>68</v>
      </c>
      <c r="J27" s="679"/>
      <c r="K27" s="376">
        <f>83.73+187.98</f>
        <v>271.70999999999998</v>
      </c>
      <c r="L27" s="1" t="s">
        <v>56</v>
      </c>
      <c r="M27" s="44"/>
      <c r="N27" s="1"/>
      <c r="O27" s="1"/>
      <c r="P27" s="1"/>
      <c r="Q27" s="112"/>
    </row>
    <row r="28" spans="1:17" s="35" customFormat="1" x14ac:dyDescent="0.25">
      <c r="A28" s="111"/>
      <c r="B28" s="1"/>
      <c r="C28" s="1"/>
      <c r="D28" s="1"/>
      <c r="E28" s="1"/>
      <c r="F28" s="12"/>
      <c r="G28" s="12"/>
      <c r="H28" s="43">
        <v>11</v>
      </c>
      <c r="I28" s="678" t="s">
        <v>81</v>
      </c>
      <c r="J28" s="679"/>
      <c r="K28" s="53">
        <v>1730.44</v>
      </c>
      <c r="L28" s="1" t="s">
        <v>56</v>
      </c>
      <c r="M28" s="44"/>
      <c r="N28" s="1"/>
      <c r="O28" s="1"/>
      <c r="P28" s="1"/>
      <c r="Q28" s="112"/>
    </row>
    <row r="29" spans="1:17" x14ac:dyDescent="0.25">
      <c r="A29" s="111"/>
      <c r="B29" s="1"/>
      <c r="C29" s="1"/>
      <c r="D29" s="1"/>
      <c r="E29" s="153"/>
      <c r="F29" s="1"/>
      <c r="G29" s="1"/>
      <c r="H29" s="43"/>
      <c r="I29" s="1" t="s">
        <v>50</v>
      </c>
      <c r="J29" s="1"/>
      <c r="K29" s="93">
        <f>SUM(K18:K28)</f>
        <v>4211.83</v>
      </c>
      <c r="L29" s="1"/>
      <c r="M29" s="44"/>
      <c r="O29" s="1"/>
      <c r="P29" s="1"/>
      <c r="Q29" s="112"/>
    </row>
    <row r="30" spans="1:17" x14ac:dyDescent="0.25">
      <c r="A30" s="111"/>
      <c r="B30" s="1"/>
      <c r="C30" s="1"/>
      <c r="D30" s="1"/>
      <c r="E30" s="1"/>
      <c r="F30" s="1"/>
      <c r="G30" s="1"/>
      <c r="H30" s="43"/>
      <c r="I30" s="1"/>
      <c r="J30" s="1"/>
      <c r="K30" s="1"/>
      <c r="L30" s="1"/>
      <c r="M30" s="103"/>
      <c r="O30" s="1"/>
      <c r="P30" s="1"/>
      <c r="Q30" s="112"/>
    </row>
    <row r="31" spans="1:17" x14ac:dyDescent="0.25">
      <c r="A31" s="111"/>
      <c r="B31" s="1"/>
      <c r="C31" s="1"/>
      <c r="D31" s="1"/>
      <c r="E31" s="1"/>
      <c r="F31" s="1"/>
      <c r="G31" s="1"/>
      <c r="H31" s="43"/>
      <c r="I31" s="1"/>
      <c r="J31" s="1"/>
      <c r="K31" s="1"/>
      <c r="L31" s="1"/>
      <c r="M31" s="44"/>
      <c r="O31" s="1"/>
      <c r="P31" s="1"/>
      <c r="Q31" s="112"/>
    </row>
    <row r="32" spans="1:17" x14ac:dyDescent="0.25">
      <c r="A32" s="111"/>
      <c r="B32" s="1"/>
      <c r="C32" s="1"/>
      <c r="D32" s="1"/>
      <c r="E32" s="1"/>
      <c r="F32" s="1"/>
      <c r="G32" s="1"/>
      <c r="H32" s="43"/>
      <c r="I32" s="1"/>
      <c r="J32" s="1"/>
      <c r="K32" s="1"/>
      <c r="L32" s="1"/>
      <c r="M32" s="44"/>
      <c r="O32" s="1"/>
      <c r="P32" s="1"/>
      <c r="Q32" s="112"/>
    </row>
    <row r="33" spans="1:20" ht="15.75" thickBot="1" x14ac:dyDescent="0.3">
      <c r="A33" s="111"/>
      <c r="B33" s="1"/>
      <c r="C33" s="1"/>
      <c r="D33" s="1"/>
      <c r="E33" s="1"/>
      <c r="F33" s="1"/>
      <c r="G33" s="1"/>
      <c r="H33" s="43"/>
      <c r="I33" s="1"/>
      <c r="J33" s="1"/>
      <c r="K33" s="1"/>
      <c r="L33" s="1"/>
      <c r="M33" s="44"/>
      <c r="O33" s="1"/>
      <c r="P33" s="1"/>
      <c r="Q33" s="112"/>
    </row>
    <row r="34" spans="1:20" x14ac:dyDescent="0.25">
      <c r="A34" s="108"/>
      <c r="B34" s="109"/>
      <c r="C34" s="109"/>
      <c r="D34" s="109"/>
      <c r="E34" s="109"/>
      <c r="F34" s="109"/>
      <c r="G34" s="109"/>
      <c r="H34" s="109"/>
      <c r="I34" s="688" t="s">
        <v>195</v>
      </c>
      <c r="J34" s="688"/>
      <c r="K34" s="688"/>
      <c r="L34" s="109"/>
      <c r="M34" s="109"/>
      <c r="N34" s="109"/>
      <c r="O34" s="109"/>
      <c r="P34" s="109"/>
      <c r="Q34" s="109"/>
      <c r="R34" s="109"/>
      <c r="S34" s="110"/>
    </row>
    <row r="35" spans="1:20" x14ac:dyDescent="0.25">
      <c r="A35" s="447"/>
      <c r="B35" s="382"/>
      <c r="C35" s="382"/>
      <c r="D35" s="382"/>
      <c r="E35" s="382"/>
      <c r="F35" s="382"/>
      <c r="G35" s="382"/>
      <c r="H35" s="373"/>
      <c r="I35" s="689"/>
      <c r="J35" s="689"/>
      <c r="K35" s="689"/>
      <c r="L35" s="382"/>
      <c r="M35" s="382"/>
      <c r="N35" s="699"/>
      <c r="O35" s="699"/>
      <c r="P35" s="373"/>
      <c r="Q35" s="373"/>
      <c r="R35" s="373"/>
      <c r="S35" s="422"/>
      <c r="T35" s="51"/>
    </row>
    <row r="36" spans="1:20" ht="15.75" thickBot="1" x14ac:dyDescent="0.3">
      <c r="A36" s="423"/>
      <c r="B36" s="372"/>
      <c r="C36" s="382"/>
      <c r="D36" s="382"/>
      <c r="E36" s="382"/>
      <c r="F36" s="372"/>
      <c r="G36" s="373"/>
      <c r="H36" s="373"/>
      <c r="I36" s="373"/>
      <c r="J36" s="373"/>
      <c r="K36" s="373"/>
      <c r="L36" s="373"/>
      <c r="M36" s="373"/>
      <c r="N36" s="373"/>
      <c r="O36" s="373"/>
      <c r="P36" s="300"/>
      <c r="Q36" s="300"/>
      <c r="R36" s="373"/>
      <c r="S36" s="422"/>
      <c r="T36" s="51"/>
    </row>
    <row r="37" spans="1:20" x14ac:dyDescent="0.25">
      <c r="A37" s="700" t="s">
        <v>28</v>
      </c>
      <c r="B37" s="694"/>
      <c r="C37" s="694"/>
      <c r="D37" s="694"/>
      <c r="E37" s="694"/>
      <c r="F37" s="694"/>
      <c r="G37" s="694"/>
      <c r="H37" s="108"/>
      <c r="I37" s="701" t="s">
        <v>103</v>
      </c>
      <c r="J37" s="701"/>
      <c r="K37" s="701"/>
      <c r="L37" s="701"/>
      <c r="M37" s="702"/>
      <c r="N37" s="694" t="s">
        <v>60</v>
      </c>
      <c r="O37" s="694"/>
      <c r="P37" s="1"/>
      <c r="Q37" s="1"/>
      <c r="R37" s="1"/>
      <c r="S37" s="112"/>
      <c r="T37" s="51"/>
    </row>
    <row r="38" spans="1:20" x14ac:dyDescent="0.25">
      <c r="A38" s="412" t="s">
        <v>2</v>
      </c>
      <c r="B38" s="375" t="s">
        <v>34</v>
      </c>
      <c r="C38" s="36" t="s">
        <v>35</v>
      </c>
      <c r="D38" s="36" t="s">
        <v>38</v>
      </c>
      <c r="E38" s="36" t="s">
        <v>42</v>
      </c>
      <c r="F38" s="379" t="s">
        <v>36</v>
      </c>
      <c r="G38" s="377" t="s">
        <v>37</v>
      </c>
      <c r="H38" s="111"/>
      <c r="I38" s="40"/>
      <c r="J38" s="376" t="s">
        <v>104</v>
      </c>
      <c r="K38" s="376" t="s">
        <v>38</v>
      </c>
      <c r="L38" s="376" t="s">
        <v>42</v>
      </c>
      <c r="M38" s="121" t="s">
        <v>44</v>
      </c>
      <c r="N38" s="156" t="s">
        <v>2</v>
      </c>
      <c r="O38" s="53" t="s">
        <v>34</v>
      </c>
      <c r="P38" s="154" t="s">
        <v>58</v>
      </c>
      <c r="Q38" s="154" t="s">
        <v>65</v>
      </c>
      <c r="R38" s="373" t="s">
        <v>100</v>
      </c>
      <c r="S38" s="422" t="s">
        <v>40</v>
      </c>
      <c r="T38" s="51"/>
    </row>
    <row r="39" spans="1:20" x14ac:dyDescent="0.25">
      <c r="A39" s="424">
        <v>43680</v>
      </c>
      <c r="B39" s="151" t="s">
        <v>31</v>
      </c>
      <c r="C39" s="152">
        <v>1213.06</v>
      </c>
      <c r="D39" s="221"/>
      <c r="E39" s="152">
        <f t="shared" ref="E39:E46" si="3">C39-D39</f>
        <v>1213.06</v>
      </c>
      <c r="F39" s="41" t="s">
        <v>61</v>
      </c>
      <c r="G39" s="155">
        <v>1809</v>
      </c>
      <c r="H39" s="111"/>
      <c r="I39" s="376" t="s">
        <v>39</v>
      </c>
      <c r="J39" s="376">
        <v>2164.75</v>
      </c>
      <c r="K39" s="376">
        <v>2164.75</v>
      </c>
      <c r="L39" s="162">
        <f t="shared" ref="L39:L40" si="4">J39-K39</f>
        <v>0</v>
      </c>
      <c r="M39" s="158">
        <v>43699</v>
      </c>
      <c r="N39" s="157">
        <v>43684</v>
      </c>
      <c r="O39" s="376" t="s">
        <v>98</v>
      </c>
      <c r="P39" s="376">
        <v>1301</v>
      </c>
      <c r="Q39" s="376">
        <v>2442</v>
      </c>
      <c r="R39" s="373">
        <v>300</v>
      </c>
      <c r="S39" s="422">
        <v>390</v>
      </c>
      <c r="T39" s="51"/>
    </row>
    <row r="40" spans="1:20" x14ac:dyDescent="0.25">
      <c r="A40" s="425">
        <v>43684</v>
      </c>
      <c r="B40" s="165" t="s">
        <v>32</v>
      </c>
      <c r="C40" s="99">
        <v>799.35</v>
      </c>
      <c r="D40" s="99">
        <v>799.35</v>
      </c>
      <c r="E40" s="162">
        <f t="shared" si="3"/>
        <v>0</v>
      </c>
      <c r="F40" s="165" t="str">
        <f t="shared" ref="F40:F50" si="5">IF(C40=0,"",IF(C40-D40=0,"оплачено",""))</f>
        <v>оплачено</v>
      </c>
      <c r="G40" s="166">
        <v>1314</v>
      </c>
      <c r="H40" s="111"/>
      <c r="I40" s="376" t="s">
        <v>40</v>
      </c>
      <c r="J40" s="376">
        <v>965.66</v>
      </c>
      <c r="K40" s="376">
        <v>965.66</v>
      </c>
      <c r="L40" s="163">
        <f t="shared" si="4"/>
        <v>0</v>
      </c>
      <c r="M40" s="158">
        <v>43699</v>
      </c>
      <c r="N40" s="157">
        <v>43686</v>
      </c>
      <c r="O40" s="376" t="s">
        <v>99</v>
      </c>
      <c r="P40" s="376">
        <v>436.55</v>
      </c>
      <c r="Q40" s="376">
        <v>964.5</v>
      </c>
      <c r="R40" s="1"/>
      <c r="S40" s="112"/>
      <c r="T40" s="51"/>
    </row>
    <row r="41" spans="1:20" x14ac:dyDescent="0.25">
      <c r="A41" s="425">
        <v>43684</v>
      </c>
      <c r="B41" s="166" t="s">
        <v>29</v>
      </c>
      <c r="C41" s="99">
        <v>276.45</v>
      </c>
      <c r="D41" s="99">
        <v>276.45</v>
      </c>
      <c r="E41" s="162">
        <f>C41-D41</f>
        <v>0</v>
      </c>
      <c r="F41" s="165" t="str">
        <f t="shared" si="5"/>
        <v>оплачено</v>
      </c>
      <c r="G41" s="166">
        <v>480</v>
      </c>
      <c r="H41" s="111"/>
      <c r="I41" s="1"/>
      <c r="J41" s="93">
        <f>SUM(J39:J40)</f>
        <v>3130.41</v>
      </c>
      <c r="K41" s="1"/>
      <c r="L41" s="1"/>
      <c r="M41" s="112"/>
      <c r="N41" s="157">
        <v>43688</v>
      </c>
      <c r="O41" s="376" t="s">
        <v>102</v>
      </c>
      <c r="P41" s="376">
        <v>506.2</v>
      </c>
      <c r="Q41" s="376">
        <v>937</v>
      </c>
      <c r="R41" s="1"/>
      <c r="S41" s="112"/>
      <c r="T41" s="51"/>
    </row>
    <row r="42" spans="1:20" x14ac:dyDescent="0.25">
      <c r="A42" s="425">
        <v>43684</v>
      </c>
      <c r="B42" s="166" t="s">
        <v>29</v>
      </c>
      <c r="C42" s="99">
        <v>102.3</v>
      </c>
      <c r="D42" s="99">
        <v>102.3</v>
      </c>
      <c r="E42" s="162">
        <f t="shared" ref="E42:E51" si="6">C42-D42</f>
        <v>0</v>
      </c>
      <c r="F42" s="165" t="str">
        <f>IF(C42=0,"",IF(C42-D42=0,"оплачено",""))</f>
        <v>оплачено</v>
      </c>
      <c r="G42" s="166">
        <v>157.5</v>
      </c>
      <c r="H42" s="111"/>
      <c r="I42" s="153"/>
      <c r="J42" s="1"/>
      <c r="K42" s="1"/>
      <c r="L42" s="1"/>
      <c r="M42" s="112"/>
      <c r="N42" s="157">
        <v>43693</v>
      </c>
      <c r="O42" s="376" t="s">
        <v>102</v>
      </c>
      <c r="P42" s="53">
        <v>465.45</v>
      </c>
      <c r="Q42" s="376">
        <v>721</v>
      </c>
      <c r="R42" s="1"/>
      <c r="S42" s="112"/>
      <c r="T42" s="51"/>
    </row>
    <row r="43" spans="1:20" x14ac:dyDescent="0.25">
      <c r="A43" s="424">
        <v>43691</v>
      </c>
      <c r="B43" s="194" t="s">
        <v>107</v>
      </c>
      <c r="C43" s="149">
        <v>840.86</v>
      </c>
      <c r="D43" s="220"/>
      <c r="E43" s="152">
        <f t="shared" si="3"/>
        <v>840.86</v>
      </c>
      <c r="F43" s="41" t="s">
        <v>61</v>
      </c>
      <c r="G43" s="168">
        <v>1291</v>
      </c>
      <c r="H43" s="703" t="s">
        <v>16</v>
      </c>
      <c r="I43" s="685" t="s">
        <v>17</v>
      </c>
      <c r="J43" s="685" t="s">
        <v>21</v>
      </c>
      <c r="K43" s="685"/>
      <c r="L43" s="686" t="s">
        <v>93</v>
      </c>
      <c r="M43" s="695" t="s">
        <v>95</v>
      </c>
      <c r="N43" s="157">
        <v>43693</v>
      </c>
      <c r="O43" s="53" t="s">
        <v>66</v>
      </c>
      <c r="P43" s="53">
        <v>1500</v>
      </c>
      <c r="Q43" s="376">
        <v>2517.5</v>
      </c>
      <c r="R43" s="1"/>
      <c r="S43" s="112"/>
      <c r="T43" s="51"/>
    </row>
    <row r="44" spans="1:20" ht="24" x14ac:dyDescent="0.25">
      <c r="A44" s="425">
        <v>43694</v>
      </c>
      <c r="B44" s="174" t="s">
        <v>106</v>
      </c>
      <c r="C44" s="164">
        <v>398.78</v>
      </c>
      <c r="D44" s="164">
        <v>398.78</v>
      </c>
      <c r="E44" s="162">
        <f t="shared" si="3"/>
        <v>0</v>
      </c>
      <c r="F44" s="165" t="str">
        <f t="shared" ref="F44:F46" si="7">IF(C44=0,"",IF(C44-D44=0,"оплачено",""))</f>
        <v>оплачено</v>
      </c>
      <c r="G44" s="165">
        <v>612</v>
      </c>
      <c r="H44" s="684"/>
      <c r="I44" s="685"/>
      <c r="J44" s="380" t="s">
        <v>21</v>
      </c>
      <c r="K44" s="380" t="s">
        <v>25</v>
      </c>
      <c r="L44" s="686"/>
      <c r="M44" s="695"/>
      <c r="N44" s="52">
        <v>43694</v>
      </c>
      <c r="O44" s="376" t="s">
        <v>99</v>
      </c>
      <c r="P44" s="376">
        <v>561.28</v>
      </c>
      <c r="Q44" s="376">
        <v>1260</v>
      </c>
      <c r="R44" s="169">
        <v>134.71</v>
      </c>
      <c r="S44" s="112"/>
      <c r="T44" s="51"/>
    </row>
    <row r="45" spans="1:20" x14ac:dyDescent="0.25">
      <c r="A45" s="426">
        <v>43696</v>
      </c>
      <c r="B45" s="164" t="s">
        <v>101</v>
      </c>
      <c r="C45" s="164">
        <v>376.2</v>
      </c>
      <c r="D45" s="164">
        <v>376.2</v>
      </c>
      <c r="E45" s="162">
        <f t="shared" si="3"/>
        <v>0</v>
      </c>
      <c r="F45" s="165" t="str">
        <f t="shared" si="7"/>
        <v>оплачено</v>
      </c>
      <c r="G45" s="165">
        <v>556</v>
      </c>
      <c r="H45" s="106" t="s">
        <v>18</v>
      </c>
      <c r="I45" s="95">
        <v>32809.9</v>
      </c>
      <c r="J45" s="95">
        <v>1675.7199999999998</v>
      </c>
      <c r="K45" s="99">
        <v>1047.01</v>
      </c>
      <c r="L45" s="97">
        <v>52152</v>
      </c>
      <c r="M45" s="97">
        <f>82159.79-I45-J45-K45+L45</f>
        <v>98779.159999999989</v>
      </c>
      <c r="N45" s="209">
        <v>43701</v>
      </c>
      <c r="O45" s="376" t="s">
        <v>102</v>
      </c>
      <c r="P45" s="53">
        <v>642.65</v>
      </c>
      <c r="Q45" s="376">
        <v>1151.5</v>
      </c>
      <c r="R45" s="1"/>
      <c r="S45" s="112"/>
      <c r="T45" s="51"/>
    </row>
    <row r="46" spans="1:20" x14ac:dyDescent="0.25">
      <c r="A46" s="427">
        <v>43699</v>
      </c>
      <c r="B46" s="174" t="s">
        <v>105</v>
      </c>
      <c r="C46" s="164">
        <v>198.3</v>
      </c>
      <c r="D46" s="164">
        <v>198.3</v>
      </c>
      <c r="E46" s="162">
        <f t="shared" si="3"/>
        <v>0</v>
      </c>
      <c r="F46" s="165" t="str">
        <f t="shared" si="7"/>
        <v>оплачено</v>
      </c>
      <c r="G46" s="165">
        <v>322.5</v>
      </c>
      <c r="H46" s="106" t="s">
        <v>19</v>
      </c>
      <c r="I46" s="95">
        <v>35259.579999999994</v>
      </c>
      <c r="J46" s="96">
        <v>1363.3000000000002</v>
      </c>
      <c r="K46" s="95">
        <v>1176.05</v>
      </c>
      <c r="L46" s="98">
        <v>40465.950000000004</v>
      </c>
      <c r="M46" s="97">
        <f>M45-I46-J46-K46+L46</f>
        <v>101446.18</v>
      </c>
      <c r="N46" s="696" t="s">
        <v>35</v>
      </c>
      <c r="O46" s="697"/>
      <c r="P46" s="218">
        <f>SUM(P39:P45)</f>
        <v>5413.1299999999992</v>
      </c>
      <c r="Q46" s="218">
        <f>SUM(Q39:Q45)</f>
        <v>9993.5</v>
      </c>
      <c r="R46" s="1"/>
      <c r="S46" s="112"/>
      <c r="T46" s="51"/>
    </row>
    <row r="47" spans="1:20" ht="30" x14ac:dyDescent="0.25">
      <c r="A47" s="428">
        <v>43699</v>
      </c>
      <c r="B47" s="199" t="s">
        <v>108</v>
      </c>
      <c r="C47" s="170">
        <v>329.84</v>
      </c>
      <c r="D47" s="170">
        <v>329.84</v>
      </c>
      <c r="E47" s="162">
        <f t="shared" si="6"/>
        <v>0</v>
      </c>
      <c r="F47" s="165" t="str">
        <f t="shared" si="5"/>
        <v>оплачено</v>
      </c>
      <c r="G47" s="165"/>
      <c r="H47" s="378" t="s">
        <v>20</v>
      </c>
      <c r="I47" s="5" t="e">
        <f>#REF!</f>
        <v>#REF!</v>
      </c>
      <c r="J47" s="13">
        <v>1209.3000000000002</v>
      </c>
      <c r="K47" s="49">
        <v>1213.33</v>
      </c>
      <c r="L47" s="49">
        <v>19306</v>
      </c>
      <c r="M47" s="97" t="e">
        <f>M46-I47-J47-K47+L47</f>
        <v>#REF!</v>
      </c>
      <c r="N47" s="7"/>
      <c r="O47" s="219"/>
      <c r="P47" s="219"/>
      <c r="Q47" s="7"/>
      <c r="R47" s="1"/>
      <c r="S47" s="112"/>
      <c r="T47" s="51"/>
    </row>
    <row r="48" spans="1:20" x14ac:dyDescent="0.25">
      <c r="A48" s="428">
        <v>43700</v>
      </c>
      <c r="B48" s="175" t="s">
        <v>109</v>
      </c>
      <c r="C48" s="164">
        <v>315.89999999999998</v>
      </c>
      <c r="D48" s="164">
        <v>315.89999999999998</v>
      </c>
      <c r="E48" s="162">
        <f t="shared" si="6"/>
        <v>0</v>
      </c>
      <c r="F48" s="165" t="str">
        <f t="shared" si="5"/>
        <v>оплачено</v>
      </c>
      <c r="G48" s="166">
        <v>438</v>
      </c>
      <c r="H48" s="111"/>
      <c r="I48" s="153"/>
      <c r="J48" s="153"/>
      <c r="K48" s="1"/>
      <c r="L48" s="153"/>
      <c r="M48" s="153"/>
      <c r="O48" s="373"/>
      <c r="P48" s="373"/>
      <c r="Q48" s="1"/>
      <c r="R48" s="1"/>
      <c r="S48" s="112"/>
      <c r="T48" s="51"/>
    </row>
    <row r="49" spans="1:20" ht="15.75" thickBot="1" x14ac:dyDescent="0.3">
      <c r="A49" s="427">
        <v>43703</v>
      </c>
      <c r="B49" s="175" t="s">
        <v>112</v>
      </c>
      <c r="C49" s="164">
        <v>1141.31</v>
      </c>
      <c r="D49" s="164">
        <v>1141.31</v>
      </c>
      <c r="E49" s="162">
        <f t="shared" si="6"/>
        <v>0</v>
      </c>
      <c r="F49" s="165" t="str">
        <f t="shared" si="5"/>
        <v>оплачено</v>
      </c>
      <c r="G49" s="166">
        <v>2148.5</v>
      </c>
      <c r="H49" s="111"/>
      <c r="I49" s="1"/>
      <c r="J49" s="84"/>
      <c r="K49" s="1"/>
      <c r="L49" s="153"/>
      <c r="M49" s="153"/>
      <c r="O49" s="373"/>
      <c r="P49" s="373"/>
      <c r="Q49" s="1"/>
      <c r="R49" s="1"/>
      <c r="S49" s="112"/>
      <c r="T49" s="51"/>
    </row>
    <row r="50" spans="1:20" x14ac:dyDescent="0.25">
      <c r="A50" s="427">
        <v>43707</v>
      </c>
      <c r="B50" s="200" t="s">
        <v>113</v>
      </c>
      <c r="C50" s="167">
        <v>94.08</v>
      </c>
      <c r="D50" s="167">
        <v>94.08</v>
      </c>
      <c r="E50" s="162">
        <f t="shared" si="6"/>
        <v>0</v>
      </c>
      <c r="F50" s="165" t="str">
        <f t="shared" si="5"/>
        <v>оплачено</v>
      </c>
      <c r="G50" s="166">
        <v>184</v>
      </c>
      <c r="H50" s="698" t="s">
        <v>122</v>
      </c>
      <c r="I50" s="691"/>
      <c r="J50" s="214" t="s">
        <v>121</v>
      </c>
      <c r="K50" s="153"/>
      <c r="L50" s="153"/>
      <c r="M50" s="1"/>
      <c r="O50" s="373"/>
      <c r="P50" s="1"/>
      <c r="Q50" s="1"/>
      <c r="R50" s="1"/>
      <c r="S50" s="112"/>
      <c r="T50" s="51"/>
    </row>
    <row r="51" spans="1:20" ht="15.75" thickBot="1" x14ac:dyDescent="0.3">
      <c r="A51" s="429">
        <v>43699</v>
      </c>
      <c r="B51" s="201" t="s">
        <v>114</v>
      </c>
      <c r="C51" s="202">
        <v>653.34</v>
      </c>
      <c r="D51" s="202"/>
      <c r="E51" s="152">
        <f t="shared" si="6"/>
        <v>653.34</v>
      </c>
      <c r="F51" s="41" t="s">
        <v>61</v>
      </c>
      <c r="G51" s="203"/>
      <c r="H51" s="216"/>
      <c r="I51" s="93">
        <v>18</v>
      </c>
      <c r="J51" s="215">
        <f>G39+G40+G41+G42+Q39+Q40+Q41+Q42+Q43+Q44+G44+G45+G46+G43+G48+Q45+G49+G50</f>
        <v>19306</v>
      </c>
      <c r="K51" s="1"/>
      <c r="L51" s="153"/>
      <c r="M51" s="153"/>
      <c r="O51" s="373"/>
      <c r="P51" s="1"/>
      <c r="Q51" s="1"/>
      <c r="R51" s="1"/>
      <c r="S51" s="112"/>
      <c r="T51" s="51"/>
    </row>
    <row r="52" spans="1:20" x14ac:dyDescent="0.25">
      <c r="A52" s="430"/>
      <c r="B52" s="207" t="s">
        <v>35</v>
      </c>
      <c r="C52" s="208">
        <f>SUM(C39:C51)</f>
        <v>6739.77</v>
      </c>
      <c r="D52" s="207"/>
      <c r="E52" s="222"/>
      <c r="F52" s="223"/>
      <c r="G52" s="224">
        <f>SUM(G39:G51)</f>
        <v>9312.5</v>
      </c>
      <c r="H52" s="1"/>
      <c r="I52" s="1"/>
      <c r="J52" s="1"/>
      <c r="K52" s="1"/>
      <c r="L52" s="153"/>
      <c r="M52" s="1"/>
      <c r="O52" s="373"/>
      <c r="P52" s="1"/>
      <c r="Q52" s="1"/>
      <c r="R52" s="1"/>
      <c r="S52" s="112"/>
      <c r="T52" s="51"/>
    </row>
    <row r="53" spans="1:20" x14ac:dyDescent="0.25">
      <c r="A53" s="431"/>
      <c r="B53" s="205"/>
      <c r="C53" s="205"/>
      <c r="D53" s="205"/>
      <c r="E53" s="85">
        <f>C43+C51</f>
        <v>1494.2</v>
      </c>
      <c r="F53" s="206">
        <v>1180.2600000000002</v>
      </c>
      <c r="G53" s="206"/>
      <c r="H53" s="1"/>
      <c r="I53" s="1"/>
      <c r="J53" s="1"/>
      <c r="K53" s="1"/>
      <c r="L53" s="1"/>
      <c r="M53" s="217"/>
      <c r="O53" s="373"/>
      <c r="P53" s="1"/>
      <c r="Q53" s="1"/>
      <c r="R53" s="1"/>
      <c r="S53" s="112"/>
      <c r="T53" s="51"/>
    </row>
    <row r="54" spans="1:20" x14ac:dyDescent="0.25">
      <c r="A54" s="432"/>
      <c r="B54" s="205"/>
      <c r="C54" s="205"/>
      <c r="D54" s="205"/>
      <c r="E54" s="85"/>
      <c r="F54" s="236">
        <f>E53-F53</f>
        <v>313.93999999999983</v>
      </c>
      <c r="G54" s="206"/>
      <c r="H54" s="1">
        <v>1</v>
      </c>
      <c r="I54" s="680" t="s">
        <v>47</v>
      </c>
      <c r="J54" s="680"/>
      <c r="K54" s="376">
        <v>288.75</v>
      </c>
      <c r="L54" s="1" t="s">
        <v>56</v>
      </c>
      <c r="M54" s="1"/>
      <c r="N54" s="82"/>
      <c r="O54" s="129"/>
      <c r="P54" s="160"/>
      <c r="Q54" s="160"/>
      <c r="R54" s="1"/>
      <c r="S54" s="112"/>
      <c r="T54" s="51"/>
    </row>
    <row r="55" spans="1:20" x14ac:dyDescent="0.25">
      <c r="A55" s="432"/>
      <c r="B55" s="205"/>
      <c r="C55" s="205"/>
      <c r="D55" s="205"/>
      <c r="E55" s="85"/>
      <c r="F55" s="206"/>
      <c r="G55" s="206"/>
      <c r="H55" s="1">
        <v>2</v>
      </c>
      <c r="I55" s="680" t="s">
        <v>51</v>
      </c>
      <c r="J55" s="680"/>
      <c r="K55" s="376">
        <v>64.349999999999994</v>
      </c>
      <c r="L55" s="1" t="s">
        <v>56</v>
      </c>
      <c r="M55" s="1"/>
      <c r="O55" s="1"/>
      <c r="P55" s="373"/>
      <c r="Q55" s="1"/>
      <c r="R55" s="1"/>
      <c r="S55" s="112"/>
      <c r="T55" s="51"/>
    </row>
    <row r="56" spans="1:20" x14ac:dyDescent="0.25">
      <c r="A56" s="433"/>
      <c r="B56" s="373"/>
      <c r="C56" s="85"/>
      <c r="D56" s="373"/>
      <c r="E56" s="85"/>
      <c r="F56" s="1"/>
      <c r="G56" s="1"/>
      <c r="H56" s="1">
        <v>3</v>
      </c>
      <c r="I56" s="680" t="s">
        <v>52</v>
      </c>
      <c r="J56" s="680"/>
      <c r="K56" s="376">
        <v>10</v>
      </c>
      <c r="L56" s="1"/>
      <c r="M56" s="1"/>
      <c r="O56" s="1"/>
      <c r="P56" s="1"/>
      <c r="Q56" s="1"/>
      <c r="R56" s="1"/>
      <c r="S56" s="112"/>
      <c r="T56" s="51"/>
    </row>
    <row r="57" spans="1:20" x14ac:dyDescent="0.25">
      <c r="A57" s="111"/>
      <c r="B57" s="1"/>
      <c r="C57" s="85"/>
      <c r="D57" s="1"/>
      <c r="E57" s="85"/>
      <c r="F57" s="1"/>
      <c r="G57" s="1"/>
      <c r="H57" s="1">
        <v>4</v>
      </c>
      <c r="I57" s="680" t="s">
        <v>53</v>
      </c>
      <c r="J57" s="680"/>
      <c r="K57" s="376">
        <v>5</v>
      </c>
      <c r="L57" s="1"/>
      <c r="M57" s="153"/>
      <c r="O57" s="1"/>
      <c r="P57" s="1"/>
      <c r="Q57" s="1"/>
      <c r="R57" s="1"/>
      <c r="S57" s="112"/>
      <c r="T57" s="51"/>
    </row>
    <row r="58" spans="1:20" x14ac:dyDescent="0.25">
      <c r="A58" s="111"/>
      <c r="B58" s="1"/>
      <c r="C58" s="1"/>
      <c r="D58" s="1"/>
      <c r="E58" s="1"/>
      <c r="F58" s="1"/>
      <c r="G58" s="1"/>
      <c r="H58" s="1">
        <v>5</v>
      </c>
      <c r="I58" s="680" t="s">
        <v>54</v>
      </c>
      <c r="J58" s="680"/>
      <c r="K58" s="376">
        <v>4</v>
      </c>
      <c r="L58" s="1"/>
      <c r="M58" s="153"/>
      <c r="O58" s="1"/>
      <c r="P58" s="1"/>
      <c r="Q58" s="1"/>
      <c r="R58" s="1"/>
      <c r="S58" s="112"/>
      <c r="T58" s="51"/>
    </row>
    <row r="59" spans="1:20" x14ac:dyDescent="0.25">
      <c r="A59" s="111"/>
      <c r="B59" s="1"/>
      <c r="C59" s="1"/>
      <c r="D59" s="1"/>
      <c r="E59" s="1"/>
      <c r="F59" s="1"/>
      <c r="G59" s="1"/>
      <c r="H59" s="1">
        <v>6</v>
      </c>
      <c r="I59" s="680" t="s">
        <v>49</v>
      </c>
      <c r="J59" s="680"/>
      <c r="K59" s="376">
        <v>332.56</v>
      </c>
      <c r="L59" s="1" t="s">
        <v>110</v>
      </c>
      <c r="M59" s="153"/>
      <c r="O59" s="1"/>
      <c r="P59" s="1"/>
      <c r="Q59" s="1"/>
      <c r="R59" s="1"/>
      <c r="S59" s="112"/>
      <c r="T59" s="51"/>
    </row>
    <row r="60" spans="1:20" x14ac:dyDescent="0.25">
      <c r="A60" s="111"/>
      <c r="B60" s="1"/>
      <c r="C60" s="1"/>
      <c r="D60" s="1"/>
      <c r="E60" s="1"/>
      <c r="F60" s="1"/>
      <c r="G60" s="1"/>
      <c r="H60" s="1">
        <v>7</v>
      </c>
      <c r="I60" s="675" t="s">
        <v>48</v>
      </c>
      <c r="J60" s="676"/>
      <c r="K60" s="376">
        <v>458.46</v>
      </c>
      <c r="L60" s="153"/>
      <c r="M60" s="153"/>
      <c r="O60" s="1"/>
      <c r="P60" s="1"/>
      <c r="Q60" s="1"/>
      <c r="R60" s="1"/>
      <c r="S60" s="112"/>
      <c r="T60" s="51"/>
    </row>
    <row r="61" spans="1:20" x14ac:dyDescent="0.25">
      <c r="A61" s="111"/>
      <c r="B61" s="1"/>
      <c r="C61" s="1"/>
      <c r="D61" s="1"/>
      <c r="E61" s="1"/>
      <c r="F61" s="12"/>
      <c r="G61" s="1"/>
      <c r="H61" s="1">
        <v>8</v>
      </c>
      <c r="I61" s="675" t="s">
        <v>57</v>
      </c>
      <c r="J61" s="676"/>
      <c r="K61" s="376">
        <v>4.58</v>
      </c>
      <c r="L61" s="1"/>
      <c r="M61" s="1" t="s">
        <v>76</v>
      </c>
      <c r="O61" s="1"/>
      <c r="P61" s="1"/>
      <c r="Q61" s="1"/>
      <c r="R61" s="1"/>
      <c r="S61" s="112"/>
      <c r="T61" s="51"/>
    </row>
    <row r="62" spans="1:20" x14ac:dyDescent="0.25">
      <c r="A62" s="111"/>
      <c r="B62" s="1"/>
      <c r="C62" s="1"/>
      <c r="D62" s="1"/>
      <c r="E62" s="1"/>
      <c r="F62" s="1"/>
      <c r="G62" s="1"/>
      <c r="H62" s="1">
        <v>9</v>
      </c>
      <c r="I62" s="677" t="s">
        <v>59</v>
      </c>
      <c r="J62" s="677"/>
      <c r="K62" s="376">
        <v>1041.98</v>
      </c>
      <c r="L62" s="1"/>
      <c r="M62" s="1"/>
      <c r="O62" s="1"/>
      <c r="P62" s="1"/>
      <c r="Q62" s="1"/>
      <c r="R62" s="1"/>
      <c r="S62" s="112"/>
      <c r="T62" s="51"/>
    </row>
    <row r="63" spans="1:20" x14ac:dyDescent="0.25">
      <c r="A63" s="111"/>
      <c r="B63" s="1"/>
      <c r="C63" s="1"/>
      <c r="D63" s="1"/>
      <c r="E63" s="1"/>
      <c r="F63" s="1"/>
      <c r="G63" s="12"/>
      <c r="H63" s="1">
        <v>10</v>
      </c>
      <c r="I63" s="678" t="s">
        <v>68</v>
      </c>
      <c r="J63" s="679"/>
      <c r="K63" s="376">
        <f>83.73+187.98</f>
        <v>271.70999999999998</v>
      </c>
      <c r="L63" s="1" t="s">
        <v>56</v>
      </c>
      <c r="M63" s="1"/>
      <c r="O63" s="1"/>
      <c r="P63" s="1"/>
      <c r="Q63" s="1"/>
      <c r="R63" s="1"/>
      <c r="S63" s="112"/>
      <c r="T63" s="51"/>
    </row>
    <row r="64" spans="1:20" x14ac:dyDescent="0.25">
      <c r="A64" s="111"/>
      <c r="B64" s="1"/>
      <c r="C64" s="1"/>
      <c r="D64" s="1"/>
      <c r="E64" s="153"/>
      <c r="F64" s="1"/>
      <c r="G64" s="1"/>
      <c r="H64" s="1">
        <v>11</v>
      </c>
      <c r="I64" s="678" t="s">
        <v>81</v>
      </c>
      <c r="J64" s="679"/>
      <c r="K64" s="53">
        <v>1730.44</v>
      </c>
      <c r="L64" s="1" t="s">
        <v>56</v>
      </c>
      <c r="M64" s="1"/>
      <c r="O64" s="1"/>
      <c r="P64" s="1"/>
      <c r="Q64" s="1"/>
      <c r="R64" s="1"/>
      <c r="S64" s="112"/>
      <c r="T64" s="51"/>
    </row>
    <row r="65" spans="1:19" ht="15.75" thickBot="1" x14ac:dyDescent="0.3">
      <c r="A65" s="111"/>
      <c r="B65" s="1"/>
      <c r="C65" s="1"/>
      <c r="D65" s="1"/>
      <c r="E65" s="1"/>
      <c r="F65" s="1"/>
      <c r="G65" s="1"/>
      <c r="H65" s="1"/>
      <c r="I65" s="1" t="s">
        <v>50</v>
      </c>
      <c r="J65" s="1"/>
      <c r="K65" s="93">
        <f>SUM(K54:K64)</f>
        <v>4211.83</v>
      </c>
      <c r="L65" s="1"/>
      <c r="M65" s="1"/>
      <c r="O65" s="1"/>
      <c r="P65" s="1"/>
      <c r="Q65" s="1"/>
      <c r="R65" s="1"/>
      <c r="S65" s="112"/>
    </row>
    <row r="66" spans="1:19" ht="15.75" thickBot="1" x14ac:dyDescent="0.3">
      <c r="A66" s="108"/>
      <c r="B66" s="109"/>
      <c r="C66" s="109"/>
      <c r="D66" s="109"/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09">
        <v>18</v>
      </c>
      <c r="P66" s="109"/>
      <c r="Q66" s="109"/>
      <c r="R66" s="109"/>
      <c r="S66" s="110"/>
    </row>
    <row r="67" spans="1:19" x14ac:dyDescent="0.25">
      <c r="A67" s="692" t="s">
        <v>28</v>
      </c>
      <c r="B67" s="693"/>
      <c r="C67" s="693"/>
      <c r="D67" s="693"/>
      <c r="E67" s="693"/>
      <c r="F67" s="693"/>
      <c r="G67" s="693"/>
      <c r="H67" s="109"/>
      <c r="I67" s="693" t="s">
        <v>136</v>
      </c>
      <c r="J67" s="693"/>
      <c r="K67" s="693"/>
      <c r="L67" s="693"/>
      <c r="M67" s="693"/>
      <c r="N67" s="694" t="s">
        <v>60</v>
      </c>
      <c r="O67" s="694"/>
      <c r="P67" s="1"/>
      <c r="Q67" s="1"/>
      <c r="R67" s="1"/>
      <c r="S67" s="112"/>
    </row>
    <row r="68" spans="1:19" x14ac:dyDescent="0.25">
      <c r="A68" s="412" t="s">
        <v>2</v>
      </c>
      <c r="B68" s="379" t="s">
        <v>34</v>
      </c>
      <c r="C68" s="36" t="s">
        <v>35</v>
      </c>
      <c r="D68" s="36" t="s">
        <v>38</v>
      </c>
      <c r="E68" s="36" t="s">
        <v>42</v>
      </c>
      <c r="F68" s="379" t="s">
        <v>36</v>
      </c>
      <c r="G68" s="376" t="s">
        <v>37</v>
      </c>
      <c r="H68" s="1"/>
      <c r="I68" s="40"/>
      <c r="J68" s="376" t="s">
        <v>104</v>
      </c>
      <c r="K68" s="376" t="s">
        <v>38</v>
      </c>
      <c r="L68" s="376" t="s">
        <v>42</v>
      </c>
      <c r="M68" s="376" t="s">
        <v>44</v>
      </c>
      <c r="N68" s="156" t="s">
        <v>2</v>
      </c>
      <c r="O68" s="53" t="s">
        <v>34</v>
      </c>
      <c r="P68" s="154" t="s">
        <v>58</v>
      </c>
      <c r="Q68" s="154" t="s">
        <v>65</v>
      </c>
      <c r="R68" s="373" t="s">
        <v>100</v>
      </c>
      <c r="S68" s="422" t="s">
        <v>40</v>
      </c>
    </row>
    <row r="69" spans="1:19" x14ac:dyDescent="0.25">
      <c r="A69" s="434">
        <v>43710</v>
      </c>
      <c r="B69" s="165" t="s">
        <v>115</v>
      </c>
      <c r="C69" s="99">
        <v>1980</v>
      </c>
      <c r="D69" s="231">
        <f>688+500+792</f>
        <v>1980</v>
      </c>
      <c r="E69" s="163">
        <f>C69-D69</f>
        <v>0</v>
      </c>
      <c r="F69" s="165" t="str">
        <f t="shared" ref="F69:F89" si="8">IF(C69=0,"",IF(C69-D69=0,"оплачено",""))</f>
        <v>оплачено</v>
      </c>
      <c r="G69" s="165">
        <v>3200</v>
      </c>
      <c r="H69" s="1"/>
      <c r="I69" s="376" t="s">
        <v>39</v>
      </c>
      <c r="J69" s="376">
        <v>547.82000000000005</v>
      </c>
      <c r="K69" s="376">
        <v>547.82000000000005</v>
      </c>
      <c r="L69" s="163">
        <f t="shared" ref="L69:L70" si="9">J69-K69</f>
        <v>0</v>
      </c>
      <c r="M69" s="3">
        <v>43727</v>
      </c>
      <c r="N69" s="211"/>
      <c r="O69" s="53" t="s">
        <v>118</v>
      </c>
      <c r="P69" s="164">
        <v>58.25</v>
      </c>
      <c r="Q69" s="53"/>
      <c r="R69" s="373"/>
      <c r="S69" s="422"/>
    </row>
    <row r="70" spans="1:19" x14ac:dyDescent="0.25">
      <c r="A70" s="434">
        <v>43711</v>
      </c>
      <c r="B70" s="165" t="s">
        <v>116</v>
      </c>
      <c r="C70" s="99">
        <v>775.2</v>
      </c>
      <c r="D70" s="99">
        <v>775.2</v>
      </c>
      <c r="E70" s="163">
        <f t="shared" ref="E70:E88" si="10">C70-D70</f>
        <v>0</v>
      </c>
      <c r="F70" s="165" t="str">
        <f t="shared" si="8"/>
        <v>оплачено</v>
      </c>
      <c r="G70" s="165">
        <v>1140</v>
      </c>
      <c r="H70" s="1"/>
      <c r="I70" s="376" t="s">
        <v>40</v>
      </c>
      <c r="J70" s="376">
        <v>632.44000000000005</v>
      </c>
      <c r="K70" s="376">
        <v>632.44000000000005</v>
      </c>
      <c r="L70" s="163">
        <f t="shared" si="9"/>
        <v>0</v>
      </c>
      <c r="M70" s="3">
        <v>43727</v>
      </c>
      <c r="N70" s="211"/>
      <c r="O70" s="53" t="s">
        <v>27</v>
      </c>
      <c r="P70" s="53">
        <v>1250</v>
      </c>
      <c r="Q70" s="53">
        <v>3044</v>
      </c>
      <c r="R70" s="373"/>
      <c r="S70" s="422"/>
    </row>
    <row r="71" spans="1:19" x14ac:dyDescent="0.25">
      <c r="A71" s="434">
        <v>43711</v>
      </c>
      <c r="B71" s="165" t="s">
        <v>117</v>
      </c>
      <c r="C71" s="99">
        <v>231.68</v>
      </c>
      <c r="D71" s="99">
        <v>231.68</v>
      </c>
      <c r="E71" s="163">
        <f t="shared" si="10"/>
        <v>0</v>
      </c>
      <c r="F71" s="165" t="str">
        <f t="shared" si="8"/>
        <v>оплачено</v>
      </c>
      <c r="G71" s="165"/>
      <c r="H71" s="1"/>
      <c r="I71" s="1"/>
      <c r="J71" s="93">
        <f>SUM(J69:J70)</f>
        <v>1180.2600000000002</v>
      </c>
      <c r="K71" s="1"/>
      <c r="L71" s="1"/>
      <c r="M71" s="1"/>
      <c r="N71" s="274"/>
      <c r="O71" s="53" t="s">
        <v>128</v>
      </c>
      <c r="P71" s="376">
        <v>1355</v>
      </c>
      <c r="Q71" s="376">
        <v>2991</v>
      </c>
      <c r="R71" s="373"/>
      <c r="S71" s="422"/>
    </row>
    <row r="72" spans="1:19" x14ac:dyDescent="0.25">
      <c r="A72" s="434">
        <v>43711</v>
      </c>
      <c r="B72" s="53" t="s">
        <v>125</v>
      </c>
      <c r="C72" s="99">
        <v>43.8</v>
      </c>
      <c r="D72" s="99">
        <v>43.8</v>
      </c>
      <c r="E72" s="163">
        <f t="shared" si="10"/>
        <v>0</v>
      </c>
      <c r="F72" s="165" t="str">
        <f t="shared" si="8"/>
        <v>оплачено</v>
      </c>
      <c r="G72" s="165"/>
      <c r="H72" s="1"/>
      <c r="I72" s="153"/>
      <c r="J72" s="1"/>
      <c r="K72" s="1"/>
      <c r="L72" s="1"/>
      <c r="M72" s="1"/>
      <c r="N72" s="274"/>
      <c r="O72" s="53" t="s">
        <v>132</v>
      </c>
      <c r="P72" s="53"/>
      <c r="Q72" s="53">
        <v>2179</v>
      </c>
      <c r="R72" s="373"/>
      <c r="S72" s="422"/>
    </row>
    <row r="73" spans="1:19" x14ac:dyDescent="0.25">
      <c r="A73" s="435"/>
      <c r="B73" s="164" t="s">
        <v>119</v>
      </c>
      <c r="C73" s="164">
        <v>389.25</v>
      </c>
      <c r="D73" s="164">
        <v>389.25</v>
      </c>
      <c r="E73" s="163">
        <f t="shared" si="10"/>
        <v>0</v>
      </c>
      <c r="F73" s="165" t="str">
        <f t="shared" si="8"/>
        <v>оплачено</v>
      </c>
      <c r="G73" s="261">
        <v>621</v>
      </c>
      <c r="H73" s="684" t="s">
        <v>16</v>
      </c>
      <c r="I73" s="685" t="s">
        <v>17</v>
      </c>
      <c r="J73" s="685" t="s">
        <v>21</v>
      </c>
      <c r="K73" s="685"/>
      <c r="L73" s="686" t="s">
        <v>93</v>
      </c>
      <c r="M73" s="686" t="s">
        <v>95</v>
      </c>
      <c r="N73" s="274"/>
      <c r="O73" s="53" t="s">
        <v>133</v>
      </c>
      <c r="P73" s="53">
        <v>2288</v>
      </c>
      <c r="Q73" s="53"/>
      <c r="R73" s="373"/>
      <c r="S73" s="422"/>
    </row>
    <row r="74" spans="1:19" ht="24.75" thickBot="1" x14ac:dyDescent="0.3">
      <c r="A74" s="434"/>
      <c r="B74" s="164" t="s">
        <v>120</v>
      </c>
      <c r="C74" s="164">
        <v>429.83</v>
      </c>
      <c r="D74" s="164">
        <v>429.83</v>
      </c>
      <c r="E74" s="163">
        <f t="shared" si="10"/>
        <v>0</v>
      </c>
      <c r="F74" s="165" t="str">
        <f t="shared" si="8"/>
        <v>оплачено</v>
      </c>
      <c r="G74" s="165"/>
      <c r="H74" s="684"/>
      <c r="I74" s="685"/>
      <c r="J74" s="380" t="s">
        <v>21</v>
      </c>
      <c r="K74" s="380" t="s">
        <v>25</v>
      </c>
      <c r="L74" s="686"/>
      <c r="M74" s="686"/>
      <c r="N74" s="273"/>
      <c r="O74" s="373"/>
      <c r="P74" s="373"/>
      <c r="Q74" s="373"/>
      <c r="R74" s="373"/>
      <c r="S74" s="422"/>
    </row>
    <row r="75" spans="1:19" x14ac:dyDescent="0.25">
      <c r="A75" s="426"/>
      <c r="B75" s="164" t="s">
        <v>27</v>
      </c>
      <c r="C75" s="164">
        <v>453.8</v>
      </c>
      <c r="D75" s="164">
        <v>453.8</v>
      </c>
      <c r="E75" s="163">
        <f t="shared" si="10"/>
        <v>0</v>
      </c>
      <c r="F75" s="165" t="str">
        <f t="shared" si="8"/>
        <v>оплачено</v>
      </c>
      <c r="G75" s="165"/>
      <c r="H75" s="263" t="s">
        <v>18</v>
      </c>
      <c r="I75" s="264">
        <v>32809.9</v>
      </c>
      <c r="J75" s="264">
        <v>1675.7199999999998</v>
      </c>
      <c r="K75" s="265">
        <v>1047.01</v>
      </c>
      <c r="L75" s="266">
        <v>52152</v>
      </c>
      <c r="M75" s="266">
        <f>82159.79-I75-J75-K75+L75</f>
        <v>98779.159999999989</v>
      </c>
      <c r="N75" s="273"/>
      <c r="O75" s="673" t="s">
        <v>196</v>
      </c>
      <c r="P75" s="673"/>
      <c r="Q75" s="673"/>
      <c r="R75" s="373"/>
      <c r="S75" s="422"/>
    </row>
    <row r="76" spans="1:19" x14ac:dyDescent="0.25">
      <c r="A76" s="427"/>
      <c r="B76" s="210" t="s">
        <v>123</v>
      </c>
      <c r="C76" s="164">
        <v>22.8</v>
      </c>
      <c r="D76" s="164">
        <v>22.8</v>
      </c>
      <c r="E76" s="163">
        <f t="shared" si="10"/>
        <v>0</v>
      </c>
      <c r="F76" s="165" t="str">
        <f t="shared" si="8"/>
        <v>оплачено</v>
      </c>
      <c r="G76" s="165"/>
      <c r="H76" s="263" t="s">
        <v>19</v>
      </c>
      <c r="I76" s="264">
        <v>35259.579999999994</v>
      </c>
      <c r="J76" s="264">
        <v>1363.3000000000002</v>
      </c>
      <c r="K76" s="264">
        <v>1176.05</v>
      </c>
      <c r="L76" s="266">
        <v>40465.950000000004</v>
      </c>
      <c r="M76" s="266">
        <f>M75-I76-J76-K76+L76</f>
        <v>101446.18</v>
      </c>
      <c r="N76" s="373"/>
      <c r="O76" s="674"/>
      <c r="P76" s="674"/>
      <c r="Q76" s="674"/>
      <c r="R76" s="373"/>
      <c r="S76" s="422"/>
    </row>
    <row r="77" spans="1:19" x14ac:dyDescent="0.25">
      <c r="A77" s="428"/>
      <c r="B77" s="53" t="s">
        <v>64</v>
      </c>
      <c r="C77" s="164">
        <v>421.98</v>
      </c>
      <c r="D77" s="164">
        <v>421.98</v>
      </c>
      <c r="E77" s="163">
        <f t="shared" si="10"/>
        <v>0</v>
      </c>
      <c r="F77" s="165" t="str">
        <f t="shared" si="8"/>
        <v>оплачено</v>
      </c>
      <c r="G77" s="165"/>
      <c r="H77" s="263" t="s">
        <v>20</v>
      </c>
      <c r="I77" s="267" t="e">
        <f>#REF!</f>
        <v>#REF!</v>
      </c>
      <c r="J77" s="264">
        <v>1209.3000000000002</v>
      </c>
      <c r="K77" s="268">
        <v>1213.33</v>
      </c>
      <c r="L77" s="268">
        <v>19306</v>
      </c>
      <c r="M77" s="266" t="e">
        <f>M76-I77-J77-K77+L77</f>
        <v>#REF!</v>
      </c>
      <c r="O77" s="373"/>
      <c r="P77" s="373"/>
      <c r="Q77" s="1"/>
      <c r="R77" s="1"/>
      <c r="S77" s="112"/>
    </row>
    <row r="78" spans="1:19" x14ac:dyDescent="0.25">
      <c r="A78" s="428"/>
      <c r="B78" s="59" t="s">
        <v>124</v>
      </c>
      <c r="C78" s="282">
        <v>473.1</v>
      </c>
      <c r="D78" s="282">
        <v>473.1</v>
      </c>
      <c r="E78" s="284">
        <f t="shared" si="10"/>
        <v>0</v>
      </c>
      <c r="F78" s="282" t="str">
        <f t="shared" si="8"/>
        <v>оплачено</v>
      </c>
      <c r="G78" s="165"/>
      <c r="H78" s="263" t="s">
        <v>148</v>
      </c>
      <c r="I78" s="268">
        <v>30955.479999999996</v>
      </c>
      <c r="J78" s="269"/>
      <c r="K78" s="269">
        <v>1035.6600000000001</v>
      </c>
      <c r="L78" s="268">
        <v>59195.5</v>
      </c>
      <c r="M78" s="266" t="e">
        <f>M77-I78-J78-K78+L78</f>
        <v>#REF!</v>
      </c>
      <c r="O78" s="373"/>
      <c r="P78" s="373"/>
      <c r="Q78" s="1"/>
      <c r="R78" s="1"/>
      <c r="S78" s="112"/>
    </row>
    <row r="79" spans="1:19" ht="15.75" thickBot="1" x14ac:dyDescent="0.3">
      <c r="A79" s="427"/>
      <c r="B79" s="165" t="s">
        <v>32</v>
      </c>
      <c r="C79" s="164">
        <v>348.15</v>
      </c>
      <c r="D79" s="164">
        <v>348.15</v>
      </c>
      <c r="E79" s="163">
        <f t="shared" si="10"/>
        <v>0</v>
      </c>
      <c r="F79" s="165" t="str">
        <f t="shared" si="8"/>
        <v>оплачено</v>
      </c>
      <c r="G79" s="165"/>
      <c r="H79" s="1"/>
      <c r="I79" s="1"/>
      <c r="J79" s="153"/>
      <c r="K79" s="1"/>
      <c r="L79" s="153"/>
      <c r="M79" s="153"/>
      <c r="O79" s="373"/>
      <c r="P79" s="373"/>
      <c r="Q79" s="1"/>
      <c r="R79" s="1"/>
      <c r="S79" s="112"/>
    </row>
    <row r="80" spans="1:19" x14ac:dyDescent="0.25">
      <c r="A80" s="427"/>
      <c r="B80" s="164" t="s">
        <v>133</v>
      </c>
      <c r="C80" s="167">
        <f>592.8+54.6</f>
        <v>647.4</v>
      </c>
      <c r="D80" s="167">
        <f>592.8+54.6</f>
        <v>647.4</v>
      </c>
      <c r="E80" s="163">
        <f t="shared" si="10"/>
        <v>0</v>
      </c>
      <c r="F80" s="165" t="str">
        <f t="shared" si="8"/>
        <v>оплачено</v>
      </c>
      <c r="G80" s="165"/>
      <c r="H80" s="690" t="s">
        <v>122</v>
      </c>
      <c r="I80" s="691"/>
      <c r="J80" s="214" t="s">
        <v>121</v>
      </c>
      <c r="K80" s="153"/>
      <c r="L80" s="153"/>
      <c r="M80" s="1"/>
      <c r="O80" s="373"/>
      <c r="P80" s="1"/>
      <c r="Q80" s="1"/>
      <c r="R80" s="1"/>
      <c r="S80" s="112"/>
    </row>
    <row r="81" spans="1:19" ht="15.75" thickBot="1" x14ac:dyDescent="0.3">
      <c r="A81" s="427"/>
      <c r="B81" s="164" t="s">
        <v>139</v>
      </c>
      <c r="C81" s="164">
        <v>244.15</v>
      </c>
      <c r="D81" s="164">
        <v>244.15</v>
      </c>
      <c r="E81" s="163">
        <f t="shared" si="10"/>
        <v>0</v>
      </c>
      <c r="F81" s="165" t="str">
        <f t="shared" si="8"/>
        <v>оплачено</v>
      </c>
      <c r="G81" s="165"/>
      <c r="H81" s="93"/>
      <c r="I81" s="93">
        <v>39</v>
      </c>
      <c r="J81" s="215">
        <v>59195.5</v>
      </c>
      <c r="K81" s="1"/>
      <c r="L81" s="1"/>
      <c r="M81" s="153"/>
      <c r="O81" s="373"/>
      <c r="P81" s="1"/>
      <c r="Q81" s="1"/>
      <c r="R81" s="1"/>
      <c r="S81" s="112"/>
    </row>
    <row r="82" spans="1:19" x14ac:dyDescent="0.25">
      <c r="A82" s="427"/>
      <c r="B82" s="376" t="s">
        <v>71</v>
      </c>
      <c r="C82" s="241">
        <v>459.02</v>
      </c>
      <c r="D82" s="241">
        <v>459.02</v>
      </c>
      <c r="E82" s="163">
        <f t="shared" si="10"/>
        <v>0</v>
      </c>
      <c r="F82" s="165" t="str">
        <f t="shared" si="8"/>
        <v>оплачено</v>
      </c>
      <c r="G82" s="262"/>
      <c r="H82" s="1"/>
      <c r="I82" s="1"/>
      <c r="J82" s="1"/>
      <c r="K82" s="1"/>
      <c r="L82" s="1"/>
      <c r="M82" s="1"/>
      <c r="O82" s="373"/>
      <c r="P82" s="1"/>
      <c r="Q82" s="1"/>
      <c r="R82" s="1"/>
      <c r="S82" s="112"/>
    </row>
    <row r="83" spans="1:19" x14ac:dyDescent="0.25">
      <c r="A83" s="427">
        <v>43728</v>
      </c>
      <c r="B83" s="164" t="s">
        <v>138</v>
      </c>
      <c r="C83" s="164">
        <v>910.91</v>
      </c>
      <c r="D83" s="164">
        <v>910.91</v>
      </c>
      <c r="E83" s="163">
        <f t="shared" si="10"/>
        <v>0</v>
      </c>
      <c r="F83" s="165" t="str">
        <f t="shared" si="8"/>
        <v>оплачено</v>
      </c>
      <c r="G83" s="165"/>
      <c r="H83" s="1"/>
      <c r="I83" s="1"/>
      <c r="J83" s="1"/>
      <c r="K83" s="1"/>
      <c r="L83" s="1"/>
      <c r="M83" s="217"/>
      <c r="O83" s="373"/>
      <c r="P83" s="1"/>
      <c r="Q83" s="1"/>
      <c r="R83" s="1"/>
      <c r="S83" s="112"/>
    </row>
    <row r="84" spans="1:19" x14ac:dyDescent="0.25">
      <c r="A84" s="428"/>
      <c r="B84" s="164" t="s">
        <v>137</v>
      </c>
      <c r="C84" s="164">
        <v>92.82</v>
      </c>
      <c r="D84" s="164">
        <v>92.82</v>
      </c>
      <c r="E84" s="163">
        <f t="shared" si="10"/>
        <v>0</v>
      </c>
      <c r="F84" s="165" t="str">
        <f t="shared" si="8"/>
        <v>оплачено</v>
      </c>
      <c r="G84" s="165"/>
      <c r="H84" s="1"/>
      <c r="I84" s="240"/>
      <c r="J84" s="240"/>
      <c r="K84" s="1"/>
      <c r="L84" s="1"/>
      <c r="M84" s="1"/>
      <c r="N84" s="82"/>
      <c r="O84" s="129"/>
      <c r="P84" s="160"/>
      <c r="Q84" s="160"/>
      <c r="R84" s="1"/>
      <c r="S84" s="112"/>
    </row>
    <row r="85" spans="1:19" x14ac:dyDescent="0.25">
      <c r="A85" s="436"/>
      <c r="B85" s="164" t="s">
        <v>63</v>
      </c>
      <c r="C85" s="164">
        <v>252</v>
      </c>
      <c r="D85" s="164">
        <v>252</v>
      </c>
      <c r="E85" s="163">
        <f t="shared" si="10"/>
        <v>0</v>
      </c>
      <c r="F85" s="165" t="str">
        <f t="shared" si="8"/>
        <v>оплачено</v>
      </c>
      <c r="G85" s="165"/>
      <c r="H85" s="1"/>
      <c r="I85" s="240"/>
      <c r="J85" s="240"/>
      <c r="K85" s="1"/>
      <c r="L85" s="1"/>
      <c r="M85" s="1"/>
      <c r="O85" s="1"/>
      <c r="P85" s="373"/>
      <c r="Q85" s="1"/>
      <c r="R85" s="1"/>
      <c r="S85" s="112"/>
    </row>
    <row r="86" spans="1:19" x14ac:dyDescent="0.25">
      <c r="A86" s="437"/>
      <c r="B86" s="282" t="s">
        <v>124</v>
      </c>
      <c r="C86" s="283">
        <v>410.85</v>
      </c>
      <c r="D86" s="283">
        <v>410.85</v>
      </c>
      <c r="E86" s="284">
        <f t="shared" si="10"/>
        <v>0</v>
      </c>
      <c r="F86" s="282" t="str">
        <f t="shared" si="8"/>
        <v>оплачено</v>
      </c>
      <c r="G86" s="165" t="s">
        <v>151</v>
      </c>
      <c r="H86" s="1"/>
      <c r="I86" s="1"/>
      <c r="J86" s="1"/>
      <c r="K86" s="1"/>
      <c r="L86" s="1"/>
      <c r="M86" s="1"/>
      <c r="O86" s="1"/>
      <c r="P86" s="373"/>
      <c r="Q86" s="1"/>
      <c r="R86" s="1"/>
      <c r="S86" s="112"/>
    </row>
    <row r="87" spans="1:19" x14ac:dyDescent="0.25">
      <c r="A87" s="427">
        <v>43724</v>
      </c>
      <c r="B87" s="164" t="s">
        <v>119</v>
      </c>
      <c r="C87" s="164">
        <f>113.4+130.55</f>
        <v>243.95000000000002</v>
      </c>
      <c r="D87" s="164">
        <f>113.4+130.55</f>
        <v>243.95000000000002</v>
      </c>
      <c r="E87" s="163">
        <f t="shared" si="10"/>
        <v>0</v>
      </c>
      <c r="F87" s="165" t="str">
        <f t="shared" si="8"/>
        <v>оплачено</v>
      </c>
      <c r="G87" s="262"/>
      <c r="H87" s="1"/>
      <c r="I87" s="1"/>
      <c r="J87" s="1"/>
      <c r="K87" s="1"/>
      <c r="L87" s="1"/>
      <c r="M87" s="1"/>
      <c r="O87" s="1"/>
      <c r="P87" s="373"/>
      <c r="Q87" s="1"/>
      <c r="R87" s="1"/>
      <c r="S87" s="112"/>
    </row>
    <row r="88" spans="1:19" x14ac:dyDescent="0.25">
      <c r="A88" s="427">
        <v>43733</v>
      </c>
      <c r="B88" s="164" t="s">
        <v>62</v>
      </c>
      <c r="C88" s="167">
        <v>795.83</v>
      </c>
      <c r="D88" s="167">
        <v>795.83</v>
      </c>
      <c r="E88" s="163">
        <f t="shared" si="10"/>
        <v>0</v>
      </c>
      <c r="F88" s="165" t="str">
        <f t="shared" si="8"/>
        <v>оплачено</v>
      </c>
      <c r="G88" s="165"/>
      <c r="H88" s="1"/>
      <c r="I88" s="1"/>
      <c r="J88" s="1"/>
      <c r="K88" s="1"/>
      <c r="L88" s="1"/>
      <c r="M88" s="1"/>
      <c r="O88" s="1"/>
      <c r="P88" s="373"/>
      <c r="Q88" s="1"/>
      <c r="R88" s="1"/>
      <c r="S88" s="112"/>
    </row>
    <row r="89" spans="1:19" x14ac:dyDescent="0.25">
      <c r="A89" s="430"/>
      <c r="B89" s="207"/>
      <c r="C89" s="207"/>
      <c r="D89" s="207"/>
      <c r="E89" s="222"/>
      <c r="F89" s="223" t="str">
        <f t="shared" si="8"/>
        <v/>
      </c>
      <c r="G89" s="223"/>
      <c r="H89" s="1">
        <v>1</v>
      </c>
      <c r="I89" s="680" t="s">
        <v>47</v>
      </c>
      <c r="J89" s="680"/>
      <c r="K89" s="376">
        <v>288.75</v>
      </c>
      <c r="L89" s="1" t="s">
        <v>134</v>
      </c>
      <c r="M89" s="112"/>
      <c r="O89" s="1"/>
      <c r="P89" s="373"/>
      <c r="Q89" s="1"/>
      <c r="R89" s="1"/>
      <c r="S89" s="112"/>
    </row>
    <row r="90" spans="1:19" x14ac:dyDescent="0.25">
      <c r="A90" s="432"/>
      <c r="B90" s="205"/>
      <c r="C90" s="205"/>
      <c r="D90" s="238"/>
      <c r="E90" s="85"/>
      <c r="F90" s="205"/>
      <c r="G90" s="206"/>
      <c r="H90" s="1">
        <v>2</v>
      </c>
      <c r="I90" s="680" t="s">
        <v>51</v>
      </c>
      <c r="J90" s="680"/>
      <c r="K90" s="376">
        <v>64.349999999999994</v>
      </c>
      <c r="L90" s="1" t="s">
        <v>134</v>
      </c>
      <c r="M90" s="112"/>
      <c r="O90" s="1"/>
      <c r="P90" s="373"/>
      <c r="Q90" s="1"/>
      <c r="R90" s="1"/>
      <c r="S90" s="112"/>
    </row>
    <row r="91" spans="1:19" ht="36.75" x14ac:dyDescent="0.25">
      <c r="A91" s="438">
        <v>1</v>
      </c>
      <c r="B91" s="270" t="s">
        <v>126</v>
      </c>
      <c r="C91" s="271" t="s">
        <v>20</v>
      </c>
      <c r="D91" s="272" t="s">
        <v>24</v>
      </c>
      <c r="E91" s="383">
        <v>94.08</v>
      </c>
      <c r="F91" s="383">
        <v>184</v>
      </c>
      <c r="G91" s="383" t="s">
        <v>56</v>
      </c>
      <c r="H91" s="1">
        <v>3</v>
      </c>
      <c r="I91" s="680" t="s">
        <v>52</v>
      </c>
      <c r="J91" s="680"/>
      <c r="K91" s="376">
        <v>10</v>
      </c>
      <c r="L91" s="1"/>
      <c r="M91" s="112"/>
      <c r="O91" s="1"/>
      <c r="P91" s="1"/>
      <c r="Q91" s="1"/>
      <c r="R91" s="1"/>
      <c r="S91" s="112"/>
    </row>
    <row r="92" spans="1:19" x14ac:dyDescent="0.25">
      <c r="A92" s="439">
        <v>2</v>
      </c>
      <c r="B92" s="165" t="s">
        <v>115</v>
      </c>
      <c r="C92" s="225" t="s">
        <v>127</v>
      </c>
      <c r="D92" s="226" t="s">
        <v>24</v>
      </c>
      <c r="E92" s="163">
        <v>1980</v>
      </c>
      <c r="F92" s="376">
        <v>3200</v>
      </c>
      <c r="G92" s="376" t="s">
        <v>56</v>
      </c>
      <c r="H92" s="1">
        <v>4</v>
      </c>
      <c r="I92" s="680" t="s">
        <v>53</v>
      </c>
      <c r="J92" s="680"/>
      <c r="K92" s="376">
        <v>5</v>
      </c>
      <c r="L92" s="1"/>
      <c r="M92" s="159"/>
      <c r="O92" s="1"/>
      <c r="P92" s="1"/>
      <c r="Q92" s="1"/>
      <c r="R92" s="1"/>
      <c r="S92" s="112"/>
    </row>
    <row r="93" spans="1:19" x14ac:dyDescent="0.25">
      <c r="A93" s="439">
        <v>3</v>
      </c>
      <c r="B93" s="376" t="s">
        <v>119</v>
      </c>
      <c r="C93" s="225"/>
      <c r="D93" s="226" t="s">
        <v>24</v>
      </c>
      <c r="E93" s="376">
        <v>389.25</v>
      </c>
      <c r="F93" s="376">
        <v>621</v>
      </c>
      <c r="G93" s="376" t="s">
        <v>56</v>
      </c>
      <c r="H93" s="1">
        <v>5</v>
      </c>
      <c r="I93" s="680"/>
      <c r="J93" s="680"/>
      <c r="K93" s="376"/>
      <c r="L93" s="1"/>
      <c r="M93" s="159"/>
      <c r="O93" s="1"/>
      <c r="P93" s="1"/>
      <c r="Q93" s="1"/>
      <c r="R93" s="1"/>
      <c r="S93" s="112"/>
    </row>
    <row r="94" spans="1:19" x14ac:dyDescent="0.25">
      <c r="A94" s="440">
        <v>4</v>
      </c>
      <c r="B94" s="53" t="s">
        <v>128</v>
      </c>
      <c r="C94" s="225"/>
      <c r="D94" s="225" t="s">
        <v>23</v>
      </c>
      <c r="E94" s="376">
        <v>1355</v>
      </c>
      <c r="F94" s="376">
        <v>2991</v>
      </c>
      <c r="G94" s="376"/>
      <c r="H94" s="1">
        <v>6</v>
      </c>
      <c r="I94" s="680" t="s">
        <v>49</v>
      </c>
      <c r="J94" s="680"/>
      <c r="K94" s="376">
        <v>234.75</v>
      </c>
      <c r="L94" s="1" t="s">
        <v>56</v>
      </c>
      <c r="M94" s="1" t="s">
        <v>110</v>
      </c>
      <c r="O94" s="1"/>
      <c r="P94" s="1" t="s">
        <v>141</v>
      </c>
      <c r="Q94" s="1"/>
      <c r="R94" s="1" t="s">
        <v>56</v>
      </c>
      <c r="S94" s="112"/>
    </row>
    <row r="95" spans="1:19" ht="120" x14ac:dyDescent="0.25">
      <c r="A95" s="441">
        <v>5</v>
      </c>
      <c r="B95" s="227" t="s">
        <v>29</v>
      </c>
      <c r="C95" s="228" t="s">
        <v>129</v>
      </c>
      <c r="D95" s="226" t="s">
        <v>24</v>
      </c>
      <c r="E95" s="230" t="s">
        <v>130</v>
      </c>
      <c r="F95" s="230">
        <v>453</v>
      </c>
      <c r="G95" s="376" t="s">
        <v>56</v>
      </c>
      <c r="H95" s="1">
        <v>7</v>
      </c>
      <c r="I95" s="675" t="s">
        <v>48</v>
      </c>
      <c r="J95" s="676"/>
      <c r="K95" s="376">
        <v>458.46</v>
      </c>
      <c r="L95" s="153"/>
      <c r="M95" s="159"/>
      <c r="O95" s="1"/>
      <c r="P95" s="1"/>
      <c r="Q95" s="1"/>
      <c r="R95" s="1"/>
      <c r="S95" s="112"/>
    </row>
    <row r="96" spans="1:19" x14ac:dyDescent="0.25">
      <c r="A96" s="440">
        <v>6</v>
      </c>
      <c r="B96" s="165" t="s">
        <v>116</v>
      </c>
      <c r="C96" s="225"/>
      <c r="D96" s="226" t="s">
        <v>24</v>
      </c>
      <c r="E96" s="53">
        <v>775.2</v>
      </c>
      <c r="F96" s="53">
        <v>1140</v>
      </c>
      <c r="G96" s="376" t="s">
        <v>56</v>
      </c>
      <c r="H96" s="1">
        <v>8</v>
      </c>
      <c r="I96" s="675" t="s">
        <v>57</v>
      </c>
      <c r="J96" s="676"/>
      <c r="K96" s="376">
        <v>4.58</v>
      </c>
      <c r="L96" s="1"/>
      <c r="M96" s="112" t="s">
        <v>76</v>
      </c>
      <c r="O96" s="1"/>
      <c r="P96" s="1"/>
      <c r="Q96" s="1"/>
      <c r="R96" s="1"/>
      <c r="S96" s="112"/>
    </row>
    <row r="97" spans="1:19" x14ac:dyDescent="0.25">
      <c r="A97" s="440">
        <v>7</v>
      </c>
      <c r="B97" s="164" t="s">
        <v>31</v>
      </c>
      <c r="C97" s="225"/>
      <c r="D97" s="226" t="s">
        <v>24</v>
      </c>
      <c r="E97" s="53">
        <v>979.98</v>
      </c>
      <c r="F97" s="53">
        <v>1518</v>
      </c>
      <c r="G97" s="376"/>
      <c r="H97" s="1">
        <v>9</v>
      </c>
      <c r="I97" s="677" t="s">
        <v>59</v>
      </c>
      <c r="J97" s="677"/>
      <c r="K97" s="376">
        <v>1041.98</v>
      </c>
      <c r="L97" s="1"/>
      <c r="M97" s="112"/>
      <c r="O97" s="1"/>
      <c r="P97" s="1"/>
      <c r="Q97" s="1"/>
      <c r="R97" s="1"/>
      <c r="S97" s="112"/>
    </row>
    <row r="98" spans="1:19" x14ac:dyDescent="0.25">
      <c r="A98" s="440">
        <v>8</v>
      </c>
      <c r="B98" s="165" t="s">
        <v>117</v>
      </c>
      <c r="C98" s="225"/>
      <c r="D98" s="226" t="s">
        <v>24</v>
      </c>
      <c r="E98" s="53">
        <v>231.68</v>
      </c>
      <c r="F98" s="53">
        <v>367</v>
      </c>
      <c r="G98" s="376" t="s">
        <v>56</v>
      </c>
      <c r="H98" s="1">
        <v>10</v>
      </c>
      <c r="I98" s="678" t="s">
        <v>68</v>
      </c>
      <c r="J98" s="679"/>
      <c r="K98" s="376">
        <v>276</v>
      </c>
      <c r="L98" s="1" t="s">
        <v>56</v>
      </c>
      <c r="M98" s="112"/>
      <c r="O98" s="1"/>
      <c r="P98" s="1"/>
      <c r="Q98" s="1"/>
      <c r="R98" s="1"/>
      <c r="S98" s="112"/>
    </row>
    <row r="99" spans="1:19" x14ac:dyDescent="0.25">
      <c r="A99" s="440">
        <v>9</v>
      </c>
      <c r="B99" s="53" t="s">
        <v>55</v>
      </c>
      <c r="C99" s="53"/>
      <c r="D99" s="225" t="s">
        <v>23</v>
      </c>
      <c r="E99" s="53">
        <v>1250</v>
      </c>
      <c r="F99" s="53">
        <v>3044</v>
      </c>
      <c r="G99" s="376"/>
      <c r="H99" s="1">
        <v>11</v>
      </c>
      <c r="I99" s="678" t="s">
        <v>81</v>
      </c>
      <c r="J99" s="679"/>
      <c r="K99" s="53">
        <v>1730.44</v>
      </c>
      <c r="L99" s="1" t="s">
        <v>56</v>
      </c>
      <c r="M99" s="112"/>
      <c r="O99" s="1"/>
      <c r="P99" s="1"/>
      <c r="Q99" s="1"/>
      <c r="R99" s="1"/>
      <c r="S99" s="112"/>
    </row>
    <row r="100" spans="1:19" ht="26.25" x14ac:dyDescent="0.25">
      <c r="A100" s="440">
        <v>10</v>
      </c>
      <c r="B100" s="164" t="s">
        <v>27</v>
      </c>
      <c r="C100" s="164"/>
      <c r="D100" s="226" t="s">
        <v>24</v>
      </c>
      <c r="E100" s="164">
        <v>453.8</v>
      </c>
      <c r="F100" s="376"/>
      <c r="G100" s="229" t="s">
        <v>131</v>
      </c>
      <c r="H100" s="1"/>
      <c r="I100" s="1" t="s">
        <v>50</v>
      </c>
      <c r="J100" s="1"/>
      <c r="K100" s="93">
        <f>SUM(K84:K99)</f>
        <v>4114.3099999999995</v>
      </c>
      <c r="L100" s="1"/>
      <c r="M100" s="112"/>
      <c r="O100" s="1"/>
      <c r="P100" s="1"/>
      <c r="Q100" s="1"/>
      <c r="R100" s="1"/>
      <c r="S100" s="112"/>
    </row>
    <row r="101" spans="1:19" ht="26.25" x14ac:dyDescent="0.25">
      <c r="A101" s="439">
        <v>11</v>
      </c>
      <c r="B101" s="164" t="s">
        <v>120</v>
      </c>
      <c r="C101" s="164"/>
      <c r="D101" s="226" t="s">
        <v>24</v>
      </c>
      <c r="E101" s="164">
        <v>429.83</v>
      </c>
      <c r="F101" s="376">
        <v>858.5</v>
      </c>
      <c r="G101" s="229" t="s">
        <v>131</v>
      </c>
      <c r="H101" s="1"/>
      <c r="I101" s="1"/>
      <c r="J101" s="1"/>
      <c r="K101" s="1"/>
      <c r="L101" s="1"/>
      <c r="M101" s="159"/>
      <c r="O101" s="1"/>
      <c r="P101" s="1"/>
      <c r="Q101" s="1"/>
      <c r="R101" s="1"/>
      <c r="S101" s="112"/>
    </row>
    <row r="102" spans="1:19" x14ac:dyDescent="0.25">
      <c r="A102" s="439">
        <v>12</v>
      </c>
      <c r="B102" s="53" t="s">
        <v>125</v>
      </c>
      <c r="C102" s="99"/>
      <c r="D102" s="226" t="s">
        <v>24</v>
      </c>
      <c r="E102" s="99">
        <v>43.8</v>
      </c>
      <c r="F102" s="376">
        <v>200</v>
      </c>
      <c r="G102" s="376" t="s">
        <v>56</v>
      </c>
      <c r="H102" s="1"/>
      <c r="I102" s="1"/>
      <c r="J102" s="1"/>
      <c r="K102" s="12"/>
      <c r="L102" s="1"/>
      <c r="M102" s="112"/>
      <c r="O102" s="1"/>
      <c r="P102" s="1"/>
      <c r="Q102" s="1"/>
      <c r="R102" s="1"/>
      <c r="S102" s="112"/>
    </row>
    <row r="103" spans="1:19" x14ac:dyDescent="0.25">
      <c r="A103" s="412">
        <v>13</v>
      </c>
      <c r="B103" s="53" t="s">
        <v>125</v>
      </c>
      <c r="C103" s="376"/>
      <c r="D103" s="225" t="s">
        <v>23</v>
      </c>
      <c r="E103" s="164">
        <v>58.25</v>
      </c>
      <c r="F103" s="376"/>
      <c r="G103" s="376"/>
      <c r="H103" s="1"/>
      <c r="I103" s="1"/>
      <c r="J103" s="1"/>
      <c r="K103" s="1"/>
      <c r="L103" s="1"/>
      <c r="M103" s="112"/>
      <c r="O103" s="1"/>
      <c r="P103" s="1"/>
      <c r="Q103" s="1"/>
      <c r="R103" s="1"/>
      <c r="S103" s="112"/>
    </row>
    <row r="104" spans="1:19" ht="15.75" thickBot="1" x14ac:dyDescent="0.3">
      <c r="A104" s="412">
        <v>14</v>
      </c>
      <c r="B104" s="53" t="s">
        <v>132</v>
      </c>
      <c r="C104" s="376"/>
      <c r="D104" s="225" t="s">
        <v>23</v>
      </c>
      <c r="E104" s="376"/>
      <c r="F104" s="53">
        <v>2179</v>
      </c>
      <c r="G104" s="376"/>
      <c r="H104" s="133"/>
      <c r="I104" s="133"/>
      <c r="J104" s="133"/>
      <c r="K104" s="133"/>
      <c r="L104" s="133"/>
      <c r="M104" s="135"/>
      <c r="O104" s="1"/>
      <c r="P104" s="1"/>
      <c r="Q104" s="1"/>
      <c r="R104" s="1"/>
      <c r="S104" s="112"/>
    </row>
    <row r="105" spans="1:19" x14ac:dyDescent="0.25">
      <c r="A105" s="412">
        <v>15</v>
      </c>
      <c r="B105" s="53" t="s">
        <v>87</v>
      </c>
      <c r="C105" s="376"/>
      <c r="D105" s="225" t="s">
        <v>23</v>
      </c>
      <c r="E105" s="376"/>
      <c r="F105" s="53">
        <v>614.5</v>
      </c>
      <c r="G105" s="376"/>
      <c r="H105" s="1"/>
      <c r="I105" s="1"/>
      <c r="J105" s="1"/>
      <c r="K105" s="1"/>
      <c r="L105" s="1"/>
      <c r="M105" s="1"/>
      <c r="O105" s="1"/>
      <c r="P105" s="1"/>
      <c r="Q105" s="1"/>
      <c r="R105" s="1"/>
      <c r="S105" s="112"/>
    </row>
    <row r="106" spans="1:19" x14ac:dyDescent="0.25">
      <c r="A106" s="412">
        <v>16</v>
      </c>
      <c r="B106" s="165" t="s">
        <v>32</v>
      </c>
      <c r="C106" s="164"/>
      <c r="D106" s="226" t="s">
        <v>24</v>
      </c>
      <c r="E106" s="164">
        <v>348.15</v>
      </c>
      <c r="F106" s="376"/>
      <c r="G106" s="376"/>
      <c r="H106" s="1"/>
      <c r="I106" s="1"/>
      <c r="J106" s="1"/>
      <c r="K106" s="1"/>
      <c r="L106" s="1"/>
      <c r="M106" s="1"/>
      <c r="O106" s="1"/>
      <c r="P106" s="1"/>
      <c r="Q106" s="1"/>
      <c r="R106" s="1"/>
      <c r="S106" s="112"/>
    </row>
    <row r="107" spans="1:19" x14ac:dyDescent="0.25">
      <c r="A107" s="412">
        <v>17</v>
      </c>
      <c r="B107" s="165" t="s">
        <v>32</v>
      </c>
      <c r="C107" s="376"/>
      <c r="D107" s="225" t="s">
        <v>23</v>
      </c>
      <c r="E107" s="164">
        <v>588.75</v>
      </c>
      <c r="F107" s="376"/>
      <c r="G107" s="376"/>
      <c r="H107" s="1"/>
      <c r="I107" s="1"/>
      <c r="J107" s="1"/>
      <c r="K107" s="1"/>
      <c r="L107" s="1"/>
      <c r="M107" s="1"/>
      <c r="O107" s="1"/>
      <c r="P107" s="1"/>
      <c r="Q107" s="1"/>
      <c r="R107" s="1"/>
      <c r="S107" s="112"/>
    </row>
    <row r="108" spans="1:19" x14ac:dyDescent="0.25">
      <c r="A108" s="412">
        <v>18</v>
      </c>
      <c r="B108" s="165" t="s">
        <v>32</v>
      </c>
      <c r="C108" s="376"/>
      <c r="D108" s="225" t="s">
        <v>23</v>
      </c>
      <c r="E108" s="164">
        <v>339.5</v>
      </c>
      <c r="F108" s="376"/>
      <c r="G108" s="376"/>
      <c r="H108" s="1"/>
      <c r="I108" s="1"/>
      <c r="J108" s="1"/>
      <c r="K108" s="1"/>
      <c r="L108" s="1"/>
      <c r="M108" s="1"/>
      <c r="O108" s="1"/>
      <c r="P108" s="1"/>
      <c r="Q108" s="1"/>
      <c r="R108" s="1"/>
      <c r="S108" s="112"/>
    </row>
    <row r="109" spans="1:19" x14ac:dyDescent="0.25">
      <c r="A109" s="412">
        <v>19</v>
      </c>
      <c r="B109" s="164" t="s">
        <v>133</v>
      </c>
      <c r="C109" s="376"/>
      <c r="D109" s="226" t="s">
        <v>24</v>
      </c>
      <c r="E109" s="167">
        <v>592.79999999999995</v>
      </c>
      <c r="F109" s="376"/>
      <c r="G109" s="376"/>
      <c r="H109" s="1"/>
      <c r="I109" s="1"/>
      <c r="J109" s="1"/>
      <c r="K109" s="1"/>
      <c r="L109" s="1"/>
      <c r="M109" s="1"/>
      <c r="O109" s="1"/>
      <c r="P109" s="1"/>
      <c r="Q109" s="1"/>
      <c r="R109" s="1"/>
      <c r="S109" s="112"/>
    </row>
    <row r="110" spans="1:19" x14ac:dyDescent="0.25">
      <c r="A110" s="412">
        <v>20</v>
      </c>
      <c r="B110" s="164" t="s">
        <v>133</v>
      </c>
      <c r="C110" s="376"/>
      <c r="D110" s="225" t="s">
        <v>23</v>
      </c>
      <c r="E110" s="164">
        <v>2288</v>
      </c>
      <c r="F110" s="376"/>
      <c r="G110" s="376"/>
      <c r="H110" s="1"/>
      <c r="I110" s="1"/>
      <c r="J110" s="1"/>
      <c r="K110" s="1"/>
      <c r="L110" s="1"/>
      <c r="M110" s="1"/>
      <c r="O110" s="1"/>
      <c r="P110" s="1"/>
      <c r="Q110" s="1"/>
      <c r="R110" s="1"/>
      <c r="S110" s="112"/>
    </row>
    <row r="111" spans="1:19" ht="15.75" thickBot="1" x14ac:dyDescent="0.3">
      <c r="A111" s="132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5"/>
    </row>
    <row r="112" spans="1:19" ht="15.75" thickBot="1" x14ac:dyDescent="0.3">
      <c r="A112" s="108"/>
      <c r="B112" s="109"/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09"/>
      <c r="O112" s="109"/>
      <c r="P112" s="109"/>
      <c r="Q112" s="109"/>
      <c r="R112" s="109"/>
      <c r="S112" s="110"/>
    </row>
    <row r="113" spans="1:19" ht="15.75" thickTop="1" x14ac:dyDescent="0.25">
      <c r="A113" s="681" t="s">
        <v>28</v>
      </c>
      <c r="B113" s="682"/>
      <c r="C113" s="682"/>
      <c r="D113" s="682"/>
      <c r="E113" s="682"/>
      <c r="F113" s="682"/>
      <c r="G113" s="683"/>
      <c r="H113" s="329"/>
      <c r="I113" s="682" t="s">
        <v>158</v>
      </c>
      <c r="J113" s="682"/>
      <c r="K113" s="682"/>
      <c r="L113" s="682"/>
      <c r="M113" s="683"/>
      <c r="O113" s="1"/>
      <c r="P113" s="1"/>
      <c r="Q113" s="1"/>
      <c r="R113" s="1"/>
      <c r="S113" s="112"/>
    </row>
    <row r="114" spans="1:19" x14ac:dyDescent="0.25">
      <c r="A114" s="412" t="s">
        <v>2</v>
      </c>
      <c r="B114" s="379" t="s">
        <v>34</v>
      </c>
      <c r="C114" s="36" t="s">
        <v>35</v>
      </c>
      <c r="D114" s="36" t="s">
        <v>38</v>
      </c>
      <c r="E114" s="36" t="s">
        <v>42</v>
      </c>
      <c r="F114" s="379" t="s">
        <v>36</v>
      </c>
      <c r="G114" s="101" t="s">
        <v>173</v>
      </c>
      <c r="H114" s="1"/>
      <c r="I114" s="40"/>
      <c r="J114" s="376" t="s">
        <v>104</v>
      </c>
      <c r="K114" s="376" t="s">
        <v>38</v>
      </c>
      <c r="L114" s="376" t="s">
        <v>42</v>
      </c>
      <c r="M114" s="101" t="s">
        <v>44</v>
      </c>
      <c r="O114" s="1"/>
      <c r="P114" s="1"/>
      <c r="Q114" s="1"/>
      <c r="R114" s="1"/>
      <c r="S114" s="112"/>
    </row>
    <row r="115" spans="1:19" x14ac:dyDescent="0.25">
      <c r="A115" s="442">
        <v>43740</v>
      </c>
      <c r="B115" s="295" t="s">
        <v>31</v>
      </c>
      <c r="C115" s="296">
        <v>527.41</v>
      </c>
      <c r="D115" s="296" t="s">
        <v>72</v>
      </c>
      <c r="E115" s="297" t="s">
        <v>72</v>
      </c>
      <c r="F115" s="295" t="s">
        <v>61</v>
      </c>
      <c r="G115" s="317"/>
      <c r="H115" s="1"/>
      <c r="I115" s="376" t="s">
        <v>39</v>
      </c>
      <c r="J115" s="381">
        <v>1157.48</v>
      </c>
      <c r="K115" s="381">
        <v>1157.48</v>
      </c>
      <c r="L115" s="163">
        <f t="shared" ref="L115" si="11">J115-K115</f>
        <v>0</v>
      </c>
      <c r="M115" s="102">
        <v>43759</v>
      </c>
      <c r="O115" s="1"/>
      <c r="P115" s="1"/>
      <c r="Q115" s="1"/>
      <c r="R115" s="1"/>
      <c r="S115" s="112"/>
    </row>
    <row r="116" spans="1:19" x14ac:dyDescent="0.25">
      <c r="A116" s="426">
        <v>43746</v>
      </c>
      <c r="B116" s="165" t="s">
        <v>115</v>
      </c>
      <c r="C116" s="99">
        <v>248.72</v>
      </c>
      <c r="D116" s="99">
        <v>248.72</v>
      </c>
      <c r="E116" s="163">
        <f t="shared" ref="E116:E128" si="12">C116-D116</f>
        <v>0</v>
      </c>
      <c r="F116" s="165" t="str">
        <f t="shared" ref="F116:F130" si="13">IF(C116=0,"",IF(C116-D116=0,"оплачено",""))</f>
        <v>оплачено</v>
      </c>
      <c r="G116" s="318"/>
      <c r="H116" s="1"/>
      <c r="I116" s="376" t="s">
        <v>40</v>
      </c>
      <c r="J116" s="287">
        <v>868.92</v>
      </c>
      <c r="K116" s="287">
        <v>868.92</v>
      </c>
      <c r="L116" s="163">
        <f>J116-K116</f>
        <v>0</v>
      </c>
      <c r="M116" s="102">
        <v>43759</v>
      </c>
      <c r="O116" s="1"/>
      <c r="P116" s="1"/>
      <c r="Q116" s="1"/>
      <c r="R116" s="1"/>
      <c r="S116" s="112"/>
    </row>
    <row r="117" spans="1:19" x14ac:dyDescent="0.25">
      <c r="A117" s="426">
        <v>43747</v>
      </c>
      <c r="B117" s="164" t="s">
        <v>155</v>
      </c>
      <c r="C117" s="99">
        <v>178.7</v>
      </c>
      <c r="D117" s="99">
        <v>178.7</v>
      </c>
      <c r="E117" s="163">
        <f t="shared" si="12"/>
        <v>0</v>
      </c>
      <c r="F117" s="165" t="str">
        <f t="shared" si="13"/>
        <v>оплачено</v>
      </c>
      <c r="G117" s="318"/>
      <c r="H117" s="1"/>
      <c r="I117" s="1"/>
      <c r="J117" s="93">
        <f>SUM(J115:J116)</f>
        <v>2026.4</v>
      </c>
      <c r="K117" s="1"/>
      <c r="L117" s="1"/>
      <c r="M117" s="44"/>
      <c r="O117" s="1"/>
      <c r="P117" s="1"/>
      <c r="Q117" s="1"/>
      <c r="R117" s="1"/>
      <c r="S117" s="112"/>
    </row>
    <row r="118" spans="1:19" ht="15.75" thickBot="1" x14ac:dyDescent="0.3">
      <c r="A118" s="442">
        <v>43748</v>
      </c>
      <c r="B118" s="295" t="s">
        <v>31</v>
      </c>
      <c r="C118" s="296">
        <v>396.19</v>
      </c>
      <c r="D118" s="296" t="s">
        <v>72</v>
      </c>
      <c r="E118" s="297" t="s">
        <v>72</v>
      </c>
      <c r="F118" s="295" t="s">
        <v>61</v>
      </c>
      <c r="G118" s="317"/>
      <c r="H118" s="1"/>
      <c r="I118" s="153"/>
      <c r="J118" s="1"/>
      <c r="K118" s="1"/>
      <c r="L118" s="1"/>
      <c r="M118" s="44"/>
      <c r="O118" s="1"/>
      <c r="P118" s="1"/>
      <c r="Q118" s="1"/>
      <c r="R118" s="1"/>
      <c r="S118" s="112"/>
    </row>
    <row r="119" spans="1:19" x14ac:dyDescent="0.25">
      <c r="A119" s="434">
        <v>43743</v>
      </c>
      <c r="B119" s="165" t="s">
        <v>150</v>
      </c>
      <c r="C119" s="281">
        <v>564.70000000000005</v>
      </c>
      <c r="D119" s="281">
        <v>564.70000000000005</v>
      </c>
      <c r="E119" s="163">
        <f t="shared" si="12"/>
        <v>0</v>
      </c>
      <c r="F119" s="165" t="str">
        <f t="shared" si="13"/>
        <v>оплачено</v>
      </c>
      <c r="G119" s="318" t="s">
        <v>172</v>
      </c>
      <c r="H119" s="684" t="s">
        <v>16</v>
      </c>
      <c r="I119" s="685" t="s">
        <v>17</v>
      </c>
      <c r="J119" s="685" t="s">
        <v>21</v>
      </c>
      <c r="K119" s="685"/>
      <c r="L119" s="686" t="s">
        <v>93</v>
      </c>
      <c r="M119" s="687" t="s">
        <v>95</v>
      </c>
      <c r="O119" s="673" t="s">
        <v>197</v>
      </c>
      <c r="P119" s="673"/>
      <c r="Q119" s="673"/>
      <c r="R119" s="1"/>
      <c r="S119" s="112"/>
    </row>
    <row r="120" spans="1:19" ht="24" x14ac:dyDescent="0.25">
      <c r="A120" s="426">
        <v>43754</v>
      </c>
      <c r="B120" s="376" t="s">
        <v>71</v>
      </c>
      <c r="C120" s="281">
        <v>166.54</v>
      </c>
      <c r="D120" s="164">
        <v>166.54</v>
      </c>
      <c r="E120" s="163">
        <f t="shared" si="12"/>
        <v>0</v>
      </c>
      <c r="F120" s="165" t="str">
        <f t="shared" si="13"/>
        <v>оплачено</v>
      </c>
      <c r="G120" s="318"/>
      <c r="H120" s="684"/>
      <c r="I120" s="685"/>
      <c r="J120" s="380" t="s">
        <v>21</v>
      </c>
      <c r="K120" s="380" t="s">
        <v>25</v>
      </c>
      <c r="L120" s="686"/>
      <c r="M120" s="687"/>
      <c r="O120" s="674"/>
      <c r="P120" s="674"/>
      <c r="Q120" s="674"/>
      <c r="R120" s="1"/>
      <c r="S120" s="112"/>
    </row>
    <row r="121" spans="1:19" x14ac:dyDescent="0.25">
      <c r="A121" s="426">
        <v>43756</v>
      </c>
      <c r="B121" s="164" t="s">
        <v>155</v>
      </c>
      <c r="C121" s="281">
        <v>138</v>
      </c>
      <c r="D121" s="164">
        <v>138</v>
      </c>
      <c r="E121" s="163">
        <f t="shared" si="12"/>
        <v>0</v>
      </c>
      <c r="F121" s="165" t="str">
        <f t="shared" si="13"/>
        <v>оплачено</v>
      </c>
      <c r="G121" s="318"/>
      <c r="H121" s="263" t="s">
        <v>18</v>
      </c>
      <c r="I121" s="264">
        <v>32809.9</v>
      </c>
      <c r="J121" s="264">
        <v>1675.7199999999998</v>
      </c>
      <c r="K121" s="265">
        <v>1047.01</v>
      </c>
      <c r="L121" s="266">
        <v>52152</v>
      </c>
      <c r="M121" s="332">
        <f>82159.79-I121-J121-K121+L121</f>
        <v>98779.159999999989</v>
      </c>
      <c r="O121" s="1"/>
      <c r="P121" s="1"/>
      <c r="Q121" s="1"/>
      <c r="R121" s="1"/>
      <c r="S121" s="112"/>
    </row>
    <row r="122" spans="1:19" x14ac:dyDescent="0.25">
      <c r="A122" s="427">
        <v>43766</v>
      </c>
      <c r="B122" s="286" t="s">
        <v>154</v>
      </c>
      <c r="C122" s="164">
        <v>49.84</v>
      </c>
      <c r="D122" s="164">
        <v>49.84</v>
      </c>
      <c r="E122" s="163">
        <f t="shared" si="12"/>
        <v>0</v>
      </c>
      <c r="F122" s="165" t="str">
        <f t="shared" si="13"/>
        <v>оплачено</v>
      </c>
      <c r="G122" s="318"/>
      <c r="H122" s="263" t="s">
        <v>19</v>
      </c>
      <c r="I122" s="264">
        <v>35259.579999999994</v>
      </c>
      <c r="J122" s="264">
        <v>1363.3000000000002</v>
      </c>
      <c r="K122" s="264">
        <v>1176.05</v>
      </c>
      <c r="L122" s="266">
        <v>40465.950000000004</v>
      </c>
      <c r="M122" s="332">
        <f>M121-I122-J122-K122+L122</f>
        <v>101446.18</v>
      </c>
      <c r="O122" s="1"/>
      <c r="P122" s="1"/>
      <c r="Q122" s="1"/>
      <c r="R122" s="1"/>
      <c r="S122" s="112"/>
    </row>
    <row r="123" spans="1:19" x14ac:dyDescent="0.25">
      <c r="A123" s="428">
        <v>43763</v>
      </c>
      <c r="B123" s="164" t="s">
        <v>119</v>
      </c>
      <c r="C123" s="164">
        <v>282.45</v>
      </c>
      <c r="D123" s="164">
        <v>282.45</v>
      </c>
      <c r="E123" s="163">
        <f t="shared" si="12"/>
        <v>0</v>
      </c>
      <c r="F123" s="165" t="str">
        <f t="shared" si="13"/>
        <v>оплачено</v>
      </c>
      <c r="G123" s="318"/>
      <c r="H123" s="263" t="s">
        <v>20</v>
      </c>
      <c r="I123" s="267" t="e">
        <f>#REF!</f>
        <v>#REF!</v>
      </c>
      <c r="J123" s="264">
        <v>1209.3000000000002</v>
      </c>
      <c r="K123" s="268">
        <v>1213.33</v>
      </c>
      <c r="L123" s="268">
        <v>19306</v>
      </c>
      <c r="M123" s="332" t="e">
        <f>M122-I123-J123-K123+L123</f>
        <v>#REF!</v>
      </c>
      <c r="O123" s="1"/>
      <c r="P123" s="1"/>
      <c r="Q123" s="1"/>
      <c r="R123" s="1"/>
      <c r="S123" s="112"/>
    </row>
    <row r="124" spans="1:19" x14ac:dyDescent="0.25">
      <c r="A124" s="428">
        <v>43766</v>
      </c>
      <c r="B124" s="53" t="s">
        <v>29</v>
      </c>
      <c r="C124" s="164">
        <v>342.45</v>
      </c>
      <c r="D124" s="164">
        <v>342.45</v>
      </c>
      <c r="E124" s="163">
        <f t="shared" si="12"/>
        <v>0</v>
      </c>
      <c r="F124" s="165" t="str">
        <f t="shared" si="13"/>
        <v>оплачено</v>
      </c>
      <c r="G124" s="318"/>
      <c r="H124" s="263" t="s">
        <v>148</v>
      </c>
      <c r="I124" s="268">
        <v>30955.479999999996</v>
      </c>
      <c r="J124" s="269"/>
      <c r="K124" s="269">
        <v>1035.6600000000001</v>
      </c>
      <c r="L124" s="268">
        <v>59195.5</v>
      </c>
      <c r="M124" s="332" t="e">
        <f>M123-I124-J124-K124+L124</f>
        <v>#REF!</v>
      </c>
      <c r="O124" s="1"/>
      <c r="P124" s="1"/>
      <c r="Q124" s="1"/>
      <c r="R124" s="1"/>
      <c r="S124" s="112"/>
    </row>
    <row r="125" spans="1:19" x14ac:dyDescent="0.25">
      <c r="A125" s="427">
        <v>43748</v>
      </c>
      <c r="B125" s="286" t="s">
        <v>156</v>
      </c>
      <c r="C125" s="164">
        <v>228.65</v>
      </c>
      <c r="D125" s="164">
        <v>228.65</v>
      </c>
      <c r="E125" s="163">
        <f t="shared" si="12"/>
        <v>0</v>
      </c>
      <c r="F125" s="165" t="str">
        <f t="shared" si="13"/>
        <v>оплачено</v>
      </c>
      <c r="G125" s="318"/>
      <c r="H125" s="316" t="s">
        <v>162</v>
      </c>
      <c r="I125" s="313">
        <v>31239.439999999995</v>
      </c>
      <c r="J125" s="314">
        <v>2443.4</v>
      </c>
      <c r="K125" s="313"/>
      <c r="L125" s="314">
        <v>40132</v>
      </c>
      <c r="M125" s="332" t="e">
        <f>M124-I125-J125-K125+L125</f>
        <v>#REF!</v>
      </c>
      <c r="O125" s="1"/>
      <c r="P125" s="1"/>
      <c r="Q125" s="1"/>
      <c r="R125" s="1"/>
      <c r="S125" s="112"/>
    </row>
    <row r="126" spans="1:19" x14ac:dyDescent="0.25">
      <c r="A126" s="427">
        <v>43741</v>
      </c>
      <c r="B126" s="286" t="s">
        <v>157</v>
      </c>
      <c r="C126" s="167">
        <v>324.93</v>
      </c>
      <c r="D126" s="167">
        <v>324.93</v>
      </c>
      <c r="E126" s="163">
        <f t="shared" si="12"/>
        <v>0</v>
      </c>
      <c r="F126" s="165" t="str">
        <f t="shared" si="13"/>
        <v>оплачено</v>
      </c>
      <c r="G126" s="318"/>
      <c r="H126" s="690" t="s">
        <v>122</v>
      </c>
      <c r="I126" s="691"/>
      <c r="J126" s="312" t="s">
        <v>121</v>
      </c>
      <c r="K126" s="153"/>
      <c r="L126" s="153"/>
      <c r="M126" s="44"/>
      <c r="O126" s="1"/>
      <c r="P126" s="1"/>
      <c r="Q126" s="1"/>
      <c r="R126" s="1"/>
      <c r="S126" s="112"/>
    </row>
    <row r="127" spans="1:19" x14ac:dyDescent="0.25">
      <c r="A127" s="427">
        <v>43768</v>
      </c>
      <c r="B127" s="376" t="s">
        <v>71</v>
      </c>
      <c r="C127" s="164">
        <v>632.77</v>
      </c>
      <c r="D127" s="164">
        <v>632.77</v>
      </c>
      <c r="E127" s="163">
        <f t="shared" si="12"/>
        <v>0</v>
      </c>
      <c r="F127" s="165" t="str">
        <f t="shared" si="13"/>
        <v>оплачено</v>
      </c>
      <c r="G127" s="318"/>
      <c r="H127" s="93"/>
      <c r="I127" s="93">
        <v>28</v>
      </c>
      <c r="J127" s="315">
        <v>40132</v>
      </c>
      <c r="K127" s="1"/>
      <c r="L127" s="1"/>
      <c r="M127" s="103"/>
      <c r="O127" s="1"/>
      <c r="P127" s="1"/>
      <c r="Q127" s="1"/>
      <c r="R127" s="1"/>
      <c r="S127" s="112"/>
    </row>
    <row r="128" spans="1:19" ht="15.75" thickBot="1" x14ac:dyDescent="0.3">
      <c r="A128" s="443">
        <v>43768</v>
      </c>
      <c r="B128" s="323" t="s">
        <v>63</v>
      </c>
      <c r="C128" s="324">
        <v>340.96</v>
      </c>
      <c r="D128" s="324">
        <v>340.96</v>
      </c>
      <c r="E128" s="325">
        <f t="shared" si="12"/>
        <v>0</v>
      </c>
      <c r="F128" s="326" t="str">
        <f t="shared" si="13"/>
        <v>оплачено</v>
      </c>
      <c r="G128" s="327"/>
      <c r="H128" s="328"/>
      <c r="I128" s="328"/>
      <c r="J128" s="328"/>
      <c r="K128" s="328"/>
      <c r="L128" s="328"/>
      <c r="M128" s="336"/>
      <c r="O128" s="1"/>
      <c r="P128" s="1"/>
      <c r="Q128" s="1"/>
      <c r="R128" s="1"/>
      <c r="S128" s="112"/>
    </row>
    <row r="129" spans="1:19" ht="15.75" thickTop="1" x14ac:dyDescent="0.25">
      <c r="A129" s="444"/>
      <c r="B129" s="339"/>
      <c r="C129" s="340"/>
      <c r="D129" s="340"/>
      <c r="E129" s="341"/>
      <c r="F129" s="342" t="str">
        <f t="shared" si="13"/>
        <v/>
      </c>
      <c r="G129" s="343"/>
      <c r="H129" s="329"/>
      <c r="I129" s="329"/>
      <c r="J129" s="329"/>
      <c r="K129" s="329"/>
      <c r="L129" s="329" t="s">
        <v>159</v>
      </c>
      <c r="M129" s="344"/>
      <c r="O129" s="1"/>
      <c r="P129" s="1"/>
      <c r="Q129" s="1"/>
      <c r="R129" s="1"/>
      <c r="S129" s="112"/>
    </row>
    <row r="130" spans="1:19" x14ac:dyDescent="0.25">
      <c r="A130" s="431"/>
      <c r="B130" s="205"/>
      <c r="C130" s="205"/>
      <c r="D130" s="205"/>
      <c r="E130" s="373"/>
      <c r="F130" s="206" t="str">
        <f t="shared" si="13"/>
        <v/>
      </c>
      <c r="G130" s="319"/>
      <c r="H130" s="1">
        <v>1</v>
      </c>
      <c r="I130" s="680" t="s">
        <v>47</v>
      </c>
      <c r="J130" s="680"/>
      <c r="K130" s="376">
        <v>288.75</v>
      </c>
      <c r="L130" s="288">
        <v>43749</v>
      </c>
      <c r="M130" s="44" t="s">
        <v>160</v>
      </c>
      <c r="O130" s="1"/>
      <c r="P130" s="1"/>
      <c r="Q130" s="1"/>
      <c r="R130" s="1"/>
      <c r="S130" s="112"/>
    </row>
    <row r="131" spans="1:19" x14ac:dyDescent="0.25">
      <c r="A131" s="432"/>
      <c r="B131" s="205"/>
      <c r="C131" s="294"/>
      <c r="D131" s="238"/>
      <c r="E131" s="85"/>
      <c r="F131" s="205"/>
      <c r="G131" s="319"/>
      <c r="H131" s="1">
        <v>2</v>
      </c>
      <c r="I131" s="680" t="s">
        <v>51</v>
      </c>
      <c r="J131" s="680"/>
      <c r="K131" s="376">
        <v>60.29</v>
      </c>
      <c r="L131" s="288">
        <v>43749</v>
      </c>
      <c r="M131" s="44" t="s">
        <v>160</v>
      </c>
      <c r="O131" s="1"/>
      <c r="P131" s="1"/>
      <c r="Q131" s="1"/>
      <c r="R131" s="1"/>
      <c r="S131" s="112"/>
    </row>
    <row r="132" spans="1:19" x14ac:dyDescent="0.25">
      <c r="A132" s="445"/>
      <c r="B132" s="205"/>
      <c r="C132" s="205"/>
      <c r="D132" s="279"/>
      <c r="E132" s="373"/>
      <c r="F132" s="85"/>
      <c r="G132" s="320"/>
      <c r="H132" s="1">
        <v>3</v>
      </c>
      <c r="I132" s="680" t="s">
        <v>52</v>
      </c>
      <c r="J132" s="680"/>
      <c r="K132" s="376">
        <v>4.95</v>
      </c>
      <c r="L132" s="288">
        <v>43749</v>
      </c>
      <c r="M132" s="44" t="s">
        <v>160</v>
      </c>
      <c r="O132" s="1"/>
      <c r="P132" s="1"/>
      <c r="Q132" s="1"/>
      <c r="R132" s="1"/>
      <c r="S132" s="112"/>
    </row>
    <row r="133" spans="1:19" x14ac:dyDescent="0.25">
      <c r="A133" s="445"/>
      <c r="B133" s="373"/>
      <c r="C133" s="205"/>
      <c r="D133" s="279"/>
      <c r="E133" s="373"/>
      <c r="F133" s="373"/>
      <c r="G133" s="320"/>
      <c r="H133" s="1">
        <v>6</v>
      </c>
      <c r="I133" s="680" t="s">
        <v>49</v>
      </c>
      <c r="J133" s="680"/>
      <c r="K133" s="376">
        <v>234.75</v>
      </c>
      <c r="L133" s="288">
        <v>43759</v>
      </c>
      <c r="M133" s="44" t="s">
        <v>161</v>
      </c>
      <c r="O133" s="1"/>
      <c r="P133" s="1"/>
      <c r="Q133" s="1"/>
      <c r="R133" s="1"/>
      <c r="S133" s="112"/>
    </row>
    <row r="134" spans="1:19" x14ac:dyDescent="0.25">
      <c r="A134" s="445"/>
      <c r="B134" s="1"/>
      <c r="C134" s="205"/>
      <c r="D134" s="279"/>
      <c r="E134" s="85"/>
      <c r="F134" s="373"/>
      <c r="G134" s="320"/>
      <c r="H134" s="1">
        <v>8</v>
      </c>
      <c r="I134" s="675" t="s">
        <v>53</v>
      </c>
      <c r="J134" s="676"/>
      <c r="K134" s="376">
        <v>7.01</v>
      </c>
      <c r="L134" s="288">
        <v>43745</v>
      </c>
      <c r="M134" s="44" t="s">
        <v>160</v>
      </c>
      <c r="O134" s="1"/>
      <c r="P134" s="1"/>
      <c r="Q134" s="1"/>
      <c r="R134" s="1"/>
      <c r="S134" s="112"/>
    </row>
    <row r="135" spans="1:19" x14ac:dyDescent="0.25">
      <c r="A135" s="445"/>
      <c r="B135" s="1"/>
      <c r="C135" s="290"/>
      <c r="D135" s="279"/>
      <c r="E135" s="373"/>
      <c r="F135" s="373"/>
      <c r="G135" s="321"/>
      <c r="H135" s="1">
        <v>9</v>
      </c>
      <c r="I135" s="677" t="s">
        <v>59</v>
      </c>
      <c r="J135" s="677"/>
      <c r="K135" s="376">
        <v>1045.72</v>
      </c>
      <c r="L135" s="376">
        <v>1045.72</v>
      </c>
      <c r="M135" s="320" t="s">
        <v>160</v>
      </c>
      <c r="O135" s="1"/>
      <c r="P135" s="1"/>
      <c r="Q135" s="1"/>
      <c r="R135" s="1"/>
      <c r="S135" s="112"/>
    </row>
    <row r="136" spans="1:19" x14ac:dyDescent="0.25">
      <c r="A136" s="445"/>
      <c r="B136" s="205"/>
      <c r="C136" s="1"/>
      <c r="D136" s="279"/>
      <c r="E136" s="373"/>
      <c r="F136" s="373"/>
      <c r="G136" s="320"/>
      <c r="H136" s="1">
        <v>10</v>
      </c>
      <c r="I136" s="678" t="s">
        <v>68</v>
      </c>
      <c r="J136" s="679"/>
      <c r="K136" s="376">
        <v>176.72</v>
      </c>
      <c r="L136" s="288">
        <v>43759</v>
      </c>
      <c r="M136" s="320" t="s">
        <v>160</v>
      </c>
      <c r="O136" s="1"/>
      <c r="P136" s="1"/>
      <c r="Q136" s="1"/>
      <c r="R136" s="1"/>
      <c r="S136" s="112"/>
    </row>
    <row r="137" spans="1:19" x14ac:dyDescent="0.25">
      <c r="A137" s="445"/>
      <c r="B137" s="205"/>
      <c r="C137" s="1"/>
      <c r="D137" s="279"/>
      <c r="E137" s="85"/>
      <c r="F137" s="373"/>
      <c r="G137" s="320"/>
      <c r="H137" s="1">
        <v>11</v>
      </c>
      <c r="I137" s="678" t="s">
        <v>81</v>
      </c>
      <c r="J137" s="679"/>
      <c r="K137" s="53">
        <v>1730.7</v>
      </c>
      <c r="L137" s="288">
        <v>43752</v>
      </c>
      <c r="M137" s="44" t="s">
        <v>160</v>
      </c>
      <c r="O137" s="1"/>
      <c r="P137" s="1"/>
      <c r="Q137" s="1"/>
      <c r="R137" s="1"/>
      <c r="S137" s="112"/>
    </row>
    <row r="138" spans="1:19" x14ac:dyDescent="0.25">
      <c r="A138" s="445"/>
      <c r="B138" s="205"/>
      <c r="C138" s="290"/>
      <c r="D138" s="279"/>
      <c r="E138" s="290"/>
      <c r="F138" s="373"/>
      <c r="G138" s="322"/>
      <c r="H138" s="1"/>
      <c r="I138" s="1" t="s">
        <v>50</v>
      </c>
      <c r="J138" s="1"/>
      <c r="K138" s="93">
        <f>SUM(K129:K137)</f>
        <v>3548.8900000000003</v>
      </c>
      <c r="L138" s="1"/>
      <c r="M138" s="44"/>
      <c r="O138" s="1"/>
      <c r="P138" s="1"/>
      <c r="Q138" s="1"/>
      <c r="R138" s="1"/>
      <c r="S138" s="112"/>
    </row>
    <row r="139" spans="1:19" x14ac:dyDescent="0.25">
      <c r="A139" s="445"/>
      <c r="B139" s="205"/>
      <c r="C139" s="205"/>
      <c r="D139" s="279"/>
      <c r="E139" s="205"/>
      <c r="F139" s="373"/>
      <c r="G139" s="322"/>
      <c r="H139" s="1"/>
      <c r="I139" s="1"/>
      <c r="J139" s="1"/>
      <c r="K139" s="1"/>
      <c r="L139" s="1"/>
      <c r="M139" s="103"/>
      <c r="O139" s="1"/>
      <c r="P139" s="1"/>
      <c r="Q139" s="1"/>
      <c r="R139" s="1"/>
      <c r="S139" s="112"/>
    </row>
    <row r="140" spans="1:19" x14ac:dyDescent="0.25">
      <c r="A140" s="445"/>
      <c r="B140" s="373"/>
      <c r="C140" s="280"/>
      <c r="D140" s="279"/>
      <c r="E140" s="280"/>
      <c r="F140" s="373"/>
      <c r="G140" s="320"/>
      <c r="H140" s="1"/>
      <c r="I140" s="1"/>
      <c r="J140" s="1"/>
      <c r="K140" s="12"/>
      <c r="L140" s="1"/>
      <c r="M140" s="44"/>
      <c r="O140" s="1"/>
      <c r="P140" s="1"/>
      <c r="Q140" s="1"/>
      <c r="R140" s="1"/>
      <c r="S140" s="112"/>
    </row>
    <row r="141" spans="1:19" x14ac:dyDescent="0.25">
      <c r="A141" s="423"/>
      <c r="B141" s="373"/>
      <c r="C141" s="373"/>
      <c r="D141" s="279"/>
      <c r="E141" s="205"/>
      <c r="F141" s="373"/>
      <c r="G141" s="320"/>
      <c r="H141" s="1"/>
      <c r="I141" s="1"/>
      <c r="J141" s="1"/>
      <c r="K141" s="1"/>
      <c r="L141" s="1"/>
      <c r="M141" s="44"/>
      <c r="O141" s="1"/>
      <c r="P141" s="1"/>
      <c r="Q141" s="1"/>
      <c r="R141" s="1"/>
      <c r="S141" s="112"/>
    </row>
    <row r="142" spans="1:19" x14ac:dyDescent="0.25">
      <c r="A142" s="423"/>
      <c r="B142" s="373"/>
      <c r="C142" s="373"/>
      <c r="D142" s="279"/>
      <c r="E142" s="373"/>
      <c r="F142" s="373"/>
      <c r="G142" s="320"/>
      <c r="H142" s="1"/>
      <c r="I142" s="1"/>
      <c r="J142" s="1"/>
      <c r="K142" s="1"/>
      <c r="L142" s="1"/>
      <c r="M142" s="103"/>
      <c r="O142" s="1"/>
      <c r="P142" s="1"/>
      <c r="Q142" s="1"/>
      <c r="R142" s="1"/>
      <c r="S142" s="112"/>
    </row>
    <row r="143" spans="1:19" x14ac:dyDescent="0.25">
      <c r="A143" s="423"/>
      <c r="B143" s="373"/>
      <c r="C143" s="373"/>
      <c r="D143" s="279"/>
      <c r="E143" s="373"/>
      <c r="F143" s="373"/>
      <c r="G143" s="320"/>
      <c r="H143" s="1"/>
      <c r="I143" s="1"/>
      <c r="J143" s="1"/>
      <c r="K143" s="1"/>
      <c r="L143" s="1"/>
      <c r="M143" s="44"/>
      <c r="O143" s="1"/>
      <c r="P143" s="1"/>
      <c r="Q143" s="1"/>
      <c r="R143" s="1"/>
      <c r="S143" s="112"/>
    </row>
    <row r="144" spans="1:19" x14ac:dyDescent="0.25">
      <c r="A144" s="423"/>
      <c r="B144" s="205"/>
      <c r="C144" s="205"/>
      <c r="D144" s="279"/>
      <c r="E144" s="205"/>
      <c r="F144" s="373"/>
      <c r="G144" s="320"/>
      <c r="H144" s="1"/>
      <c r="I144" s="1"/>
      <c r="J144" s="1"/>
      <c r="K144" s="1"/>
      <c r="L144" s="1"/>
      <c r="M144" s="44"/>
      <c r="O144" s="1"/>
      <c r="P144" s="1"/>
      <c r="Q144" s="1"/>
      <c r="R144" s="1"/>
      <c r="S144" s="112"/>
    </row>
    <row r="145" spans="1:19" ht="15.75" thickBot="1" x14ac:dyDescent="0.3">
      <c r="A145" s="446"/>
      <c r="B145" s="337"/>
      <c r="C145" s="338"/>
      <c r="D145" s="349"/>
      <c r="E145" s="337"/>
      <c r="F145" s="338"/>
      <c r="G145" s="350"/>
      <c r="H145" s="328"/>
      <c r="I145" s="328"/>
      <c r="J145" s="328"/>
      <c r="K145" s="328"/>
      <c r="L145" s="328"/>
      <c r="M145" s="336"/>
      <c r="O145" s="1"/>
      <c r="P145" s="1"/>
      <c r="Q145" s="1"/>
      <c r="R145" s="1"/>
      <c r="S145" s="112"/>
    </row>
    <row r="146" spans="1:19" ht="16.5" thickTop="1" thickBot="1" x14ac:dyDescent="0.3">
      <c r="A146" s="132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5"/>
    </row>
    <row r="147" spans="1:19" ht="15.75" thickBot="1" x14ac:dyDescent="0.3">
      <c r="A147" s="108"/>
      <c r="B147" s="109"/>
      <c r="C147" s="109"/>
      <c r="D147" s="109"/>
      <c r="E147" s="109"/>
      <c r="F147" s="109"/>
      <c r="G147" s="109"/>
      <c r="H147" s="109"/>
      <c r="I147" s="109"/>
      <c r="J147" s="109"/>
      <c r="K147" s="109"/>
      <c r="L147" s="109"/>
      <c r="M147" s="109"/>
      <c r="N147" s="109"/>
      <c r="O147" s="109"/>
      <c r="P147" s="109"/>
      <c r="Q147" s="109"/>
      <c r="R147" s="109"/>
      <c r="S147" s="110"/>
    </row>
    <row r="148" spans="1:19" ht="15.75" thickTop="1" x14ac:dyDescent="0.25">
      <c r="A148" s="681" t="s">
        <v>28</v>
      </c>
      <c r="B148" s="682"/>
      <c r="C148" s="682"/>
      <c r="D148" s="682"/>
      <c r="E148" s="682"/>
      <c r="F148" s="682"/>
      <c r="G148" s="683"/>
      <c r="H148" s="352"/>
      <c r="I148" s="682" t="s">
        <v>165</v>
      </c>
      <c r="J148" s="682"/>
      <c r="K148" s="682"/>
      <c r="L148" s="682"/>
      <c r="M148" s="683"/>
      <c r="O148" s="1"/>
      <c r="P148" s="1"/>
      <c r="Q148" s="1"/>
      <c r="R148" s="1"/>
      <c r="S148" s="112"/>
    </row>
    <row r="149" spans="1:19" x14ac:dyDescent="0.25">
      <c r="A149" s="412" t="s">
        <v>2</v>
      </c>
      <c r="B149" s="611" t="s">
        <v>34</v>
      </c>
      <c r="C149" s="36" t="s">
        <v>35</v>
      </c>
      <c r="D149" s="36" t="s">
        <v>38</v>
      </c>
      <c r="E149" s="36" t="s">
        <v>42</v>
      </c>
      <c r="F149" s="611" t="s">
        <v>36</v>
      </c>
      <c r="G149" s="101" t="s">
        <v>173</v>
      </c>
      <c r="H149" s="43"/>
      <c r="I149" s="40"/>
      <c r="J149" s="606" t="s">
        <v>35</v>
      </c>
      <c r="K149" s="606" t="s">
        <v>38</v>
      </c>
      <c r="L149" s="606" t="s">
        <v>42</v>
      </c>
      <c r="M149" s="101" t="s">
        <v>44</v>
      </c>
      <c r="O149" s="1"/>
      <c r="P149" s="1"/>
      <c r="Q149" s="1"/>
      <c r="R149" s="1"/>
      <c r="S149" s="112"/>
    </row>
    <row r="150" spans="1:19" x14ac:dyDescent="0.25">
      <c r="A150" s="426">
        <v>43773</v>
      </c>
      <c r="B150" s="164" t="s">
        <v>29</v>
      </c>
      <c r="C150" s="99">
        <v>113.8</v>
      </c>
      <c r="D150" s="99">
        <v>113.8</v>
      </c>
      <c r="E150" s="163"/>
      <c r="F150" s="165" t="str">
        <f t="shared" ref="F150:F166" si="14">IF(C150=0,"",IF(C150-D150=0,"оплачено",""))</f>
        <v>оплачено</v>
      </c>
      <c r="G150" s="363"/>
      <c r="H150" s="43"/>
      <c r="I150" s="606" t="s">
        <v>39</v>
      </c>
      <c r="J150" s="613">
        <v>1780.71</v>
      </c>
      <c r="K150" s="613">
        <v>1780.71</v>
      </c>
      <c r="L150" s="163">
        <f t="shared" ref="L150" si="15">J150-K150</f>
        <v>0</v>
      </c>
      <c r="M150" s="102">
        <v>43791</v>
      </c>
      <c r="O150" s="1"/>
      <c r="P150" s="1"/>
      <c r="Q150" s="1"/>
      <c r="R150" s="1"/>
      <c r="S150" s="112"/>
    </row>
    <row r="151" spans="1:19" x14ac:dyDescent="0.25">
      <c r="A151" s="426">
        <v>43773</v>
      </c>
      <c r="B151" s="164" t="s">
        <v>101</v>
      </c>
      <c r="C151" s="99">
        <v>283.68</v>
      </c>
      <c r="D151" s="99">
        <v>283.68</v>
      </c>
      <c r="E151" s="163"/>
      <c r="F151" s="165" t="str">
        <f t="shared" si="14"/>
        <v>оплачено</v>
      </c>
      <c r="G151" s="363"/>
      <c r="H151" s="43"/>
      <c r="I151" s="606" t="s">
        <v>40</v>
      </c>
      <c r="J151" s="287">
        <v>1147.08</v>
      </c>
      <c r="K151" s="287">
        <v>1147.08</v>
      </c>
      <c r="L151" s="163">
        <f>J151-K151</f>
        <v>0</v>
      </c>
      <c r="M151" s="102">
        <v>43791</v>
      </c>
      <c r="O151" s="1"/>
      <c r="P151" s="1"/>
      <c r="Q151" s="1"/>
      <c r="R151" s="1"/>
      <c r="S151" s="112"/>
    </row>
    <row r="152" spans="1:19" x14ac:dyDescent="0.25">
      <c r="A152" s="426">
        <v>43775</v>
      </c>
      <c r="B152" s="164" t="s">
        <v>175</v>
      </c>
      <c r="C152" s="99">
        <v>252.6</v>
      </c>
      <c r="D152" s="99">
        <v>252.6</v>
      </c>
      <c r="E152" s="163"/>
      <c r="F152" s="165" t="str">
        <f t="shared" si="14"/>
        <v>оплачено</v>
      </c>
      <c r="G152" s="363"/>
      <c r="H152" s="43"/>
      <c r="I152" s="1"/>
      <c r="J152" s="302">
        <f>SUM(J150:J151)</f>
        <v>2927.79</v>
      </c>
      <c r="K152" s="1"/>
      <c r="L152" s="1"/>
      <c r="M152" s="44"/>
      <c r="O152" s="1"/>
      <c r="P152" s="1"/>
      <c r="Q152" s="1"/>
      <c r="R152" s="1"/>
      <c r="S152" s="112"/>
    </row>
    <row r="153" spans="1:19" x14ac:dyDescent="0.25">
      <c r="A153" s="426">
        <v>43796</v>
      </c>
      <c r="B153" s="164" t="s">
        <v>183</v>
      </c>
      <c r="C153" s="99">
        <v>422.22</v>
      </c>
      <c r="D153" s="99">
        <v>422.22</v>
      </c>
      <c r="E153" s="163"/>
      <c r="F153" s="165" t="str">
        <f t="shared" si="14"/>
        <v>оплачено</v>
      </c>
      <c r="G153" s="363"/>
      <c r="H153" s="43"/>
      <c r="I153" s="1"/>
      <c r="J153" s="373"/>
      <c r="K153" s="1"/>
      <c r="L153" s="1"/>
      <c r="M153" s="44"/>
      <c r="O153" s="1"/>
      <c r="P153" s="1"/>
      <c r="Q153" s="1"/>
      <c r="R153" s="1"/>
      <c r="S153" s="112"/>
    </row>
    <row r="154" spans="1:19" x14ac:dyDescent="0.25">
      <c r="A154" s="426">
        <v>43795</v>
      </c>
      <c r="B154" s="164" t="s">
        <v>29</v>
      </c>
      <c r="C154" s="99">
        <v>313.76</v>
      </c>
      <c r="D154" s="99">
        <v>313.76</v>
      </c>
      <c r="E154" s="163"/>
      <c r="F154" s="165" t="str">
        <f t="shared" si="14"/>
        <v>оплачено</v>
      </c>
      <c r="G154" s="363"/>
      <c r="H154" s="43"/>
      <c r="I154" s="1"/>
      <c r="J154" s="373"/>
      <c r="K154" s="1"/>
      <c r="L154" s="1"/>
      <c r="M154" s="44"/>
      <c r="O154" s="1"/>
      <c r="P154" s="1"/>
      <c r="Q154" s="1"/>
      <c r="R154" s="1"/>
      <c r="S154" s="112"/>
    </row>
    <row r="155" spans="1:19" x14ac:dyDescent="0.25">
      <c r="A155" s="426">
        <v>43794</v>
      </c>
      <c r="B155" s="164" t="s">
        <v>119</v>
      </c>
      <c r="C155" s="281">
        <v>116.9</v>
      </c>
      <c r="D155" s="281">
        <v>116.9</v>
      </c>
      <c r="E155" s="163"/>
      <c r="F155" s="165" t="str">
        <f t="shared" si="14"/>
        <v>оплачено</v>
      </c>
      <c r="G155" s="363"/>
      <c r="H155" s="43"/>
      <c r="I155" s="1"/>
      <c r="J155" s="373"/>
      <c r="K155" s="1"/>
      <c r="L155" s="1"/>
      <c r="M155" s="44"/>
      <c r="O155" s="1"/>
      <c r="P155" s="1"/>
      <c r="Q155" s="1"/>
      <c r="R155" s="1"/>
      <c r="S155" s="112"/>
    </row>
    <row r="156" spans="1:19" x14ac:dyDescent="0.25">
      <c r="A156" s="426"/>
      <c r="B156" s="164"/>
      <c r="C156" s="281"/>
      <c r="D156" s="164"/>
      <c r="E156" s="163" t="str">
        <f t="shared" ref="E156:E166" si="16">IF(C156-D156=0,"",C156-D156)</f>
        <v/>
      </c>
      <c r="F156" s="165" t="str">
        <f t="shared" si="14"/>
        <v/>
      </c>
      <c r="G156" s="363"/>
      <c r="H156" s="43"/>
      <c r="I156" s="1"/>
      <c r="J156" s="373"/>
      <c r="K156" s="1"/>
      <c r="L156" s="1"/>
      <c r="M156" s="44"/>
      <c r="O156" s="1"/>
      <c r="P156" s="1"/>
      <c r="Q156" s="1"/>
      <c r="R156" s="1"/>
      <c r="S156" s="112"/>
    </row>
    <row r="157" spans="1:19" x14ac:dyDescent="0.25">
      <c r="A157" s="426"/>
      <c r="B157" s="164"/>
      <c r="C157" s="281"/>
      <c r="D157" s="164"/>
      <c r="E157" s="163" t="str">
        <f t="shared" si="16"/>
        <v/>
      </c>
      <c r="F157" s="165" t="str">
        <f t="shared" si="14"/>
        <v/>
      </c>
      <c r="G157" s="363"/>
      <c r="H157" s="43"/>
      <c r="I157" s="1"/>
      <c r="J157" s="373"/>
      <c r="K157" s="1"/>
      <c r="L157" s="1"/>
      <c r="M157" s="44"/>
      <c r="O157" s="1"/>
      <c r="P157" s="1"/>
      <c r="Q157" s="1"/>
      <c r="R157" s="1"/>
      <c r="S157" s="112"/>
    </row>
    <row r="158" spans="1:19" x14ac:dyDescent="0.25">
      <c r="A158" s="426"/>
      <c r="B158" s="164"/>
      <c r="C158" s="281"/>
      <c r="D158" s="164"/>
      <c r="E158" s="163" t="str">
        <f t="shared" si="16"/>
        <v/>
      </c>
      <c r="F158" s="165" t="str">
        <f t="shared" si="14"/>
        <v/>
      </c>
      <c r="G158" s="363"/>
      <c r="H158" s="43"/>
      <c r="I158" s="1"/>
      <c r="J158" s="373"/>
      <c r="K158" s="1"/>
      <c r="L158" s="1"/>
      <c r="M158" s="44"/>
      <c r="O158" s="1"/>
      <c r="P158" s="1"/>
      <c r="Q158" s="1"/>
      <c r="R158" s="1"/>
      <c r="S158" s="112"/>
    </row>
    <row r="159" spans="1:19" x14ac:dyDescent="0.25">
      <c r="A159" s="426"/>
      <c r="B159" s="164"/>
      <c r="C159" s="281"/>
      <c r="D159" s="164"/>
      <c r="E159" s="163" t="str">
        <f t="shared" si="16"/>
        <v/>
      </c>
      <c r="F159" s="165" t="str">
        <f t="shared" si="14"/>
        <v/>
      </c>
      <c r="G159" s="363"/>
      <c r="H159" s="43"/>
      <c r="I159" s="1"/>
      <c r="J159" s="373"/>
      <c r="K159" s="1"/>
      <c r="L159" s="1"/>
      <c r="M159" s="44"/>
      <c r="O159" s="1"/>
      <c r="P159" s="1"/>
      <c r="Q159" s="1"/>
      <c r="R159" s="1"/>
      <c r="S159" s="112"/>
    </row>
    <row r="160" spans="1:19" x14ac:dyDescent="0.25">
      <c r="A160" s="426"/>
      <c r="B160" s="164"/>
      <c r="C160" s="281"/>
      <c r="D160" s="164"/>
      <c r="E160" s="163" t="str">
        <f t="shared" si="16"/>
        <v/>
      </c>
      <c r="F160" s="165" t="str">
        <f t="shared" si="14"/>
        <v/>
      </c>
      <c r="G160" s="363"/>
      <c r="H160" s="43"/>
      <c r="I160" s="1"/>
      <c r="J160" s="373"/>
      <c r="K160" s="1"/>
      <c r="L160" s="1"/>
      <c r="M160" s="44"/>
      <c r="O160" s="1"/>
      <c r="P160" s="1"/>
      <c r="Q160" s="1"/>
      <c r="R160" s="1"/>
      <c r="S160" s="112"/>
    </row>
    <row r="161" spans="1:19" x14ac:dyDescent="0.25">
      <c r="A161" s="426"/>
      <c r="B161" s="164"/>
      <c r="C161" s="281"/>
      <c r="D161" s="164"/>
      <c r="E161" s="163" t="str">
        <f t="shared" si="16"/>
        <v/>
      </c>
      <c r="F161" s="165" t="str">
        <f t="shared" si="14"/>
        <v/>
      </c>
      <c r="G161" s="363"/>
      <c r="H161" s="43"/>
      <c r="I161" s="1"/>
      <c r="J161" s="373"/>
      <c r="K161" s="1"/>
      <c r="L161" s="1"/>
      <c r="M161" s="44"/>
      <c r="O161" s="1"/>
      <c r="P161" s="1"/>
      <c r="Q161" s="1"/>
      <c r="R161" s="1"/>
      <c r="S161" s="112"/>
    </row>
    <row r="162" spans="1:19" x14ac:dyDescent="0.25">
      <c r="A162" s="427"/>
      <c r="B162" s="164"/>
      <c r="C162" s="164"/>
      <c r="D162" s="164"/>
      <c r="E162" s="163" t="str">
        <f t="shared" si="16"/>
        <v/>
      </c>
      <c r="F162" s="165" t="str">
        <f t="shared" si="14"/>
        <v/>
      </c>
      <c r="G162" s="363"/>
      <c r="H162" s="43"/>
      <c r="I162" s="1"/>
      <c r="J162" s="373"/>
      <c r="K162" s="1"/>
      <c r="L162" s="1"/>
      <c r="M162" s="44"/>
      <c r="O162" s="1"/>
      <c r="P162" s="1"/>
      <c r="Q162" s="1"/>
      <c r="R162" s="1"/>
      <c r="S162" s="112"/>
    </row>
    <row r="163" spans="1:19" x14ac:dyDescent="0.25">
      <c r="A163" s="428"/>
      <c r="B163" s="164"/>
      <c r="C163" s="164"/>
      <c r="D163" s="164"/>
      <c r="E163" s="163" t="str">
        <f t="shared" si="16"/>
        <v/>
      </c>
      <c r="F163" s="165" t="str">
        <f t="shared" si="14"/>
        <v/>
      </c>
      <c r="G163" s="363"/>
      <c r="H163" s="43"/>
      <c r="I163" s="1"/>
      <c r="J163" s="373"/>
      <c r="K163" s="1"/>
      <c r="L163" s="1"/>
      <c r="M163" s="44"/>
      <c r="O163" s="1"/>
      <c r="P163" s="731" t="s">
        <v>283</v>
      </c>
      <c r="Q163" s="731"/>
      <c r="R163" s="731"/>
      <c r="S163" s="112"/>
    </row>
    <row r="164" spans="1:19" x14ac:dyDescent="0.25">
      <c r="A164" s="428"/>
      <c r="B164" s="164"/>
      <c r="C164" s="164"/>
      <c r="D164" s="164"/>
      <c r="E164" s="163" t="str">
        <f t="shared" si="16"/>
        <v/>
      </c>
      <c r="F164" s="165" t="str">
        <f t="shared" si="14"/>
        <v/>
      </c>
      <c r="G164" s="363"/>
      <c r="H164" s="43"/>
      <c r="I164" s="1"/>
      <c r="J164" s="373"/>
      <c r="K164" s="1"/>
      <c r="L164" s="1"/>
      <c r="M164" s="44"/>
      <c r="O164" s="1"/>
      <c r="P164" s="731"/>
      <c r="Q164" s="731"/>
      <c r="R164" s="731"/>
      <c r="S164" s="112"/>
    </row>
    <row r="165" spans="1:19" x14ac:dyDescent="0.25">
      <c r="A165" s="427"/>
      <c r="B165" s="164"/>
      <c r="C165" s="164"/>
      <c r="D165" s="164"/>
      <c r="E165" s="163" t="str">
        <f t="shared" si="16"/>
        <v/>
      </c>
      <c r="F165" s="165" t="str">
        <f t="shared" si="14"/>
        <v/>
      </c>
      <c r="G165" s="363"/>
      <c r="H165" s="43"/>
      <c r="I165" s="1"/>
      <c r="J165" s="373"/>
      <c r="K165" s="1"/>
      <c r="L165" s="1"/>
      <c r="M165" s="44"/>
      <c r="O165" s="1"/>
      <c r="P165" s="731"/>
      <c r="Q165" s="731"/>
      <c r="R165" s="731"/>
      <c r="S165" s="112"/>
    </row>
    <row r="166" spans="1:19" ht="15.75" thickBot="1" x14ac:dyDescent="0.3">
      <c r="A166" s="443"/>
      <c r="B166" s="364"/>
      <c r="C166" s="365"/>
      <c r="D166" s="365"/>
      <c r="E166" s="163" t="str">
        <f t="shared" si="16"/>
        <v/>
      </c>
      <c r="F166" s="165" t="str">
        <f t="shared" si="14"/>
        <v/>
      </c>
      <c r="G166" s="366"/>
      <c r="H166" s="43"/>
      <c r="I166" s="1"/>
      <c r="J166" s="373"/>
      <c r="K166" s="1"/>
      <c r="L166" s="1"/>
      <c r="M166" s="44"/>
      <c r="O166" s="1"/>
      <c r="P166" s="1"/>
      <c r="Q166" s="1"/>
      <c r="R166" s="1"/>
      <c r="S166" s="112"/>
    </row>
    <row r="167" spans="1:19" ht="15.75" thickTop="1" x14ac:dyDescent="0.25">
      <c r="A167" s="626"/>
      <c r="B167" s="359"/>
      <c r="C167" s="360"/>
      <c r="D167" s="360"/>
      <c r="E167" s="361"/>
      <c r="F167" s="359"/>
      <c r="G167" s="392"/>
      <c r="H167" s="723" t="s">
        <v>16</v>
      </c>
      <c r="I167" s="725" t="s">
        <v>17</v>
      </c>
      <c r="J167" s="725" t="s">
        <v>21</v>
      </c>
      <c r="K167" s="725"/>
      <c r="L167" s="726" t="s">
        <v>93</v>
      </c>
      <c r="M167" s="727" t="s">
        <v>95</v>
      </c>
      <c r="O167" s="1"/>
      <c r="P167" s="1"/>
      <c r="Q167" s="1"/>
      <c r="R167" s="1"/>
      <c r="S167" s="112"/>
    </row>
    <row r="168" spans="1:19" ht="24" x14ac:dyDescent="0.25">
      <c r="A168" s="430"/>
      <c r="B168" s="207"/>
      <c r="C168" s="207"/>
      <c r="D168" s="207"/>
      <c r="E168" s="222"/>
      <c r="F168" s="207"/>
      <c r="G168" s="207"/>
      <c r="H168" s="724"/>
      <c r="I168" s="685"/>
      <c r="J168" s="607" t="s">
        <v>21</v>
      </c>
      <c r="K168" s="607" t="s">
        <v>25</v>
      </c>
      <c r="L168" s="686"/>
      <c r="M168" s="687"/>
      <c r="O168" s="1"/>
      <c r="P168" s="1"/>
      <c r="Q168" s="1"/>
      <c r="R168" s="1"/>
      <c r="S168" s="112"/>
    </row>
    <row r="169" spans="1:19" x14ac:dyDescent="0.25">
      <c r="A169" s="432"/>
      <c r="B169" s="205"/>
      <c r="C169" s="294"/>
      <c r="D169" s="238"/>
      <c r="E169" s="85"/>
      <c r="F169" s="205"/>
      <c r="G169" s="205"/>
      <c r="H169" s="354" t="s">
        <v>18</v>
      </c>
      <c r="I169" s="95">
        <v>32809.9</v>
      </c>
      <c r="J169" s="95">
        <v>1675.7199999999998</v>
      </c>
      <c r="K169" s="303">
        <v>1047.01</v>
      </c>
      <c r="L169" s="97">
        <v>52152</v>
      </c>
      <c r="M169" s="105">
        <f>82159.79-I169-J169-K169+L169</f>
        <v>98779.159999999989</v>
      </c>
      <c r="O169" s="1"/>
      <c r="P169" s="1"/>
      <c r="Q169" s="1"/>
      <c r="R169" s="1"/>
      <c r="S169" s="112"/>
    </row>
    <row r="170" spans="1:19" x14ac:dyDescent="0.25">
      <c r="A170" s="445"/>
      <c r="B170" s="205"/>
      <c r="C170" s="205"/>
      <c r="D170" s="279"/>
      <c r="E170" s="373"/>
      <c r="F170" s="85"/>
      <c r="G170" s="373"/>
      <c r="H170" s="354" t="s">
        <v>19</v>
      </c>
      <c r="I170" s="95">
        <v>35259.58</v>
      </c>
      <c r="J170" s="95">
        <v>1363.3000000000002</v>
      </c>
      <c r="K170" s="95">
        <v>1176.05</v>
      </c>
      <c r="L170" s="97">
        <v>40465.950000000004</v>
      </c>
      <c r="M170" s="105">
        <f>M169-I170-J170-K170+L170</f>
        <v>101446.18</v>
      </c>
      <c r="O170" s="1"/>
      <c r="P170" s="1"/>
      <c r="Q170" s="1"/>
      <c r="R170" s="1"/>
      <c r="S170" s="112"/>
    </row>
    <row r="171" spans="1:19" x14ac:dyDescent="0.25">
      <c r="A171" s="445"/>
      <c r="B171" s="373"/>
      <c r="C171" s="205"/>
      <c r="D171" s="279"/>
      <c r="E171" s="373"/>
      <c r="F171" s="373"/>
      <c r="G171" s="373"/>
      <c r="H171" s="354" t="s">
        <v>20</v>
      </c>
      <c r="I171" s="304">
        <v>34690.219999999994</v>
      </c>
      <c r="J171" s="95">
        <v>1209.3000000000002</v>
      </c>
      <c r="K171" s="305">
        <v>1213.33</v>
      </c>
      <c r="L171" s="305">
        <v>19306</v>
      </c>
      <c r="M171" s="105">
        <f>M170-I171-J171-K171+L171</f>
        <v>83639.329999999987</v>
      </c>
      <c r="O171" s="1"/>
      <c r="P171" s="1"/>
      <c r="Q171" s="1"/>
      <c r="R171" s="1"/>
      <c r="S171" s="112"/>
    </row>
    <row r="172" spans="1:19" x14ac:dyDescent="0.25">
      <c r="A172" s="445"/>
      <c r="B172" s="1"/>
      <c r="C172" s="290"/>
      <c r="D172" s="279"/>
      <c r="E172" s="373"/>
      <c r="F172" s="373"/>
      <c r="G172" s="85"/>
      <c r="H172" s="354" t="s">
        <v>148</v>
      </c>
      <c r="I172" s="305">
        <v>30955.479999999996</v>
      </c>
      <c r="J172" s="306"/>
      <c r="K172" s="306">
        <v>1035.6600000000001</v>
      </c>
      <c r="L172" s="305">
        <v>59195.5</v>
      </c>
      <c r="M172" s="105">
        <f>M171-I172-J172-K172+L172</f>
        <v>110843.68999999999</v>
      </c>
      <c r="O172" s="1"/>
      <c r="P172" s="1"/>
      <c r="Q172" s="1"/>
      <c r="R172" s="1"/>
      <c r="S172" s="112"/>
    </row>
    <row r="173" spans="1:19" x14ac:dyDescent="0.25">
      <c r="A173" s="445"/>
      <c r="B173" s="205"/>
      <c r="C173" s="1"/>
      <c r="D173" s="279"/>
      <c r="E173" s="373"/>
      <c r="F173" s="373"/>
      <c r="G173" s="373"/>
      <c r="H173" s="355" t="s">
        <v>162</v>
      </c>
      <c r="I173" s="306">
        <v>31239.439999999995</v>
      </c>
      <c r="J173" s="305">
        <v>2443.4</v>
      </c>
      <c r="K173" s="306">
        <v>1496.52</v>
      </c>
      <c r="L173" s="305">
        <v>40132</v>
      </c>
      <c r="M173" s="105">
        <f>M172-I173-J173-K173+L173</f>
        <v>115796.33</v>
      </c>
      <c r="O173" s="1"/>
      <c r="P173" s="1"/>
      <c r="Q173" s="1"/>
      <c r="R173" s="1"/>
      <c r="S173" s="112"/>
    </row>
    <row r="174" spans="1:19" ht="15.75" thickBot="1" x14ac:dyDescent="0.3">
      <c r="A174" s="445"/>
      <c r="B174" s="205"/>
      <c r="C174" s="1"/>
      <c r="D174" s="279"/>
      <c r="E174" s="373"/>
      <c r="F174" s="373"/>
      <c r="G174" s="373"/>
      <c r="H174" s="395" t="s">
        <v>163</v>
      </c>
      <c r="I174" s="396">
        <v>28986.99</v>
      </c>
      <c r="J174" s="449">
        <v>6271.4999999999991</v>
      </c>
      <c r="K174" s="450">
        <v>1179.17</v>
      </c>
      <c r="L174" s="450">
        <v>22678.1</v>
      </c>
      <c r="M174" s="398">
        <f>M173-I174-J174-K174+L174</f>
        <v>102036.76999999999</v>
      </c>
      <c r="O174" s="1"/>
      <c r="P174" s="1"/>
      <c r="Q174" s="1"/>
      <c r="R174" s="1"/>
      <c r="S174" s="112"/>
    </row>
    <row r="175" spans="1:19" ht="15.75" thickTop="1" x14ac:dyDescent="0.25">
      <c r="A175" s="445"/>
      <c r="B175" s="205"/>
      <c r="C175" s="1"/>
      <c r="D175" s="279"/>
      <c r="E175" s="85"/>
      <c r="F175" s="373"/>
      <c r="G175" s="373"/>
      <c r="H175" s="710" t="s">
        <v>36</v>
      </c>
      <c r="I175" s="712" t="s">
        <v>178</v>
      </c>
      <c r="J175" s="713"/>
      <c r="K175" s="714"/>
      <c r="L175" s="718" t="s">
        <v>159</v>
      </c>
      <c r="M175" s="719"/>
      <c r="O175" s="1"/>
      <c r="P175" s="1"/>
      <c r="Q175" s="1"/>
      <c r="R175" s="1"/>
      <c r="S175" s="112"/>
    </row>
    <row r="176" spans="1:19" x14ac:dyDescent="0.25">
      <c r="A176" s="445"/>
      <c r="B176" s="205"/>
      <c r="C176" s="290"/>
      <c r="D176" s="279"/>
      <c r="E176" s="290"/>
      <c r="F176" s="373"/>
      <c r="G176" s="394"/>
      <c r="H176" s="711"/>
      <c r="I176" s="715"/>
      <c r="J176" s="716"/>
      <c r="K176" s="717"/>
      <c r="L176" s="720"/>
      <c r="M176" s="721"/>
      <c r="O176" s="1"/>
      <c r="P176" s="1"/>
      <c r="Q176" s="1"/>
      <c r="R176" s="1"/>
      <c r="S176" s="112"/>
    </row>
    <row r="177" spans="1:19" x14ac:dyDescent="0.25">
      <c r="A177" s="445"/>
      <c r="B177" s="205"/>
      <c r="C177" s="205"/>
      <c r="D177" s="279"/>
      <c r="E177" s="205"/>
      <c r="F177" s="373"/>
      <c r="G177" s="394"/>
      <c r="H177" s="393" t="s">
        <v>91</v>
      </c>
      <c r="I177" s="722" t="s">
        <v>47</v>
      </c>
      <c r="J177" s="722"/>
      <c r="K177" s="616">
        <v>288.75</v>
      </c>
      <c r="L177" s="288">
        <v>43783</v>
      </c>
      <c r="M177" s="44" t="s">
        <v>170</v>
      </c>
      <c r="N177" s="373"/>
      <c r="O177" s="1"/>
      <c r="P177" s="1"/>
      <c r="Q177" s="1"/>
      <c r="R177" s="1" t="s">
        <v>159</v>
      </c>
      <c r="S177" s="112"/>
    </row>
    <row r="178" spans="1:19" x14ac:dyDescent="0.25">
      <c r="A178" s="445"/>
      <c r="B178" s="373"/>
      <c r="C178" s="280"/>
      <c r="D178" s="279"/>
      <c r="E178" s="280"/>
      <c r="F178" s="373"/>
      <c r="G178" s="373"/>
      <c r="H178" s="356" t="s">
        <v>91</v>
      </c>
      <c r="I178" s="680" t="s">
        <v>51</v>
      </c>
      <c r="J178" s="680"/>
      <c r="K178" s="606">
        <v>60.19</v>
      </c>
      <c r="L178" s="288">
        <v>43783</v>
      </c>
      <c r="M178" s="44" t="s">
        <v>170</v>
      </c>
      <c r="N178" s="369" t="s">
        <v>56</v>
      </c>
      <c r="O178" s="680" t="s">
        <v>47</v>
      </c>
      <c r="P178" s="680"/>
      <c r="Q178" s="606">
        <v>28.88</v>
      </c>
      <c r="R178" s="288">
        <v>43783</v>
      </c>
      <c r="S178" s="112" t="s">
        <v>170</v>
      </c>
    </row>
    <row r="179" spans="1:19" x14ac:dyDescent="0.25">
      <c r="A179" s="423"/>
      <c r="B179" s="373"/>
      <c r="C179" s="373"/>
      <c r="D179" s="279"/>
      <c r="E179" s="205"/>
      <c r="F179" s="373"/>
      <c r="G179" s="373"/>
      <c r="H179" s="356" t="s">
        <v>91</v>
      </c>
      <c r="I179" s="680" t="s">
        <v>52</v>
      </c>
      <c r="J179" s="680"/>
      <c r="K179" s="606">
        <v>4.95</v>
      </c>
      <c r="L179" s="288">
        <v>43783</v>
      </c>
      <c r="M179" s="44" t="s">
        <v>170</v>
      </c>
      <c r="O179" s="680" t="s">
        <v>51</v>
      </c>
      <c r="P179" s="680"/>
      <c r="Q179" s="606"/>
      <c r="R179" s="288">
        <v>43783</v>
      </c>
      <c r="S179" s="112" t="s">
        <v>170</v>
      </c>
    </row>
    <row r="180" spans="1:19" x14ac:dyDescent="0.25">
      <c r="A180" s="423"/>
      <c r="B180" s="373"/>
      <c r="C180" s="373"/>
      <c r="D180" s="279"/>
      <c r="E180" s="373"/>
      <c r="F180" s="373"/>
      <c r="G180" s="373"/>
      <c r="H180" s="356" t="s">
        <v>91</v>
      </c>
      <c r="I180" s="680" t="s">
        <v>49</v>
      </c>
      <c r="J180" s="680"/>
      <c r="K180" s="606">
        <v>234.75</v>
      </c>
      <c r="L180" s="288">
        <v>43791</v>
      </c>
      <c r="M180" s="44" t="s">
        <v>171</v>
      </c>
      <c r="N180" s="351" t="s">
        <v>56</v>
      </c>
      <c r="O180" s="680" t="s">
        <v>52</v>
      </c>
      <c r="P180" s="680"/>
      <c r="Q180" s="606">
        <v>0.5</v>
      </c>
      <c r="R180" s="288">
        <v>43783</v>
      </c>
      <c r="S180" s="112" t="s">
        <v>170</v>
      </c>
    </row>
    <row r="181" spans="1:19" x14ac:dyDescent="0.25">
      <c r="A181" s="423"/>
      <c r="B181" s="373"/>
      <c r="C181" s="373"/>
      <c r="D181" s="279"/>
      <c r="E181" s="373"/>
      <c r="F181" s="373"/>
      <c r="G181" s="373"/>
      <c r="H181" s="356" t="s">
        <v>91</v>
      </c>
      <c r="I181" s="677" t="s">
        <v>59</v>
      </c>
      <c r="J181" s="677"/>
      <c r="K181" s="610">
        <v>1147.99</v>
      </c>
      <c r="L181" s="308" t="s">
        <v>177</v>
      </c>
      <c r="M181" s="44" t="s">
        <v>170</v>
      </c>
      <c r="N181" s="351" t="s">
        <v>56</v>
      </c>
      <c r="O181" s="680" t="s">
        <v>49</v>
      </c>
      <c r="P181" s="680"/>
      <c r="Q181" s="606">
        <v>66.75</v>
      </c>
      <c r="R181" s="288">
        <v>43796</v>
      </c>
      <c r="S181" s="112" t="s">
        <v>171</v>
      </c>
    </row>
    <row r="182" spans="1:19" x14ac:dyDescent="0.25">
      <c r="A182" s="423"/>
      <c r="B182" s="205"/>
      <c r="C182" s="205"/>
      <c r="D182" s="279"/>
      <c r="E182" s="205"/>
      <c r="F182" s="373"/>
      <c r="G182" s="373"/>
      <c r="H182" s="357" t="s">
        <v>91</v>
      </c>
      <c r="I182" s="678" t="s">
        <v>68</v>
      </c>
      <c r="J182" s="679"/>
      <c r="K182" s="606">
        <v>176.72</v>
      </c>
      <c r="L182" s="288">
        <v>43791</v>
      </c>
      <c r="M182" s="44" t="s">
        <v>170</v>
      </c>
      <c r="N182" s="351"/>
      <c r="O182" s="677" t="s">
        <v>59</v>
      </c>
      <c r="P182" s="677"/>
      <c r="Q182" s="610"/>
      <c r="R182" s="308" t="s">
        <v>177</v>
      </c>
      <c r="S182" s="112" t="s">
        <v>170</v>
      </c>
    </row>
    <row r="183" spans="1:19" x14ac:dyDescent="0.25">
      <c r="A183" s="423"/>
      <c r="B183" s="205"/>
      <c r="C183" s="373"/>
      <c r="D183" s="279"/>
      <c r="E183" s="205"/>
      <c r="F183" s="373"/>
      <c r="G183" s="373"/>
      <c r="H183" s="356" t="s">
        <v>91</v>
      </c>
      <c r="I183" s="608" t="s">
        <v>174</v>
      </c>
      <c r="J183" s="609"/>
      <c r="K183" s="606">
        <f>298.1+160.36</f>
        <v>458.46000000000004</v>
      </c>
      <c r="L183" s="288">
        <v>43783</v>
      </c>
      <c r="M183" s="320" t="s">
        <v>170</v>
      </c>
      <c r="N183" s="351"/>
      <c r="O183" s="678" t="s">
        <v>68</v>
      </c>
      <c r="P183" s="679"/>
      <c r="Q183" s="606"/>
      <c r="R183" s="288">
        <v>43790</v>
      </c>
      <c r="S183" s="112" t="s">
        <v>170</v>
      </c>
    </row>
    <row r="184" spans="1:19" x14ac:dyDescent="0.25">
      <c r="A184" s="423"/>
      <c r="B184" s="205"/>
      <c r="C184" s="373"/>
      <c r="D184" s="279"/>
      <c r="E184" s="205"/>
      <c r="F184" s="373"/>
      <c r="G184" s="373"/>
      <c r="H184" s="356" t="s">
        <v>91</v>
      </c>
      <c r="I184" s="608" t="s">
        <v>176</v>
      </c>
      <c r="J184" s="609"/>
      <c r="K184" s="606">
        <v>113.15</v>
      </c>
      <c r="L184" s="288">
        <v>43789</v>
      </c>
      <c r="M184" s="320" t="s">
        <v>170</v>
      </c>
      <c r="O184" s="608" t="s">
        <v>174</v>
      </c>
      <c r="P184" s="609"/>
      <c r="Q184" s="606"/>
      <c r="R184" s="288">
        <v>43783</v>
      </c>
      <c r="S184" s="422" t="s">
        <v>170</v>
      </c>
    </row>
    <row r="185" spans="1:19" x14ac:dyDescent="0.25">
      <c r="A185" s="423"/>
      <c r="B185" s="205"/>
      <c r="C185" s="373"/>
      <c r="D185" s="279"/>
      <c r="E185" s="238"/>
      <c r="F185" s="373"/>
      <c r="G185" s="373"/>
      <c r="H185" s="356" t="s">
        <v>91</v>
      </c>
      <c r="I185" s="678" t="s">
        <v>81</v>
      </c>
      <c r="J185" s="679"/>
      <c r="K185" s="619">
        <v>1446.11</v>
      </c>
      <c r="L185" s="288">
        <v>43783</v>
      </c>
      <c r="M185" s="44" t="s">
        <v>170</v>
      </c>
      <c r="O185" s="608" t="s">
        <v>176</v>
      </c>
      <c r="P185" s="609"/>
      <c r="Q185" s="606"/>
      <c r="R185" s="288">
        <v>43789</v>
      </c>
      <c r="S185" s="422" t="s">
        <v>170</v>
      </c>
    </row>
    <row r="186" spans="1:19" x14ac:dyDescent="0.25">
      <c r="A186" s="423"/>
      <c r="B186" s="205"/>
      <c r="C186" s="373"/>
      <c r="D186" s="279"/>
      <c r="E186" s="238"/>
      <c r="F186" s="373"/>
      <c r="G186" s="373"/>
      <c r="H186" s="356" t="s">
        <v>193</v>
      </c>
      <c r="I186" s="728" t="s">
        <v>181</v>
      </c>
      <c r="J186" s="729"/>
      <c r="K186" s="619"/>
      <c r="L186" s="288" t="s">
        <v>182</v>
      </c>
      <c r="M186" s="44"/>
      <c r="N186" s="373"/>
      <c r="O186" s="678" t="s">
        <v>81</v>
      </c>
      <c r="P186" s="679"/>
      <c r="Q186" s="619"/>
      <c r="R186" s="288">
        <v>43783</v>
      </c>
      <c r="S186" s="112" t="s">
        <v>170</v>
      </c>
    </row>
    <row r="187" spans="1:19" x14ac:dyDescent="0.25">
      <c r="A187" s="423"/>
      <c r="B187" s="205"/>
      <c r="C187" s="373"/>
      <c r="D187" s="279"/>
      <c r="E187" s="238"/>
      <c r="F187" s="373"/>
      <c r="G187" s="373"/>
      <c r="H187" s="357" t="s">
        <v>91</v>
      </c>
      <c r="I187" s="677" t="s">
        <v>61</v>
      </c>
      <c r="J187" s="677"/>
      <c r="K187" s="619">
        <f>J152</f>
        <v>2927.79</v>
      </c>
      <c r="L187" s="288">
        <v>43791</v>
      </c>
      <c r="M187" s="44" t="s">
        <v>170</v>
      </c>
      <c r="N187" s="373"/>
      <c r="O187" s="217" t="s">
        <v>181</v>
      </c>
      <c r="P187" s="217"/>
      <c r="Q187" s="373"/>
      <c r="R187" s="288" t="s">
        <v>188</v>
      </c>
      <c r="S187" s="112"/>
    </row>
    <row r="188" spans="1:19" ht="15.75" thickBot="1" x14ac:dyDescent="0.3">
      <c r="A188" s="446"/>
      <c r="B188" s="337"/>
      <c r="C188" s="338"/>
      <c r="D188" s="349"/>
      <c r="E188" s="337"/>
      <c r="F188" s="338"/>
      <c r="G188" s="338"/>
      <c r="H188" s="353"/>
      <c r="I188" s="368" t="s">
        <v>179</v>
      </c>
      <c r="J188" s="368">
        <f>SUM(K177:K187)</f>
        <v>6858.8600000000006</v>
      </c>
      <c r="K188" s="730" t="s">
        <v>180</v>
      </c>
      <c r="L188" s="730"/>
      <c r="M188" s="367">
        <v>0</v>
      </c>
      <c r="N188" s="373"/>
      <c r="O188" s="217"/>
      <c r="P188" s="217"/>
      <c r="Q188" s="373"/>
      <c r="R188" s="288"/>
      <c r="S188" s="112"/>
    </row>
    <row r="189" spans="1:19" ht="16.5" thickTop="1" thickBot="1" x14ac:dyDescent="0.3">
      <c r="A189" s="132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O189" s="1" t="s">
        <v>50</v>
      </c>
      <c r="P189" s="1"/>
      <c r="Q189" s="302">
        <f>SUM(Q178:Q186)</f>
        <v>96.13</v>
      </c>
      <c r="R189" s="1"/>
      <c r="S189" s="112"/>
    </row>
    <row r="190" spans="1:19" x14ac:dyDescent="0.25">
      <c r="A190" s="11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1"/>
      <c r="S190" s="112"/>
    </row>
    <row r="191" spans="1:19" x14ac:dyDescent="0.25">
      <c r="A191" s="11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O191" s="1" t="s">
        <v>185</v>
      </c>
      <c r="P191" s="1"/>
      <c r="Q191" s="1"/>
      <c r="R191" s="1"/>
      <c r="S191" s="112"/>
    </row>
    <row r="192" spans="1:19" x14ac:dyDescent="0.25">
      <c r="A192" s="11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O192" s="330" t="s">
        <v>2</v>
      </c>
      <c r="P192" s="611" t="s">
        <v>34</v>
      </c>
      <c r="Q192" s="36" t="s">
        <v>35</v>
      </c>
      <c r="R192" s="1"/>
      <c r="S192" s="112"/>
    </row>
    <row r="193" spans="1:19" x14ac:dyDescent="0.25">
      <c r="A193" s="11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O193" s="331">
        <v>43791</v>
      </c>
      <c r="P193" s="164" t="s">
        <v>186</v>
      </c>
      <c r="Q193" s="99">
        <v>343.12</v>
      </c>
      <c r="R193" s="1"/>
      <c r="S193" s="112"/>
    </row>
    <row r="194" spans="1:19" x14ac:dyDescent="0.25">
      <c r="A194" s="11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O194" s="331">
        <v>43789</v>
      </c>
      <c r="P194" s="164" t="s">
        <v>187</v>
      </c>
      <c r="Q194" s="99">
        <v>269.26</v>
      </c>
      <c r="R194" s="1"/>
      <c r="S194" s="112"/>
    </row>
    <row r="195" spans="1:19" x14ac:dyDescent="0.25">
      <c r="A195" s="11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1"/>
      <c r="S195" s="112"/>
    </row>
    <row r="196" spans="1:19" x14ac:dyDescent="0.25">
      <c r="A196" s="11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1"/>
      <c r="S196" s="112"/>
    </row>
    <row r="197" spans="1:19" x14ac:dyDescent="0.25">
      <c r="A197" s="11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1"/>
      <c r="S197" s="112"/>
    </row>
    <row r="198" spans="1:19" ht="15.75" thickBot="1" x14ac:dyDescent="0.3">
      <c r="A198" s="132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5"/>
    </row>
  </sheetData>
  <mergeCells count="109">
    <mergeCell ref="I186:J186"/>
    <mergeCell ref="I187:J187"/>
    <mergeCell ref="K188:L188"/>
    <mergeCell ref="P163:R165"/>
    <mergeCell ref="O178:P178"/>
    <mergeCell ref="O179:P179"/>
    <mergeCell ref="O180:P180"/>
    <mergeCell ref="O181:P181"/>
    <mergeCell ref="O182:P182"/>
    <mergeCell ref="O183:P183"/>
    <mergeCell ref="O186:P186"/>
    <mergeCell ref="I179:J179"/>
    <mergeCell ref="I180:J180"/>
    <mergeCell ref="I181:J181"/>
    <mergeCell ref="I182:J182"/>
    <mergeCell ref="I185:J185"/>
    <mergeCell ref="H175:H176"/>
    <mergeCell ref="I175:K176"/>
    <mergeCell ref="L175:M176"/>
    <mergeCell ref="I177:J177"/>
    <mergeCell ref="I178:J178"/>
    <mergeCell ref="A148:G148"/>
    <mergeCell ref="I148:M148"/>
    <mergeCell ref="H167:H168"/>
    <mergeCell ref="I167:I168"/>
    <mergeCell ref="J167:K167"/>
    <mergeCell ref="L167:L168"/>
    <mergeCell ref="M167:M168"/>
    <mergeCell ref="N1:O1"/>
    <mergeCell ref="I18:J18"/>
    <mergeCell ref="I19:J19"/>
    <mergeCell ref="I20:J20"/>
    <mergeCell ref="I21:J21"/>
    <mergeCell ref="I1:M1"/>
    <mergeCell ref="I7:I8"/>
    <mergeCell ref="M7:M8"/>
    <mergeCell ref="J7:K7"/>
    <mergeCell ref="L7:L8"/>
    <mergeCell ref="I28:J28"/>
    <mergeCell ref="I27:J27"/>
    <mergeCell ref="A1:G1"/>
    <mergeCell ref="A7:A8"/>
    <mergeCell ref="I23:J23"/>
    <mergeCell ref="I24:J24"/>
    <mergeCell ref="I25:J25"/>
    <mergeCell ref="I26:J26"/>
    <mergeCell ref="I22:J22"/>
    <mergeCell ref="H7:H8"/>
    <mergeCell ref="M43:M44"/>
    <mergeCell ref="N46:O46"/>
    <mergeCell ref="H50:I50"/>
    <mergeCell ref="N35:O35"/>
    <mergeCell ref="A37:G37"/>
    <mergeCell ref="I37:M37"/>
    <mergeCell ref="N37:O37"/>
    <mergeCell ref="I54:J54"/>
    <mergeCell ref="H43:H44"/>
    <mergeCell ref="I43:I44"/>
    <mergeCell ref="J43:K43"/>
    <mergeCell ref="L43:L44"/>
    <mergeCell ref="A67:G67"/>
    <mergeCell ref="I67:M67"/>
    <mergeCell ref="N67:O67"/>
    <mergeCell ref="H73:H74"/>
    <mergeCell ref="I73:I74"/>
    <mergeCell ref="J73:K73"/>
    <mergeCell ref="L73:L74"/>
    <mergeCell ref="M73:M74"/>
    <mergeCell ref="I60:J60"/>
    <mergeCell ref="I61:J61"/>
    <mergeCell ref="I62:J62"/>
    <mergeCell ref="I63:J63"/>
    <mergeCell ref="I137:J137"/>
    <mergeCell ref="I34:K35"/>
    <mergeCell ref="H126:I126"/>
    <mergeCell ref="I130:J130"/>
    <mergeCell ref="I131:J131"/>
    <mergeCell ref="I132:J132"/>
    <mergeCell ref="I133:J133"/>
    <mergeCell ref="I98:J98"/>
    <mergeCell ref="I99:J99"/>
    <mergeCell ref="I93:J93"/>
    <mergeCell ref="I94:J94"/>
    <mergeCell ref="I95:J95"/>
    <mergeCell ref="I96:J96"/>
    <mergeCell ref="I97:J97"/>
    <mergeCell ref="H80:I80"/>
    <mergeCell ref="I89:J89"/>
    <mergeCell ref="I64:J64"/>
    <mergeCell ref="I55:J55"/>
    <mergeCell ref="I56:J56"/>
    <mergeCell ref="I57:J57"/>
    <mergeCell ref="I58:J58"/>
    <mergeCell ref="I59:J59"/>
    <mergeCell ref="O75:Q76"/>
    <mergeCell ref="O119:Q120"/>
    <mergeCell ref="I134:J134"/>
    <mergeCell ref="I135:J135"/>
    <mergeCell ref="I136:J136"/>
    <mergeCell ref="I90:J90"/>
    <mergeCell ref="I91:J91"/>
    <mergeCell ref="I92:J92"/>
    <mergeCell ref="A113:G113"/>
    <mergeCell ref="I113:M113"/>
    <mergeCell ref="H119:H120"/>
    <mergeCell ref="I119:I120"/>
    <mergeCell ref="J119:K119"/>
    <mergeCell ref="L119:L120"/>
    <mergeCell ref="M119:M120"/>
  </mergeCells>
  <pageMargins left="0.7" right="0.7" top="0.75" bottom="0.75" header="0.3" footer="0.3"/>
  <pageSetup paperSize="9" fitToHeight="0" orientation="landscape" r:id="rId1"/>
  <colBreaks count="1" manualBreakCount="1">
    <brk id="7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16"/>
  <sheetViews>
    <sheetView showWhiteSpace="0" topLeftCell="A46" zoomScaleNormal="100" zoomScaleSheetLayoutView="55" zoomScalePageLayoutView="70" workbookViewId="0">
      <selection activeCell="B6" sqref="B6"/>
    </sheetView>
  </sheetViews>
  <sheetFormatPr defaultColWidth="9.140625" defaultRowHeight="15" x14ac:dyDescent="0.25"/>
  <cols>
    <col min="1" max="1" width="11.5703125" style="35" customWidth="1"/>
    <col min="2" max="2" width="23.7109375" style="35" customWidth="1"/>
    <col min="3" max="3" width="11.28515625" style="35" customWidth="1"/>
    <col min="4" max="4" width="9.140625" style="35"/>
    <col min="5" max="5" width="11.28515625" style="35" customWidth="1"/>
    <col min="6" max="6" width="17.28515625" style="35" customWidth="1"/>
    <col min="7" max="7" width="14.28515625" style="35" customWidth="1"/>
    <col min="8" max="8" width="9.5703125" style="35" customWidth="1"/>
    <col min="9" max="9" width="10.28515625" style="35" customWidth="1"/>
    <col min="10" max="10" width="11" style="35" customWidth="1"/>
    <col min="11" max="11" width="11.42578125" style="35" customWidth="1"/>
    <col min="12" max="12" width="12.140625" style="35" customWidth="1"/>
    <col min="13" max="13" width="13.85546875" style="35" customWidth="1"/>
    <col min="14" max="14" width="8.5703125" style="35" customWidth="1"/>
    <col min="15" max="15" width="8.28515625" style="1" customWidth="1"/>
    <col min="16" max="16" width="15.5703125" style="35" customWidth="1"/>
    <col min="17" max="18" width="11.140625" style="35" customWidth="1"/>
    <col min="19" max="19" width="9.140625" style="35"/>
    <col min="20" max="20" width="10.140625" style="35" customWidth="1"/>
    <col min="21" max="16384" width="9.140625" style="35"/>
  </cols>
  <sheetData>
    <row r="1" spans="1:20" ht="15.75" thickTop="1" x14ac:dyDescent="0.25">
      <c r="A1" s="739" t="s">
        <v>28</v>
      </c>
      <c r="B1" s="682"/>
      <c r="C1" s="682"/>
      <c r="D1" s="682"/>
      <c r="E1" s="682"/>
      <c r="F1" s="682"/>
      <c r="G1" s="683"/>
      <c r="H1" s="734" t="s">
        <v>222</v>
      </c>
      <c r="I1" s="735"/>
      <c r="J1" s="735"/>
      <c r="K1" s="735"/>
      <c r="L1" s="735"/>
      <c r="M1" s="736"/>
      <c r="N1" s="389"/>
      <c r="O1" s="694" t="s">
        <v>60</v>
      </c>
      <c r="P1" s="694"/>
    </row>
    <row r="2" spans="1:20" ht="21.75" customHeight="1" x14ac:dyDescent="0.25">
      <c r="A2" s="330" t="s">
        <v>2</v>
      </c>
      <c r="B2" s="388" t="s">
        <v>34</v>
      </c>
      <c r="C2" s="36" t="s">
        <v>35</v>
      </c>
      <c r="D2" s="36" t="s">
        <v>38</v>
      </c>
      <c r="E2" s="36" t="s">
        <v>42</v>
      </c>
      <c r="F2" s="388" t="s">
        <v>36</v>
      </c>
      <c r="G2" s="101" t="s">
        <v>173</v>
      </c>
      <c r="H2" s="732"/>
      <c r="I2" s="733"/>
      <c r="J2" s="384" t="s">
        <v>35</v>
      </c>
      <c r="K2" s="384" t="s">
        <v>38</v>
      </c>
      <c r="L2" s="384" t="s">
        <v>42</v>
      </c>
      <c r="M2" s="101" t="s">
        <v>44</v>
      </c>
      <c r="N2" s="373"/>
      <c r="O2" s="53" t="s">
        <v>2</v>
      </c>
      <c r="P2" s="53" t="s">
        <v>34</v>
      </c>
      <c r="Q2" s="154" t="s">
        <v>38</v>
      </c>
      <c r="R2" s="154" t="s">
        <v>42</v>
      </c>
      <c r="S2" s="53" t="s">
        <v>100</v>
      </c>
      <c r="T2" s="373"/>
    </row>
    <row r="3" spans="1:20" x14ac:dyDescent="0.25">
      <c r="A3" s="331">
        <v>43798</v>
      </c>
      <c r="B3" s="164" t="s">
        <v>217</v>
      </c>
      <c r="C3" s="99">
        <v>309.82</v>
      </c>
      <c r="D3" s="99">
        <v>309.82</v>
      </c>
      <c r="E3" s="163" t="str">
        <f>IF(C3-D3=0,"",C3-D3)</f>
        <v/>
      </c>
      <c r="F3" s="165" t="str">
        <f>IF(C3=0,"",IF(C3-D3=0,"оплачено","ожидается оплата"))</f>
        <v>оплачено</v>
      </c>
      <c r="G3" s="469"/>
      <c r="H3" s="737" t="s">
        <v>39</v>
      </c>
      <c r="I3" s="676"/>
      <c r="J3" s="390">
        <v>1458.67</v>
      </c>
      <c r="K3" s="476">
        <v>1458.67</v>
      </c>
      <c r="L3" s="163">
        <f t="shared" ref="L3" si="0">J3-K3</f>
        <v>0</v>
      </c>
      <c r="M3" s="102">
        <v>43822</v>
      </c>
      <c r="N3" s="147"/>
      <c r="O3" s="274"/>
      <c r="P3" s="53" t="s">
        <v>218</v>
      </c>
      <c r="Q3" s="164">
        <v>2390</v>
      </c>
      <c r="R3" s="53">
        <f>S3-Q3</f>
        <v>0</v>
      </c>
      <c r="S3" s="164">
        <v>2390</v>
      </c>
      <c r="T3" s="373"/>
    </row>
    <row r="4" spans="1:20" ht="16.5" customHeight="1" x14ac:dyDescent="0.25">
      <c r="A4" s="331">
        <v>43810</v>
      </c>
      <c r="B4" s="164" t="s">
        <v>212</v>
      </c>
      <c r="C4" s="99">
        <v>294.48</v>
      </c>
      <c r="D4" s="99">
        <v>294.48</v>
      </c>
      <c r="E4" s="163" t="str">
        <f t="shared" ref="E4:E19" si="1">IF(C4-D4=0,"",C4-D4)</f>
        <v/>
      </c>
      <c r="F4" s="165" t="str">
        <f t="shared" ref="F4:F19" si="2">IF(C4=0,"",IF(C4-D4=0,"оплачено","ожидается оплата"))</f>
        <v>оплачено</v>
      </c>
      <c r="G4" s="469"/>
      <c r="H4" s="737" t="s">
        <v>40</v>
      </c>
      <c r="I4" s="676"/>
      <c r="J4" s="287">
        <v>1035.6500000000001</v>
      </c>
      <c r="K4" s="287">
        <v>1035.6500000000001</v>
      </c>
      <c r="L4" s="163">
        <f>J4-K4</f>
        <v>0</v>
      </c>
      <c r="M4" s="102">
        <v>43822</v>
      </c>
      <c r="N4" s="147"/>
      <c r="O4" s="274"/>
      <c r="P4" s="53" t="s">
        <v>219</v>
      </c>
      <c r="Q4" s="53">
        <v>1000</v>
      </c>
      <c r="R4" s="53">
        <f>S4-Q4</f>
        <v>1559</v>
      </c>
      <c r="S4" s="53">
        <v>2559</v>
      </c>
      <c r="T4" s="87"/>
    </row>
    <row r="5" spans="1:20" x14ac:dyDescent="0.25">
      <c r="A5" s="331">
        <v>43808</v>
      </c>
      <c r="B5" s="164" t="s">
        <v>213</v>
      </c>
      <c r="C5" s="99">
        <v>56.7</v>
      </c>
      <c r="D5" s="99">
        <v>56.7</v>
      </c>
      <c r="E5" s="163" t="str">
        <f t="shared" si="1"/>
        <v/>
      </c>
      <c r="F5" s="165" t="str">
        <f t="shared" si="2"/>
        <v>оплачено</v>
      </c>
      <c r="G5" s="469"/>
      <c r="H5" s="43"/>
      <c r="I5" s="1"/>
      <c r="J5" s="302">
        <f>SUM(J3:J4)</f>
        <v>2494.3200000000002</v>
      </c>
      <c r="K5" s="1"/>
      <c r="L5" s="1"/>
      <c r="M5" s="44"/>
      <c r="N5" s="373"/>
      <c r="O5" s="274"/>
      <c r="P5" s="53"/>
      <c r="Q5" s="384"/>
      <c r="R5" s="471"/>
      <c r="S5" s="53">
        <v>558</v>
      </c>
      <c r="T5" s="87"/>
    </row>
    <row r="6" spans="1:20" x14ac:dyDescent="0.25">
      <c r="A6" s="331">
        <v>43803</v>
      </c>
      <c r="B6" s="164" t="s">
        <v>213</v>
      </c>
      <c r="C6" s="99">
        <v>187.25</v>
      </c>
      <c r="D6" s="99">
        <v>187.25</v>
      </c>
      <c r="E6" s="163" t="str">
        <f t="shared" si="1"/>
        <v/>
      </c>
      <c r="F6" s="165" t="str">
        <f t="shared" si="2"/>
        <v>оплачено</v>
      </c>
      <c r="G6" s="469"/>
      <c r="H6" s="43"/>
      <c r="I6" s="1"/>
      <c r="J6" s="373"/>
      <c r="K6" s="1"/>
      <c r="L6" s="1"/>
      <c r="M6" s="44"/>
      <c r="N6" s="373"/>
      <c r="O6" s="274"/>
      <c r="P6" s="53"/>
      <c r="Q6" s="384"/>
      <c r="R6" s="471"/>
      <c r="S6" s="53">
        <f>R4+S5</f>
        <v>2117</v>
      </c>
      <c r="T6" s="87"/>
    </row>
    <row r="7" spans="1:20" x14ac:dyDescent="0.25">
      <c r="A7" s="331">
        <v>43802</v>
      </c>
      <c r="B7" s="164" t="s">
        <v>155</v>
      </c>
      <c r="C7" s="99">
        <v>280.98</v>
      </c>
      <c r="D7" s="99">
        <v>280.98</v>
      </c>
      <c r="E7" s="163" t="str">
        <f t="shared" si="1"/>
        <v/>
      </c>
      <c r="F7" s="165" t="str">
        <f t="shared" si="2"/>
        <v>оплачено</v>
      </c>
      <c r="G7" s="469"/>
      <c r="H7" s="43"/>
      <c r="I7" s="1"/>
      <c r="J7" s="373"/>
      <c r="K7" s="1"/>
      <c r="L7" s="1"/>
      <c r="M7" s="44"/>
      <c r="N7" s="373"/>
      <c r="O7" s="274"/>
      <c r="P7" s="53"/>
      <c r="Q7" s="53"/>
      <c r="R7" s="53"/>
      <c r="S7" s="53"/>
      <c r="T7" s="87"/>
    </row>
    <row r="8" spans="1:20" ht="15" customHeight="1" x14ac:dyDescent="0.25">
      <c r="A8" s="331">
        <v>43804</v>
      </c>
      <c r="B8" s="164" t="s">
        <v>214</v>
      </c>
      <c r="C8" s="281">
        <v>1754</v>
      </c>
      <c r="D8" s="281">
        <v>1754</v>
      </c>
      <c r="E8" s="163" t="str">
        <f t="shared" si="1"/>
        <v/>
      </c>
      <c r="F8" s="165" t="str">
        <f t="shared" si="2"/>
        <v>оплачено</v>
      </c>
      <c r="G8" s="469"/>
      <c r="H8" s="43"/>
      <c r="I8" s="1"/>
      <c r="J8" s="373"/>
      <c r="K8" s="1"/>
      <c r="L8" s="1"/>
      <c r="M8" s="44"/>
      <c r="N8" s="374"/>
      <c r="O8" s="274"/>
      <c r="P8" s="53"/>
      <c r="Q8" s="53"/>
      <c r="R8" s="53"/>
      <c r="S8" s="53"/>
      <c r="T8" s="87"/>
    </row>
    <row r="9" spans="1:20" ht="18.75" customHeight="1" x14ac:dyDescent="0.25">
      <c r="A9" s="331">
        <v>43797</v>
      </c>
      <c r="B9" s="164" t="s">
        <v>216</v>
      </c>
      <c r="C9" s="281">
        <v>469.32</v>
      </c>
      <c r="D9" s="281">
        <v>469.32</v>
      </c>
      <c r="E9" s="163"/>
      <c r="F9" s="165" t="str">
        <f t="shared" si="2"/>
        <v>оплачено</v>
      </c>
      <c r="G9" s="469"/>
      <c r="H9" s="43"/>
      <c r="I9" s="1"/>
      <c r="J9" s="373"/>
      <c r="K9" s="1"/>
      <c r="L9" s="1"/>
      <c r="M9" s="44"/>
      <c r="N9" s="374"/>
      <c r="O9" s="273"/>
      <c r="P9" s="373"/>
      <c r="Q9" s="373"/>
      <c r="R9" s="373"/>
      <c r="S9" s="373"/>
      <c r="T9" s="373"/>
    </row>
    <row r="10" spans="1:20" ht="15.75" customHeight="1" x14ac:dyDescent="0.25">
      <c r="A10" s="331">
        <v>43808</v>
      </c>
      <c r="B10" s="164" t="s">
        <v>29</v>
      </c>
      <c r="C10" s="281">
        <v>101.7</v>
      </c>
      <c r="D10" s="281">
        <v>101.7</v>
      </c>
      <c r="E10" s="163" t="str">
        <f t="shared" si="1"/>
        <v/>
      </c>
      <c r="F10" s="165" t="str">
        <f t="shared" si="2"/>
        <v>оплачено</v>
      </c>
      <c r="G10" s="469"/>
      <c r="H10" s="43"/>
      <c r="I10" s="1"/>
      <c r="J10" s="373"/>
      <c r="K10" s="1"/>
      <c r="L10" s="1"/>
      <c r="M10" s="44"/>
      <c r="N10" s="374"/>
      <c r="O10" s="467"/>
      <c r="P10" s="468"/>
      <c r="Q10" s="373"/>
      <c r="R10" s="373"/>
      <c r="S10" s="373"/>
      <c r="T10" s="373"/>
    </row>
    <row r="11" spans="1:20" ht="14.25" customHeight="1" x14ac:dyDescent="0.25">
      <c r="A11" s="331">
        <v>43825</v>
      </c>
      <c r="B11" s="164" t="s">
        <v>205</v>
      </c>
      <c r="C11" s="281">
        <v>444.15</v>
      </c>
      <c r="D11" s="281">
        <v>444.15</v>
      </c>
      <c r="E11" s="163" t="str">
        <f t="shared" si="1"/>
        <v/>
      </c>
      <c r="F11" s="165" t="str">
        <f t="shared" si="2"/>
        <v>оплачено</v>
      </c>
      <c r="G11" s="469"/>
      <c r="H11" s="43"/>
      <c r="I11" s="1"/>
      <c r="J11" s="373"/>
      <c r="K11" s="1"/>
      <c r="L11" s="1"/>
      <c r="M11" s="44"/>
      <c r="N11" s="374"/>
      <c r="O11" s="128"/>
      <c r="P11" s="468"/>
      <c r="Q11" s="373"/>
      <c r="R11" s="373"/>
      <c r="S11" s="373"/>
      <c r="T11" s="373"/>
    </row>
    <row r="12" spans="1:20" ht="18.75" customHeight="1" x14ac:dyDescent="0.25">
      <c r="A12" s="331">
        <v>43823</v>
      </c>
      <c r="B12" s="164" t="s">
        <v>224</v>
      </c>
      <c r="C12" s="281">
        <v>329.46</v>
      </c>
      <c r="D12" s="281">
        <v>329.46</v>
      </c>
      <c r="E12" s="163" t="str">
        <f t="shared" si="1"/>
        <v/>
      </c>
      <c r="F12" s="165" t="str">
        <f t="shared" si="2"/>
        <v>оплачено</v>
      </c>
      <c r="G12" s="469"/>
      <c r="H12" s="43"/>
      <c r="I12" s="1"/>
      <c r="J12" s="373"/>
      <c r="K12" s="1"/>
      <c r="L12" s="1"/>
      <c r="M12" s="44"/>
      <c r="N12" s="374"/>
      <c r="O12" s="467"/>
      <c r="P12" s="468"/>
      <c r="Q12" s="373"/>
      <c r="R12" s="373"/>
      <c r="S12" s="373"/>
      <c r="T12" s="373"/>
    </row>
    <row r="13" spans="1:20" ht="18.75" customHeight="1" x14ac:dyDescent="0.25">
      <c r="A13" s="331"/>
      <c r="B13" s="164"/>
      <c r="C13" s="281"/>
      <c r="D13" s="164"/>
      <c r="E13" s="163"/>
      <c r="F13" s="165"/>
      <c r="G13" s="469"/>
      <c r="H13" s="43"/>
      <c r="I13" s="1"/>
      <c r="J13" s="373"/>
      <c r="K13" s="1"/>
      <c r="L13" s="1"/>
      <c r="M13" s="44"/>
      <c r="N13" s="374"/>
      <c r="O13" s="467"/>
      <c r="P13" s="468"/>
      <c r="Q13" s="373"/>
      <c r="R13" s="373"/>
      <c r="S13" s="373"/>
      <c r="T13" s="373"/>
    </row>
    <row r="14" spans="1:20" x14ac:dyDescent="0.25">
      <c r="A14" s="331"/>
      <c r="B14" s="164"/>
      <c r="C14" s="281"/>
      <c r="D14" s="164"/>
      <c r="E14" s="163" t="str">
        <f t="shared" si="1"/>
        <v/>
      </c>
      <c r="F14" s="165"/>
      <c r="G14" s="469"/>
      <c r="H14" s="43"/>
      <c r="I14" s="1"/>
      <c r="J14" s="373"/>
      <c r="K14" s="1"/>
      <c r="L14" s="1"/>
      <c r="M14" s="44"/>
      <c r="N14" s="301"/>
      <c r="O14" s="467"/>
      <c r="P14" s="468"/>
      <c r="Q14" s="373"/>
      <c r="R14" s="373"/>
      <c r="S14" s="87"/>
      <c r="T14" s="87"/>
    </row>
    <row r="15" spans="1:20" x14ac:dyDescent="0.25">
      <c r="A15" s="333"/>
      <c r="B15" s="164"/>
      <c r="C15" s="164"/>
      <c r="D15" s="164"/>
      <c r="E15" s="163" t="str">
        <f t="shared" si="1"/>
        <v/>
      </c>
      <c r="F15" s="165" t="str">
        <f t="shared" si="2"/>
        <v/>
      </c>
      <c r="G15" s="469"/>
      <c r="H15" s="43"/>
      <c r="I15" s="1"/>
      <c r="J15" s="373"/>
      <c r="K15" s="1"/>
      <c r="L15" s="1"/>
      <c r="M15" s="44"/>
      <c r="N15" s="301"/>
      <c r="O15" s="468"/>
      <c r="P15" s="468"/>
      <c r="Q15" s="373"/>
      <c r="R15" s="373"/>
      <c r="S15" s="87"/>
      <c r="T15" s="87"/>
    </row>
    <row r="16" spans="1:20" ht="15.75" customHeight="1" x14ac:dyDescent="0.25">
      <c r="A16" s="334"/>
      <c r="B16" s="164"/>
      <c r="C16" s="164"/>
      <c r="D16" s="164"/>
      <c r="E16" s="163" t="str">
        <f t="shared" si="1"/>
        <v/>
      </c>
      <c r="F16" s="165" t="str">
        <f t="shared" si="2"/>
        <v/>
      </c>
      <c r="G16" s="469"/>
      <c r="H16" s="43"/>
      <c r="I16" s="1"/>
      <c r="J16" s="373"/>
      <c r="K16" s="1"/>
      <c r="L16" s="1"/>
      <c r="M16" s="44"/>
      <c r="N16" s="301"/>
      <c r="O16" s="128"/>
      <c r="P16" s="468"/>
      <c r="Q16" s="373"/>
      <c r="R16" s="373"/>
      <c r="S16" s="87"/>
      <c r="T16" s="87"/>
    </row>
    <row r="17" spans="1:22" x14ac:dyDescent="0.25">
      <c r="A17" s="334"/>
      <c r="B17" s="164"/>
      <c r="C17" s="164"/>
      <c r="D17" s="164"/>
      <c r="E17" s="163" t="str">
        <f t="shared" si="1"/>
        <v/>
      </c>
      <c r="F17" s="165" t="str">
        <f t="shared" si="2"/>
        <v/>
      </c>
      <c r="G17" s="469"/>
      <c r="H17" s="43"/>
      <c r="I17" s="1"/>
      <c r="J17" s="373"/>
      <c r="K17" s="1"/>
      <c r="L17" s="1"/>
      <c r="M17" s="44"/>
      <c r="N17" s="301"/>
      <c r="O17" s="128"/>
      <c r="P17" s="468"/>
      <c r="Q17" s="373"/>
      <c r="R17" s="373"/>
      <c r="S17" s="87"/>
      <c r="T17" s="87"/>
    </row>
    <row r="18" spans="1:22" x14ac:dyDescent="0.25">
      <c r="A18" s="333"/>
      <c r="B18" s="164"/>
      <c r="C18" s="164"/>
      <c r="D18" s="164"/>
      <c r="E18" s="163" t="str">
        <f t="shared" si="1"/>
        <v/>
      </c>
      <c r="F18" s="165" t="str">
        <f t="shared" si="2"/>
        <v/>
      </c>
      <c r="G18" s="469"/>
      <c r="H18" s="43"/>
      <c r="I18" s="1"/>
      <c r="J18" s="373"/>
      <c r="K18" s="1"/>
      <c r="L18" s="1"/>
      <c r="M18" s="44"/>
      <c r="N18" s="153"/>
      <c r="O18" s="128"/>
      <c r="P18" s="468"/>
      <c r="Q18" s="373"/>
      <c r="R18" s="373"/>
      <c r="S18" s="87"/>
      <c r="T18" s="87"/>
    </row>
    <row r="19" spans="1:22" ht="15.75" thickBot="1" x14ac:dyDescent="0.3">
      <c r="A19" s="335"/>
      <c r="B19" s="364"/>
      <c r="C19" s="365"/>
      <c r="D19" s="365"/>
      <c r="E19" s="163" t="str">
        <f t="shared" si="1"/>
        <v/>
      </c>
      <c r="F19" s="165" t="str">
        <f t="shared" si="2"/>
        <v/>
      </c>
      <c r="G19" s="470"/>
      <c r="H19" s="43"/>
      <c r="I19" s="1"/>
      <c r="J19" s="373"/>
      <c r="K19" s="1"/>
      <c r="L19" s="1"/>
      <c r="M19" s="44"/>
      <c r="N19" s="1"/>
      <c r="O19" s="128"/>
      <c r="P19" s="468"/>
      <c r="Q19" s="373"/>
      <c r="R19" s="373"/>
      <c r="S19" s="87"/>
      <c r="T19" s="87"/>
    </row>
    <row r="20" spans="1:22" ht="15.75" thickTop="1" x14ac:dyDescent="0.25">
      <c r="A20" s="358"/>
      <c r="B20" s="359"/>
      <c r="C20" s="360"/>
      <c r="D20" s="360"/>
      <c r="E20" s="361"/>
      <c r="F20" s="359"/>
      <c r="G20" s="392"/>
      <c r="H20" s="723" t="s">
        <v>16</v>
      </c>
      <c r="I20" s="725" t="s">
        <v>17</v>
      </c>
      <c r="J20" s="725" t="s">
        <v>21</v>
      </c>
      <c r="K20" s="725"/>
      <c r="L20" s="726" t="s">
        <v>93</v>
      </c>
      <c r="M20" s="727" t="s">
        <v>95</v>
      </c>
      <c r="N20" s="1"/>
      <c r="O20" s="128"/>
      <c r="P20" s="468"/>
      <c r="Q20" s="373"/>
      <c r="R20" s="373"/>
      <c r="S20" s="87"/>
      <c r="T20" s="87"/>
      <c r="V20" s="1"/>
    </row>
    <row r="21" spans="1:22" ht="24" x14ac:dyDescent="0.25">
      <c r="A21" s="362"/>
      <c r="B21" s="207"/>
      <c r="C21" s="207"/>
      <c r="D21" s="207"/>
      <c r="E21" s="222"/>
      <c r="F21" s="207"/>
      <c r="G21" s="207"/>
      <c r="H21" s="724"/>
      <c r="I21" s="685"/>
      <c r="J21" s="385" t="s">
        <v>21</v>
      </c>
      <c r="K21" s="385" t="s">
        <v>25</v>
      </c>
      <c r="L21" s="686"/>
      <c r="M21" s="687"/>
      <c r="N21" s="1"/>
      <c r="P21" s="373"/>
      <c r="Q21" s="373"/>
      <c r="R21" s="373"/>
      <c r="S21" s="87"/>
      <c r="T21" s="87"/>
      <c r="V21" s="1"/>
    </row>
    <row r="22" spans="1:22" x14ac:dyDescent="0.25">
      <c r="A22" s="345"/>
      <c r="B22" s="205"/>
      <c r="C22" s="294"/>
      <c r="D22" s="238"/>
      <c r="E22" s="85"/>
      <c r="F22" s="205"/>
      <c r="G22" s="205"/>
      <c r="H22" s="354" t="s">
        <v>18</v>
      </c>
      <c r="I22" s="95">
        <v>32809.9</v>
      </c>
      <c r="J22" s="95">
        <v>1675.7199999999998</v>
      </c>
      <c r="K22" s="303">
        <v>1047.01</v>
      </c>
      <c r="L22" s="97">
        <v>52152</v>
      </c>
      <c r="M22" s="105">
        <f>82159.79-I22-J22-K22+L22</f>
        <v>98779.159999999989</v>
      </c>
      <c r="N22" s="1"/>
      <c r="P22" s="373"/>
      <c r="Q22" s="373"/>
      <c r="R22" s="373"/>
      <c r="S22" s="87"/>
      <c r="T22" s="87"/>
      <c r="V22" s="1"/>
    </row>
    <row r="23" spans="1:22" ht="15.75" customHeight="1" x14ac:dyDescent="0.25">
      <c r="A23" s="346"/>
      <c r="B23" s="205"/>
      <c r="C23" s="205"/>
      <c r="D23" s="279"/>
      <c r="E23" s="373"/>
      <c r="F23" s="85"/>
      <c r="G23" s="373"/>
      <c r="H23" s="354" t="s">
        <v>19</v>
      </c>
      <c r="I23" s="95">
        <v>35259.58</v>
      </c>
      <c r="J23" s="95">
        <v>1363.3000000000002</v>
      </c>
      <c r="K23" s="95">
        <v>1176.05</v>
      </c>
      <c r="L23" s="97">
        <v>40465.950000000004</v>
      </c>
      <c r="M23" s="105">
        <f>M22-I23-J23-K23+L23</f>
        <v>101446.18</v>
      </c>
      <c r="N23" s="1"/>
      <c r="O23" s="373"/>
      <c r="P23" s="373"/>
      <c r="Q23" s="373"/>
      <c r="R23" s="373"/>
      <c r="S23" s="87"/>
      <c r="T23" s="87"/>
      <c r="V23" s="1"/>
    </row>
    <row r="24" spans="1:22" x14ac:dyDescent="0.25">
      <c r="A24" s="346"/>
      <c r="B24" s="373"/>
      <c r="C24" s="205"/>
      <c r="D24" s="279"/>
      <c r="E24" s="373"/>
      <c r="F24" s="373"/>
      <c r="G24" s="373"/>
      <c r="H24" s="354" t="s">
        <v>20</v>
      </c>
      <c r="I24" s="304">
        <v>34690.219999999994</v>
      </c>
      <c r="J24" s="95">
        <v>1209.3000000000002</v>
      </c>
      <c r="K24" s="305">
        <v>1213.33</v>
      </c>
      <c r="L24" s="305">
        <v>19306</v>
      </c>
      <c r="M24" s="105">
        <f>M23-I24-J24-K24+L24</f>
        <v>83639.329999999987</v>
      </c>
      <c r="N24" s="1"/>
      <c r="P24" s="373"/>
      <c r="Q24" s="373"/>
      <c r="R24" s="373"/>
      <c r="S24" s="87"/>
      <c r="T24" s="87"/>
      <c r="V24" s="1"/>
    </row>
    <row r="25" spans="1:22" x14ac:dyDescent="0.25">
      <c r="A25" s="346"/>
      <c r="B25" s="1"/>
      <c r="C25" s="290"/>
      <c r="D25" s="279"/>
      <c r="E25" s="373"/>
      <c r="F25" s="373"/>
      <c r="G25" s="85"/>
      <c r="H25" s="354" t="s">
        <v>148</v>
      </c>
      <c r="I25" s="305">
        <v>30955.479999999996</v>
      </c>
      <c r="J25" s="306"/>
      <c r="K25" s="306">
        <v>1035.6600000000001</v>
      </c>
      <c r="L25" s="305">
        <v>59195.5</v>
      </c>
      <c r="M25" s="105">
        <f>M24-I25-J25-K25+L25</f>
        <v>110843.68999999999</v>
      </c>
      <c r="N25" s="373"/>
      <c r="P25" s="373"/>
      <c r="Q25" s="373"/>
      <c r="R25" s="373"/>
      <c r="S25" s="87"/>
      <c r="T25" s="87"/>
      <c r="V25" s="373"/>
    </row>
    <row r="26" spans="1:22" x14ac:dyDescent="0.25">
      <c r="A26" s="346"/>
      <c r="B26" s="205"/>
      <c r="C26" s="1"/>
      <c r="D26" s="279"/>
      <c r="E26" s="373"/>
      <c r="F26" s="373"/>
      <c r="G26" s="373"/>
      <c r="H26" s="355" t="s">
        <v>162</v>
      </c>
      <c r="I26" s="306">
        <v>31239.439999999995</v>
      </c>
      <c r="J26" s="305">
        <v>2443.4</v>
      </c>
      <c r="K26" s="306">
        <v>1496.52</v>
      </c>
      <c r="L26" s="305">
        <v>40132</v>
      </c>
      <c r="M26" s="105">
        <f>M25-I26-J26-K26+L26</f>
        <v>115796.33</v>
      </c>
      <c r="N26" s="373"/>
      <c r="P26" s="373"/>
      <c r="Q26" s="373"/>
      <c r="R26" s="373"/>
      <c r="S26" s="87"/>
      <c r="T26" s="87"/>
      <c r="V26" s="373"/>
    </row>
    <row r="27" spans="1:22" ht="12.75" customHeight="1" thickBot="1" x14ac:dyDescent="0.3">
      <c r="A27" s="346"/>
      <c r="B27" s="205"/>
      <c r="C27" s="1"/>
      <c r="D27" s="279"/>
      <c r="E27" s="373"/>
      <c r="F27" s="373"/>
      <c r="G27" s="373"/>
      <c r="H27" s="395" t="s">
        <v>163</v>
      </c>
      <c r="I27" s="396">
        <v>28986.99</v>
      </c>
      <c r="J27" s="449">
        <v>6271.4999999999991</v>
      </c>
      <c r="K27" s="450">
        <v>1179.17</v>
      </c>
      <c r="L27" s="450">
        <v>22678.1</v>
      </c>
      <c r="M27" s="398">
        <f>M26-I27-J27-K27+L27</f>
        <v>102036.76999999999</v>
      </c>
      <c r="N27" s="373"/>
      <c r="P27" s="373"/>
      <c r="Q27" s="373"/>
      <c r="R27" s="373"/>
      <c r="S27" s="373"/>
      <c r="T27" s="373"/>
      <c r="U27" s="373"/>
      <c r="V27" s="373"/>
    </row>
    <row r="28" spans="1:22" ht="12.75" customHeight="1" thickTop="1" x14ac:dyDescent="0.25">
      <c r="A28" s="346"/>
      <c r="B28" s="205"/>
      <c r="C28" s="1"/>
      <c r="D28" s="279"/>
      <c r="E28" s="85"/>
      <c r="F28" s="373"/>
      <c r="G28" s="373"/>
      <c r="H28" s="710" t="s">
        <v>36</v>
      </c>
      <c r="I28" s="712" t="s">
        <v>178</v>
      </c>
      <c r="J28" s="713"/>
      <c r="K28" s="714"/>
      <c r="L28" s="718" t="s">
        <v>159</v>
      </c>
      <c r="M28" s="719"/>
      <c r="N28" s="1"/>
      <c r="P28" s="373"/>
      <c r="Q28" s="373"/>
      <c r="R28" s="373"/>
      <c r="S28" s="373"/>
      <c r="T28" s="373"/>
      <c r="U28" s="373"/>
    </row>
    <row r="29" spans="1:22" ht="13.5" customHeight="1" x14ac:dyDescent="0.25">
      <c r="A29" s="346"/>
      <c r="B29" s="205"/>
      <c r="C29" s="290"/>
      <c r="D29" s="279"/>
      <c r="E29" s="290"/>
      <c r="F29" s="373"/>
      <c r="G29" s="394"/>
      <c r="H29" s="711"/>
      <c r="I29" s="715"/>
      <c r="J29" s="716"/>
      <c r="K29" s="717"/>
      <c r="L29" s="720"/>
      <c r="M29" s="721"/>
      <c r="N29" s="1"/>
      <c r="P29" s="373"/>
      <c r="Q29" s="373"/>
      <c r="R29" s="373"/>
      <c r="S29" s="373"/>
      <c r="T29" s="373"/>
      <c r="U29" s="373"/>
    </row>
    <row r="30" spans="1:22" ht="15.75" customHeight="1" x14ac:dyDescent="0.25">
      <c r="A30" s="346"/>
      <c r="B30" s="205"/>
      <c r="C30" s="205"/>
      <c r="D30" s="279"/>
      <c r="E30" s="205"/>
      <c r="F30" s="373"/>
      <c r="G30" s="394"/>
      <c r="H30" s="393" t="s">
        <v>193</v>
      </c>
      <c r="I30" s="722" t="s">
        <v>47</v>
      </c>
      <c r="J30" s="722"/>
      <c r="K30" s="479">
        <v>288.75</v>
      </c>
      <c r="L30" s="288">
        <v>43813</v>
      </c>
      <c r="M30" s="44" t="s">
        <v>200</v>
      </c>
      <c r="N30" s="153"/>
      <c r="P30" s="369"/>
      <c r="Q30" s="391"/>
      <c r="R30" s="391"/>
      <c r="S30" s="373"/>
      <c r="T30" s="300"/>
      <c r="U30" s="373"/>
    </row>
    <row r="31" spans="1:22" x14ac:dyDescent="0.25">
      <c r="A31" s="346"/>
      <c r="B31" s="373"/>
      <c r="C31" s="280"/>
      <c r="D31" s="279"/>
      <c r="E31" s="280"/>
      <c r="F31" s="373"/>
      <c r="G31" s="373"/>
      <c r="H31" s="393" t="s">
        <v>193</v>
      </c>
      <c r="I31" s="680" t="s">
        <v>51</v>
      </c>
      <c r="J31" s="680"/>
      <c r="K31" s="53">
        <v>60.19</v>
      </c>
      <c r="L31" s="288">
        <v>43813</v>
      </c>
      <c r="M31" s="44" t="s">
        <v>200</v>
      </c>
      <c r="N31" s="1"/>
      <c r="P31" s="373"/>
      <c r="Q31" s="391"/>
      <c r="R31" s="391"/>
      <c r="S31" s="373"/>
      <c r="T31" s="300"/>
      <c r="U31" s="373"/>
    </row>
    <row r="32" spans="1:22" x14ac:dyDescent="0.25">
      <c r="A32" s="347"/>
      <c r="B32" s="373"/>
      <c r="C32" s="373"/>
      <c r="D32" s="279"/>
      <c r="E32" s="205"/>
      <c r="F32" s="373"/>
      <c r="G32" s="373"/>
      <c r="H32" s="393" t="s">
        <v>193</v>
      </c>
      <c r="I32" s="680" t="s">
        <v>52</v>
      </c>
      <c r="J32" s="680"/>
      <c r="K32" s="53">
        <v>4.95</v>
      </c>
      <c r="L32" s="288">
        <v>43813</v>
      </c>
      <c r="M32" s="44" t="s">
        <v>200</v>
      </c>
      <c r="N32" s="1"/>
      <c r="P32" s="369"/>
      <c r="Q32" s="391"/>
      <c r="R32" s="391"/>
      <c r="S32" s="373"/>
      <c r="T32" s="300"/>
      <c r="U32" s="373"/>
    </row>
    <row r="33" spans="1:21" x14ac:dyDescent="0.25">
      <c r="A33" s="347"/>
      <c r="B33" s="373"/>
      <c r="C33" s="373"/>
      <c r="D33" s="279"/>
      <c r="E33" s="373"/>
      <c r="F33" s="373"/>
      <c r="G33" s="373"/>
      <c r="H33" s="393" t="s">
        <v>193</v>
      </c>
      <c r="I33" s="680" t="s">
        <v>49</v>
      </c>
      <c r="J33" s="680"/>
      <c r="K33" s="53">
        <v>257</v>
      </c>
      <c r="L33" s="288">
        <v>43821</v>
      </c>
      <c r="M33" s="44" t="s">
        <v>207</v>
      </c>
      <c r="N33" s="153"/>
      <c r="P33" s="369"/>
      <c r="Q33" s="391"/>
      <c r="R33" s="391"/>
      <c r="S33" s="373"/>
      <c r="T33" s="300"/>
      <c r="U33" s="373"/>
    </row>
    <row r="34" spans="1:21" x14ac:dyDescent="0.25">
      <c r="A34" s="347"/>
      <c r="B34" s="373"/>
      <c r="C34" s="373"/>
      <c r="D34" s="279"/>
      <c r="E34" s="373"/>
      <c r="F34" s="373"/>
      <c r="G34" s="373"/>
      <c r="H34" s="393" t="s">
        <v>193</v>
      </c>
      <c r="I34" s="677" t="s">
        <v>59</v>
      </c>
      <c r="J34" s="677"/>
      <c r="K34" s="480">
        <v>922.03</v>
      </c>
      <c r="L34" s="308" t="s">
        <v>177</v>
      </c>
      <c r="M34" s="44" t="s">
        <v>200</v>
      </c>
      <c r="N34" s="1"/>
      <c r="P34" s="369"/>
      <c r="Q34" s="391"/>
      <c r="R34" s="391"/>
      <c r="S34" s="373"/>
      <c r="T34" s="373"/>
      <c r="U34" s="373"/>
    </row>
    <row r="35" spans="1:21" x14ac:dyDescent="0.25">
      <c r="A35" s="347"/>
      <c r="B35" s="205"/>
      <c r="C35" s="205"/>
      <c r="D35" s="279"/>
      <c r="E35" s="205"/>
      <c r="F35" s="373"/>
      <c r="G35" s="373"/>
      <c r="H35" s="393" t="s">
        <v>193</v>
      </c>
      <c r="I35" s="678" t="s">
        <v>68</v>
      </c>
      <c r="J35" s="679"/>
      <c r="K35" s="53">
        <v>315.07</v>
      </c>
      <c r="L35" s="288">
        <v>43825</v>
      </c>
      <c r="M35" s="44" t="s">
        <v>200</v>
      </c>
      <c r="N35" s="1"/>
      <c r="P35" s="369"/>
      <c r="Q35" s="391"/>
      <c r="R35" s="391"/>
      <c r="S35" s="373"/>
      <c r="T35" s="300"/>
      <c r="U35" s="373"/>
    </row>
    <row r="36" spans="1:21" x14ac:dyDescent="0.25">
      <c r="A36" s="347"/>
      <c r="B36" s="205"/>
      <c r="C36" s="373"/>
      <c r="D36" s="279"/>
      <c r="E36" s="205"/>
      <c r="F36" s="373"/>
      <c r="G36" s="373"/>
      <c r="H36" s="393" t="s">
        <v>193</v>
      </c>
      <c r="I36" s="386" t="s">
        <v>174</v>
      </c>
      <c r="J36" s="387"/>
      <c r="K36" s="53">
        <f>298.1+160.36</f>
        <v>458.46000000000004</v>
      </c>
      <c r="L36" s="288">
        <v>43813</v>
      </c>
      <c r="M36" s="44" t="s">
        <v>200</v>
      </c>
      <c r="N36" s="1"/>
      <c r="P36" s="373"/>
      <c r="Q36" s="372"/>
      <c r="R36" s="372"/>
      <c r="S36" s="373"/>
      <c r="T36" s="300"/>
      <c r="U36" s="373"/>
    </row>
    <row r="37" spans="1:21" x14ac:dyDescent="0.25">
      <c r="A37" s="347"/>
      <c r="B37" s="205"/>
      <c r="C37" s="373"/>
      <c r="D37" s="279"/>
      <c r="E37" s="205"/>
      <c r="F37" s="373"/>
      <c r="G37" s="373"/>
      <c r="H37" s="357" t="str">
        <f>IF(K37="","не нужно","оплачено")</f>
        <v>не нужно</v>
      </c>
      <c r="I37" s="386" t="s">
        <v>176</v>
      </c>
      <c r="J37" s="387"/>
      <c r="K37" s="53"/>
      <c r="L37" s="288"/>
      <c r="M37" s="44"/>
      <c r="N37" s="1"/>
      <c r="P37" s="373"/>
      <c r="Q37" s="372"/>
      <c r="R37" s="372"/>
      <c r="S37" s="373"/>
      <c r="T37" s="300"/>
      <c r="U37" s="373"/>
    </row>
    <row r="38" spans="1:21" x14ac:dyDescent="0.25">
      <c r="A38" s="347"/>
      <c r="B38" s="205"/>
      <c r="C38" s="373"/>
      <c r="D38" s="279"/>
      <c r="E38" s="238"/>
      <c r="F38" s="373"/>
      <c r="G38" s="373"/>
      <c r="H38" s="393" t="s">
        <v>193</v>
      </c>
      <c r="I38" s="678" t="s">
        <v>81</v>
      </c>
      <c r="J38" s="679"/>
      <c r="K38" s="53">
        <v>1483.76</v>
      </c>
      <c r="L38" s="288">
        <v>43813</v>
      </c>
      <c r="M38" s="44" t="s">
        <v>200</v>
      </c>
      <c r="N38" s="1"/>
      <c r="P38" s="373"/>
      <c r="Q38" s="391"/>
      <c r="R38" s="391"/>
      <c r="S38" s="373"/>
      <c r="T38" s="300"/>
      <c r="U38" s="373"/>
    </row>
    <row r="39" spans="1:21" x14ac:dyDescent="0.25">
      <c r="A39" s="347"/>
      <c r="B39" s="205"/>
      <c r="C39" s="373"/>
      <c r="D39" s="279"/>
      <c r="E39" s="238"/>
      <c r="F39" s="373"/>
      <c r="G39" s="373"/>
      <c r="H39" s="393" t="s">
        <v>193</v>
      </c>
      <c r="I39" s="678" t="s">
        <v>181</v>
      </c>
      <c r="J39" s="679"/>
      <c r="K39" s="53">
        <v>10</v>
      </c>
      <c r="L39" s="288" t="s">
        <v>182</v>
      </c>
      <c r="M39" s="44"/>
      <c r="N39" s="1"/>
      <c r="P39" s="373"/>
      <c r="Q39" s="372"/>
      <c r="R39" s="373"/>
      <c r="S39" s="373"/>
      <c r="T39" s="300"/>
      <c r="U39" s="373"/>
    </row>
    <row r="40" spans="1:21" x14ac:dyDescent="0.25">
      <c r="A40" s="347"/>
      <c r="B40" s="205"/>
      <c r="C40" s="373"/>
      <c r="D40" s="279"/>
      <c r="E40" s="238"/>
      <c r="F40" s="373"/>
      <c r="G40" s="373"/>
      <c r="H40" s="393" t="s">
        <v>193</v>
      </c>
      <c r="I40" s="677" t="s">
        <v>61</v>
      </c>
      <c r="J40" s="677"/>
      <c r="K40" s="53">
        <f>J5</f>
        <v>2494.3200000000002</v>
      </c>
      <c r="L40" s="288">
        <v>43821</v>
      </c>
      <c r="M40" s="44" t="s">
        <v>200</v>
      </c>
      <c r="N40" s="1"/>
      <c r="P40" s="373"/>
      <c r="Q40" s="372"/>
      <c r="R40" s="372"/>
      <c r="S40" s="373"/>
      <c r="T40" s="300"/>
      <c r="U40" s="373"/>
    </row>
    <row r="41" spans="1:21" ht="15.75" thickBot="1" x14ac:dyDescent="0.3">
      <c r="A41" s="348"/>
      <c r="B41" s="337"/>
      <c r="C41" s="338"/>
      <c r="D41" s="349"/>
      <c r="E41" s="337"/>
      <c r="F41" s="338"/>
      <c r="G41" s="338"/>
      <c r="H41" s="353"/>
      <c r="I41" s="368" t="s">
        <v>179</v>
      </c>
      <c r="J41" s="368">
        <f>SUM(K30:K40)</f>
        <v>6294.5300000000007</v>
      </c>
      <c r="K41" s="730" t="s">
        <v>180</v>
      </c>
      <c r="L41" s="730"/>
      <c r="M41" s="367">
        <v>0</v>
      </c>
      <c r="N41" s="1"/>
      <c r="P41" s="373"/>
      <c r="Q41" s="373"/>
      <c r="R41" s="373"/>
      <c r="S41" s="373"/>
      <c r="T41" s="373"/>
      <c r="U41" s="373"/>
    </row>
    <row r="42" spans="1:21" ht="15.75" thickTop="1" x14ac:dyDescent="0.25">
      <c r="A42" s="373"/>
      <c r="B42" s="373"/>
      <c r="C42" s="373"/>
      <c r="D42" s="373"/>
      <c r="E42" s="373"/>
      <c r="F42" s="373"/>
      <c r="G42" s="373"/>
      <c r="H42" s="744"/>
      <c r="I42" s="744"/>
      <c r="J42" s="744"/>
      <c r="K42" s="744"/>
      <c r="L42" s="373"/>
      <c r="M42" s="460"/>
      <c r="N42" s="1"/>
      <c r="P42" s="373"/>
      <c r="Q42" s="373"/>
      <c r="R42" s="373"/>
      <c r="S42" s="373"/>
      <c r="T42" s="373"/>
      <c r="U42" s="373"/>
    </row>
    <row r="43" spans="1:21" x14ac:dyDescent="0.25">
      <c r="A43" s="373"/>
      <c r="B43" s="742" t="s">
        <v>208</v>
      </c>
      <c r="C43" s="742"/>
      <c r="D43" s="742"/>
      <c r="E43" s="742"/>
      <c r="F43" s="742"/>
      <c r="G43" s="742"/>
      <c r="H43" s="742"/>
      <c r="I43" s="742"/>
      <c r="J43" s="742"/>
      <c r="K43" s="742"/>
      <c r="L43" s="373"/>
      <c r="M43" s="460"/>
      <c r="N43" s="1"/>
      <c r="P43" s="1"/>
      <c r="Q43" s="373"/>
      <c r="R43" s="373"/>
      <c r="S43" s="373"/>
      <c r="T43" s="373"/>
    </row>
    <row r="44" spans="1:21" ht="15.75" thickBot="1" x14ac:dyDescent="0.3">
      <c r="B44" s="743"/>
      <c r="C44" s="743"/>
      <c r="D44" s="743"/>
      <c r="E44" s="743"/>
      <c r="F44" s="743"/>
      <c r="G44" s="743"/>
      <c r="H44" s="743"/>
      <c r="I44" s="743"/>
      <c r="J44" s="743"/>
      <c r="K44" s="743"/>
      <c r="L44" s="1"/>
      <c r="M44" s="1"/>
      <c r="N44" s="1"/>
      <c r="P44" s="1"/>
      <c r="Q44" s="373"/>
      <c r="R44" s="372"/>
      <c r="S44" s="391"/>
      <c r="T44" s="373"/>
    </row>
    <row r="45" spans="1:21" ht="15.75" thickTop="1" x14ac:dyDescent="0.25">
      <c r="A45" s="739" t="s">
        <v>28</v>
      </c>
      <c r="B45" s="682"/>
      <c r="C45" s="682"/>
      <c r="D45" s="682"/>
      <c r="E45" s="682"/>
      <c r="F45" s="682"/>
      <c r="G45" s="683"/>
      <c r="H45" s="740" t="s">
        <v>202</v>
      </c>
      <c r="I45" s="738"/>
      <c r="J45" s="738"/>
      <c r="K45" s="738"/>
      <c r="L45" s="738"/>
      <c r="M45" s="741"/>
      <c r="N45" s="1"/>
      <c r="P45" s="1"/>
      <c r="Q45" s="459"/>
      <c r="R45" s="205"/>
      <c r="S45" s="280"/>
      <c r="T45" s="373"/>
    </row>
    <row r="46" spans="1:21" x14ac:dyDescent="0.25">
      <c r="A46" s="330" t="s">
        <v>2</v>
      </c>
      <c r="B46" s="388" t="s">
        <v>34</v>
      </c>
      <c r="C46" s="36" t="s">
        <v>35</v>
      </c>
      <c r="D46" s="36" t="s">
        <v>38</v>
      </c>
      <c r="E46" s="36" t="s">
        <v>42</v>
      </c>
      <c r="F46" s="388" t="s">
        <v>36</v>
      </c>
      <c r="G46" s="101" t="s">
        <v>173</v>
      </c>
      <c r="H46" s="43"/>
      <c r="I46" s="384" t="s">
        <v>35</v>
      </c>
      <c r="J46" s="384" t="s">
        <v>38</v>
      </c>
      <c r="K46" s="384" t="s">
        <v>42</v>
      </c>
      <c r="L46" s="269" t="s">
        <v>44</v>
      </c>
      <c r="M46" s="461"/>
      <c r="N46" s="1"/>
      <c r="P46" s="1"/>
      <c r="Q46" s="459"/>
      <c r="R46" s="205"/>
      <c r="S46" s="280"/>
      <c r="T46" s="373"/>
    </row>
    <row r="47" spans="1:21" x14ac:dyDescent="0.25">
      <c r="A47" s="331">
        <v>43781</v>
      </c>
      <c r="B47" s="164" t="s">
        <v>205</v>
      </c>
      <c r="C47" s="99">
        <v>1403.06</v>
      </c>
      <c r="D47" s="99">
        <v>1403.06</v>
      </c>
      <c r="E47" s="163" t="str">
        <f>IF(C47-D47=0,"",C47-D47)</f>
        <v/>
      </c>
      <c r="F47" s="165" t="str">
        <f>IF(C47=0,"",IF(C47-D47=0,"оплачено","ожидается оплата"))</f>
        <v>оплачено</v>
      </c>
      <c r="G47" s="469"/>
      <c r="H47" s="43"/>
      <c r="I47" s="390">
        <v>199.36</v>
      </c>
      <c r="J47" s="472">
        <v>199.36</v>
      </c>
      <c r="K47" s="163">
        <f t="shared" ref="K47" si="3">I47-J47</f>
        <v>0</v>
      </c>
      <c r="L47" s="3">
        <v>43819</v>
      </c>
      <c r="M47" s="451"/>
      <c r="N47" s="1"/>
      <c r="P47" s="1"/>
      <c r="Q47" s="373"/>
      <c r="R47" s="373"/>
      <c r="S47" s="373"/>
      <c r="T47" s="373"/>
    </row>
    <row r="48" spans="1:21" x14ac:dyDescent="0.25">
      <c r="A48" s="331">
        <v>43789</v>
      </c>
      <c r="B48" s="164" t="s">
        <v>205</v>
      </c>
      <c r="C48" s="99">
        <v>269.26</v>
      </c>
      <c r="D48" s="99">
        <v>269.26</v>
      </c>
      <c r="E48" s="163" t="str">
        <f t="shared" ref="E48:E63" si="4">IF(C48-D48=0,"",C48-D48)</f>
        <v/>
      </c>
      <c r="F48" s="165" t="str">
        <f>IF(C48=0,"",IF(C48-D48=0,"оплачено","ожидается оплата"))</f>
        <v>оплачено</v>
      </c>
      <c r="G48" s="469"/>
      <c r="H48" s="43"/>
      <c r="I48" s="299"/>
      <c r="J48" s="299"/>
      <c r="K48" s="462"/>
      <c r="L48" s="147"/>
      <c r="M48" s="451"/>
      <c r="N48" s="1"/>
      <c r="P48" s="1"/>
      <c r="Q48" s="373"/>
      <c r="R48" s="373"/>
      <c r="S48" s="373"/>
      <c r="T48" s="373"/>
    </row>
    <row r="49" spans="1:17" x14ac:dyDescent="0.25">
      <c r="A49" s="331">
        <v>43787</v>
      </c>
      <c r="B49" s="53" t="s">
        <v>63</v>
      </c>
      <c r="C49" s="99">
        <v>395.55</v>
      </c>
      <c r="D49" s="99">
        <v>395.55</v>
      </c>
      <c r="E49" s="163" t="str">
        <f t="shared" si="4"/>
        <v/>
      </c>
      <c r="F49" s="165" t="str">
        <f t="shared" ref="F49:F63" si="5">IF(C49=0,"",IF(C49-D49=0,"оплачено","ожидается оплата"))</f>
        <v>оплачено</v>
      </c>
      <c r="G49" s="469"/>
      <c r="H49" s="43"/>
      <c r="I49" s="1"/>
      <c r="J49" s="373"/>
      <c r="K49" s="1"/>
      <c r="L49" s="1"/>
      <c r="M49" s="44"/>
      <c r="N49" s="1"/>
      <c r="O49" s="373"/>
      <c r="P49" s="12">
        <v>681</v>
      </c>
      <c r="Q49" s="8">
        <v>25</v>
      </c>
    </row>
    <row r="50" spans="1:17" x14ac:dyDescent="0.25">
      <c r="A50" s="331">
        <v>43788</v>
      </c>
      <c r="B50" s="53" t="s">
        <v>64</v>
      </c>
      <c r="C50" s="99">
        <v>597.02</v>
      </c>
      <c r="D50" s="99">
        <v>597.02</v>
      </c>
      <c r="E50" s="163" t="str">
        <f t="shared" si="4"/>
        <v/>
      </c>
      <c r="F50" s="165" t="str">
        <f t="shared" si="5"/>
        <v>оплачено</v>
      </c>
      <c r="G50" s="469"/>
      <c r="H50" s="43"/>
      <c r="I50" s="1"/>
      <c r="J50" s="373"/>
      <c r="K50" s="1"/>
      <c r="L50" s="1"/>
      <c r="M50" s="44"/>
      <c r="N50" s="1"/>
      <c r="P50" s="12">
        <v>2980</v>
      </c>
      <c r="Q50" s="8">
        <v>251.1</v>
      </c>
    </row>
    <row r="51" spans="1:17" x14ac:dyDescent="0.25">
      <c r="A51" s="331">
        <v>43791</v>
      </c>
      <c r="B51" s="164" t="s">
        <v>155</v>
      </c>
      <c r="C51" s="99">
        <v>343.12</v>
      </c>
      <c r="D51" s="99">
        <v>343.12</v>
      </c>
      <c r="E51" s="163" t="str">
        <f t="shared" si="4"/>
        <v/>
      </c>
      <c r="F51" s="165" t="str">
        <f t="shared" si="5"/>
        <v>оплачено</v>
      </c>
      <c r="G51" s="469"/>
      <c r="H51" s="43"/>
      <c r="I51" s="1"/>
      <c r="J51" s="373"/>
      <c r="K51" s="1"/>
      <c r="L51" s="1"/>
      <c r="M51" s="44"/>
      <c r="N51" s="1"/>
      <c r="P51" s="12">
        <v>2506.5</v>
      </c>
      <c r="Q51" s="8">
        <v>50</v>
      </c>
    </row>
    <row r="52" spans="1:17" x14ac:dyDescent="0.25">
      <c r="A52" s="331">
        <v>43802</v>
      </c>
      <c r="B52" s="164" t="s">
        <v>155</v>
      </c>
      <c r="C52" s="281">
        <v>130.5</v>
      </c>
      <c r="D52" s="281">
        <v>130.5</v>
      </c>
      <c r="E52" s="163" t="str">
        <f t="shared" si="4"/>
        <v/>
      </c>
      <c r="F52" s="165" t="str">
        <f t="shared" si="5"/>
        <v>оплачено</v>
      </c>
      <c r="G52" s="469"/>
      <c r="H52" s="43"/>
      <c r="I52" s="1"/>
      <c r="J52" s="373"/>
      <c r="K52" s="1"/>
      <c r="L52" s="1"/>
      <c r="M52" s="44"/>
      <c r="N52" s="1"/>
      <c r="P52" s="148">
        <v>7147</v>
      </c>
      <c r="Q52" s="8">
        <v>142</v>
      </c>
    </row>
    <row r="53" spans="1:17" x14ac:dyDescent="0.25">
      <c r="A53" s="331">
        <v>43803</v>
      </c>
      <c r="B53" s="164" t="s">
        <v>133</v>
      </c>
      <c r="C53" s="281">
        <v>327.60000000000002</v>
      </c>
      <c r="D53" s="281">
        <v>327.60000000000002</v>
      </c>
      <c r="E53" s="163" t="str">
        <f t="shared" si="4"/>
        <v/>
      </c>
      <c r="F53" s="165" t="str">
        <f t="shared" si="5"/>
        <v>оплачено</v>
      </c>
      <c r="G53" s="469"/>
      <c r="H53" s="43"/>
      <c r="I53" s="1"/>
      <c r="J53" s="373"/>
      <c r="K53" s="1"/>
      <c r="L53" s="1"/>
      <c r="M53" s="44"/>
      <c r="N53" s="1"/>
      <c r="P53" s="148">
        <v>732</v>
      </c>
      <c r="Q53" s="8">
        <v>15</v>
      </c>
    </row>
    <row r="54" spans="1:17" x14ac:dyDescent="0.25">
      <c r="A54" s="331">
        <v>43774</v>
      </c>
      <c r="B54" s="164" t="s">
        <v>215</v>
      </c>
      <c r="C54" s="281">
        <v>1439.29</v>
      </c>
      <c r="D54" s="281">
        <v>1439.29</v>
      </c>
      <c r="E54" s="163" t="str">
        <f t="shared" si="4"/>
        <v/>
      </c>
      <c r="F54" s="165" t="str">
        <f t="shared" si="5"/>
        <v>оплачено</v>
      </c>
      <c r="G54" s="469"/>
      <c r="H54" s="43"/>
      <c r="I54" s="1"/>
      <c r="J54" s="373"/>
      <c r="K54" s="1"/>
      <c r="L54" s="1"/>
      <c r="M54" s="44"/>
      <c r="N54" s="1"/>
      <c r="P54" s="148">
        <v>4281</v>
      </c>
      <c r="Q54" s="8">
        <v>117</v>
      </c>
    </row>
    <row r="55" spans="1:17" x14ac:dyDescent="0.25">
      <c r="A55" s="331">
        <v>43815</v>
      </c>
      <c r="B55" s="164" t="s">
        <v>223</v>
      </c>
      <c r="C55" s="281">
        <v>170.14</v>
      </c>
      <c r="D55" s="281">
        <v>170.14</v>
      </c>
      <c r="E55" s="163" t="str">
        <f t="shared" si="4"/>
        <v/>
      </c>
      <c r="F55" s="165" t="str">
        <f t="shared" si="5"/>
        <v>оплачено</v>
      </c>
      <c r="G55" s="469"/>
      <c r="H55" s="43"/>
      <c r="I55" s="1"/>
      <c r="J55" s="373"/>
      <c r="K55" s="1"/>
      <c r="L55" s="1"/>
      <c r="M55" s="44"/>
      <c r="N55" s="1"/>
      <c r="P55" s="148">
        <v>487.5</v>
      </c>
      <c r="Q55" s="8">
        <v>28</v>
      </c>
    </row>
    <row r="56" spans="1:17" x14ac:dyDescent="0.25">
      <c r="A56" s="331">
        <v>43823</v>
      </c>
      <c r="B56" s="164" t="s">
        <v>205</v>
      </c>
      <c r="C56" s="281">
        <v>170.83</v>
      </c>
      <c r="D56" s="164"/>
      <c r="E56" s="163">
        <f t="shared" si="4"/>
        <v>170.83</v>
      </c>
      <c r="F56" s="165" t="str">
        <f t="shared" si="5"/>
        <v>ожидается оплата</v>
      </c>
      <c r="G56" s="469" t="s">
        <v>220</v>
      </c>
      <c r="H56" s="43"/>
      <c r="I56" s="1"/>
      <c r="J56" s="373"/>
      <c r="K56" s="1"/>
      <c r="L56" s="1"/>
      <c r="M56" s="44"/>
      <c r="N56" s="1"/>
      <c r="P56" s="148">
        <v>625.4</v>
      </c>
      <c r="Q56" s="8">
        <v>99</v>
      </c>
    </row>
    <row r="57" spans="1:17" x14ac:dyDescent="0.25">
      <c r="A57" s="331">
        <v>43810</v>
      </c>
      <c r="B57" s="164" t="s">
        <v>227</v>
      </c>
      <c r="C57" s="281">
        <v>65</v>
      </c>
      <c r="D57" s="164">
        <v>65</v>
      </c>
      <c r="E57" s="163" t="str">
        <f t="shared" si="4"/>
        <v/>
      </c>
      <c r="F57" s="165" t="str">
        <f t="shared" si="5"/>
        <v>оплачено</v>
      </c>
      <c r="G57" s="469"/>
      <c r="H57" s="43"/>
      <c r="I57" s="1"/>
      <c r="J57" s="373"/>
      <c r="K57" s="1"/>
      <c r="L57" s="1"/>
      <c r="M57" s="44"/>
      <c r="N57" s="1"/>
      <c r="P57" s="148">
        <v>207</v>
      </c>
      <c r="Q57" s="8">
        <v>100</v>
      </c>
    </row>
    <row r="58" spans="1:17" x14ac:dyDescent="0.25">
      <c r="A58" s="331">
        <v>43825</v>
      </c>
      <c r="B58" s="164" t="s">
        <v>205</v>
      </c>
      <c r="C58" s="281">
        <v>159.16999999999999</v>
      </c>
      <c r="D58" s="281">
        <v>159.16999999999999</v>
      </c>
      <c r="E58" s="163" t="str">
        <f t="shared" si="4"/>
        <v/>
      </c>
      <c r="F58" s="165" t="str">
        <f t="shared" si="5"/>
        <v>оплачено</v>
      </c>
      <c r="G58" s="469"/>
      <c r="H58" s="43"/>
      <c r="I58" s="1"/>
      <c r="J58" s="373"/>
      <c r="K58" s="1"/>
      <c r="L58" s="1"/>
      <c r="M58" s="44"/>
      <c r="N58" s="1"/>
      <c r="P58" s="148">
        <v>52</v>
      </c>
      <c r="Q58" s="8">
        <v>9</v>
      </c>
    </row>
    <row r="59" spans="1:17" x14ac:dyDescent="0.25">
      <c r="A59" s="333"/>
      <c r="B59" s="164"/>
      <c r="C59" s="164"/>
      <c r="D59" s="164"/>
      <c r="E59" s="163" t="str">
        <f t="shared" si="4"/>
        <v/>
      </c>
      <c r="F59" s="165" t="str">
        <f t="shared" si="5"/>
        <v/>
      </c>
      <c r="G59" s="469"/>
      <c r="H59" s="43"/>
      <c r="I59" s="1"/>
      <c r="J59" s="373"/>
      <c r="K59" s="1"/>
      <c r="L59" s="1"/>
      <c r="M59" s="44"/>
      <c r="N59" s="1"/>
      <c r="P59" s="148">
        <v>17</v>
      </c>
      <c r="Q59" s="8">
        <v>21</v>
      </c>
    </row>
    <row r="60" spans="1:17" x14ac:dyDescent="0.25">
      <c r="A60" s="334"/>
      <c r="B60" s="164"/>
      <c r="C60" s="164"/>
      <c r="D60" s="164"/>
      <c r="E60" s="163" t="str">
        <f t="shared" si="4"/>
        <v/>
      </c>
      <c r="F60" s="165" t="str">
        <f t="shared" si="5"/>
        <v/>
      </c>
      <c r="G60" s="469"/>
      <c r="H60" s="43"/>
      <c r="I60" s="1"/>
      <c r="J60" s="373"/>
      <c r="K60" s="1"/>
      <c r="L60" s="1"/>
      <c r="M60" s="44"/>
      <c r="N60" s="1"/>
      <c r="P60" s="534">
        <v>26.5</v>
      </c>
      <c r="Q60" s="8">
        <v>152.5</v>
      </c>
    </row>
    <row r="61" spans="1:17" x14ac:dyDescent="0.25">
      <c r="A61" s="334"/>
      <c r="B61" s="164"/>
      <c r="C61" s="164"/>
      <c r="D61" s="164"/>
      <c r="E61" s="163" t="str">
        <f t="shared" si="4"/>
        <v/>
      </c>
      <c r="F61" s="165" t="str">
        <f t="shared" si="5"/>
        <v/>
      </c>
      <c r="G61" s="469"/>
      <c r="H61" s="43"/>
      <c r="I61" s="1"/>
      <c r="J61" s="373"/>
      <c r="K61" s="1"/>
      <c r="L61" s="1"/>
      <c r="M61" s="44"/>
      <c r="N61" s="1"/>
      <c r="O61" s="373"/>
      <c r="P61" s="534">
        <v>10</v>
      </c>
      <c r="Q61" s="195">
        <v>508.5</v>
      </c>
    </row>
    <row r="62" spans="1:17" x14ac:dyDescent="0.25">
      <c r="A62" s="333"/>
      <c r="B62" s="164"/>
      <c r="C62" s="164"/>
      <c r="D62" s="164"/>
      <c r="E62" s="163" t="str">
        <f t="shared" si="4"/>
        <v/>
      </c>
      <c r="F62" s="165" t="str">
        <f t="shared" si="5"/>
        <v/>
      </c>
      <c r="G62" s="469"/>
      <c r="H62" s="43"/>
      <c r="I62" s="1"/>
      <c r="J62" s="373"/>
      <c r="K62" s="1"/>
      <c r="L62" s="1"/>
      <c r="M62" s="44"/>
      <c r="N62" s="1"/>
      <c r="O62" s="373"/>
      <c r="P62" s="534">
        <v>302.5</v>
      </c>
      <c r="Q62" s="8">
        <v>46</v>
      </c>
    </row>
    <row r="63" spans="1:17" ht="15.75" thickBot="1" x14ac:dyDescent="0.3">
      <c r="A63" s="335"/>
      <c r="B63" s="364"/>
      <c r="C63" s="365"/>
      <c r="D63" s="365"/>
      <c r="E63" s="163" t="str">
        <f t="shared" si="4"/>
        <v/>
      </c>
      <c r="F63" s="165" t="str">
        <f t="shared" si="5"/>
        <v/>
      </c>
      <c r="G63" s="470"/>
      <c r="H63" s="43"/>
      <c r="I63" s="1"/>
      <c r="J63" s="373"/>
      <c r="K63" s="1"/>
      <c r="L63" s="1"/>
      <c r="M63" s="44"/>
      <c r="N63" s="1"/>
      <c r="O63" s="373"/>
      <c r="P63" s="534">
        <v>230</v>
      </c>
      <c r="Q63" s="8">
        <v>29.5</v>
      </c>
    </row>
    <row r="64" spans="1:17" ht="15.75" thickTop="1" x14ac:dyDescent="0.25">
      <c r="A64" s="358"/>
      <c r="B64" s="359"/>
      <c r="C64" s="360"/>
      <c r="D64" s="360"/>
      <c r="E64" s="361"/>
      <c r="F64" s="359"/>
      <c r="G64" s="392"/>
      <c r="H64" s="723" t="s">
        <v>16</v>
      </c>
      <c r="I64" s="725" t="s">
        <v>17</v>
      </c>
      <c r="J64" s="725" t="s">
        <v>21</v>
      </c>
      <c r="K64" s="725"/>
      <c r="L64" s="726" t="s">
        <v>93</v>
      </c>
      <c r="M64" s="727" t="s">
        <v>95</v>
      </c>
      <c r="N64" s="1"/>
      <c r="O64" s="373"/>
      <c r="P64" s="535">
        <v>1023.6</v>
      </c>
      <c r="Q64" s="8">
        <v>9</v>
      </c>
    </row>
    <row r="65" spans="1:23" ht="24" x14ac:dyDescent="0.25">
      <c r="A65" s="362"/>
      <c r="B65" s="207"/>
      <c r="C65" s="207"/>
      <c r="D65" s="207"/>
      <c r="E65" s="222"/>
      <c r="F65" s="207"/>
      <c r="G65" s="207"/>
      <c r="H65" s="724"/>
      <c r="I65" s="685"/>
      <c r="J65" s="385" t="s">
        <v>21</v>
      </c>
      <c r="K65" s="385" t="s">
        <v>25</v>
      </c>
      <c r="L65" s="686"/>
      <c r="M65" s="687"/>
      <c r="N65" s="1"/>
      <c r="O65" s="373"/>
      <c r="P65" s="535">
        <v>213</v>
      </c>
      <c r="Q65" s="8">
        <v>23</v>
      </c>
    </row>
    <row r="66" spans="1:23" x14ac:dyDescent="0.25">
      <c r="A66" s="345"/>
      <c r="B66" s="205"/>
      <c r="C66" s="294"/>
      <c r="D66" s="238"/>
      <c r="E66" s="85"/>
      <c r="F66" s="205"/>
      <c r="G66" s="205"/>
      <c r="H66" s="354" t="s">
        <v>163</v>
      </c>
      <c r="I66" s="95">
        <v>2420.3999999999996</v>
      </c>
      <c r="J66" s="95"/>
      <c r="K66" s="303"/>
      <c r="L66" s="97"/>
      <c r="M66" s="105"/>
      <c r="N66" s="1"/>
      <c r="O66" s="147"/>
      <c r="P66" s="536">
        <v>135</v>
      </c>
      <c r="Q66" s="8">
        <v>4.26</v>
      </c>
    </row>
    <row r="67" spans="1:23" x14ac:dyDescent="0.25">
      <c r="A67" s="346"/>
      <c r="B67" s="205"/>
      <c r="C67" s="205"/>
      <c r="D67" s="279"/>
      <c r="E67" s="373"/>
      <c r="F67" s="85"/>
      <c r="G67" s="373"/>
      <c r="H67" s="354" t="s">
        <v>192</v>
      </c>
      <c r="I67" s="95"/>
      <c r="J67" s="95"/>
      <c r="K67" s="95"/>
      <c r="L67" s="97"/>
      <c r="M67" s="105"/>
      <c r="N67" s="1"/>
      <c r="O67" s="147"/>
      <c r="P67" s="536">
        <v>375</v>
      </c>
      <c r="Q67" s="8">
        <v>13</v>
      </c>
    </row>
    <row r="68" spans="1:23" x14ac:dyDescent="0.25">
      <c r="A68" s="346"/>
      <c r="B68" s="373"/>
      <c r="C68" s="205"/>
      <c r="D68" s="279"/>
      <c r="E68" s="373"/>
      <c r="F68" s="373"/>
      <c r="G68" s="373"/>
      <c r="H68" s="354" t="s">
        <v>199</v>
      </c>
      <c r="I68" s="304"/>
      <c r="J68" s="95"/>
      <c r="K68" s="305"/>
      <c r="L68" s="305"/>
      <c r="M68" s="105"/>
      <c r="N68" s="1"/>
      <c r="O68" s="147"/>
      <c r="P68" s="537">
        <v>108</v>
      </c>
    </row>
    <row r="69" spans="1:23" x14ac:dyDescent="0.25">
      <c r="A69" s="346"/>
      <c r="B69" s="1"/>
      <c r="C69" s="290"/>
      <c r="D69" s="279"/>
      <c r="E69" s="373"/>
      <c r="F69" s="373"/>
      <c r="G69" s="85"/>
      <c r="H69" s="354" t="s">
        <v>209</v>
      </c>
      <c r="I69" s="305"/>
      <c r="J69" s="306"/>
      <c r="K69" s="306"/>
      <c r="L69" s="305"/>
      <c r="M69" s="105"/>
      <c r="N69" s="1"/>
      <c r="O69" s="147"/>
      <c r="P69" s="537">
        <v>351.5</v>
      </c>
      <c r="Q69" s="8">
        <v>3.9</v>
      </c>
    </row>
    <row r="70" spans="1:23" x14ac:dyDescent="0.25">
      <c r="A70" s="346"/>
      <c r="B70" s="205"/>
      <c r="C70" s="1"/>
      <c r="D70" s="279"/>
      <c r="E70" s="373"/>
      <c r="F70" s="373"/>
      <c r="G70" s="373"/>
      <c r="H70" s="355" t="s">
        <v>210</v>
      </c>
      <c r="I70" s="306"/>
      <c r="J70" s="305"/>
      <c r="K70" s="306"/>
      <c r="L70" s="305"/>
      <c r="M70" s="105"/>
      <c r="N70" s="1"/>
      <c r="O70" s="147"/>
      <c r="P70" s="537">
        <v>18</v>
      </c>
    </row>
    <row r="71" spans="1:23" ht="15.75" thickBot="1" x14ac:dyDescent="0.3">
      <c r="A71" s="346"/>
      <c r="B71" s="205"/>
      <c r="C71" s="1"/>
      <c r="D71" s="279"/>
      <c r="E71" s="373"/>
      <c r="F71" s="373"/>
      <c r="G71" s="373"/>
      <c r="H71" s="395" t="s">
        <v>211</v>
      </c>
      <c r="I71" s="396"/>
      <c r="J71" s="449"/>
      <c r="K71" s="397"/>
      <c r="L71" s="450"/>
      <c r="M71" s="398"/>
      <c r="N71" s="1"/>
      <c r="O71" s="373"/>
      <c r="P71" s="534">
        <v>156</v>
      </c>
    </row>
    <row r="72" spans="1:23" ht="15.75" thickTop="1" x14ac:dyDescent="0.25">
      <c r="A72" s="346"/>
      <c r="B72" s="205"/>
      <c r="C72" s="1"/>
      <c r="D72" s="279"/>
      <c r="E72" s="85"/>
      <c r="F72" s="373"/>
      <c r="G72" s="373"/>
      <c r="H72" s="710" t="s">
        <v>36</v>
      </c>
      <c r="I72" s="712" t="s">
        <v>178</v>
      </c>
      <c r="J72" s="713"/>
      <c r="K72" s="714"/>
      <c r="L72" s="718" t="s">
        <v>159</v>
      </c>
      <c r="M72" s="719"/>
      <c r="N72" s="1"/>
      <c r="O72" s="373"/>
      <c r="P72" s="534">
        <v>8</v>
      </c>
    </row>
    <row r="73" spans="1:23" x14ac:dyDescent="0.25">
      <c r="A73" s="346"/>
      <c r="B73" s="205"/>
      <c r="C73" s="290"/>
      <c r="D73" s="279"/>
      <c r="E73" s="290"/>
      <c r="F73" s="373"/>
      <c r="G73" s="394"/>
      <c r="H73" s="711"/>
      <c r="I73" s="715"/>
      <c r="J73" s="716"/>
      <c r="K73" s="717"/>
      <c r="L73" s="720"/>
      <c r="M73" s="721"/>
      <c r="N73" s="1"/>
      <c r="O73" s="373"/>
      <c r="P73" s="534">
        <v>275.5</v>
      </c>
      <c r="Q73" s="1"/>
      <c r="R73" s="1"/>
      <c r="S73" s="1"/>
      <c r="T73" s="1"/>
      <c r="U73" s="1"/>
      <c r="V73" s="1"/>
      <c r="W73" s="1"/>
    </row>
    <row r="74" spans="1:23" x14ac:dyDescent="0.25">
      <c r="A74" s="346"/>
      <c r="B74" s="205"/>
      <c r="C74" s="205"/>
      <c r="D74" s="279"/>
      <c r="E74" s="205"/>
      <c r="F74" s="373"/>
      <c r="G74" s="394"/>
      <c r="H74" s="357" t="str">
        <f>IF(K74="","не нужно","оплачено")</f>
        <v>оплачено</v>
      </c>
      <c r="I74" s="722" t="s">
        <v>47</v>
      </c>
      <c r="J74" s="722"/>
      <c r="K74" s="479">
        <v>28.88</v>
      </c>
      <c r="L74" s="288">
        <v>43814</v>
      </c>
      <c r="M74" s="44" t="s">
        <v>200</v>
      </c>
      <c r="P74" s="534">
        <v>37</v>
      </c>
      <c r="Q74" s="1"/>
      <c r="R74" s="1"/>
      <c r="S74" s="1"/>
      <c r="T74" s="1"/>
      <c r="U74" s="1"/>
      <c r="V74" s="1"/>
      <c r="W74" s="1"/>
    </row>
    <row r="75" spans="1:23" x14ac:dyDescent="0.25">
      <c r="A75" s="346"/>
      <c r="B75" s="373"/>
      <c r="C75" s="280"/>
      <c r="D75" s="279"/>
      <c r="E75" s="280"/>
      <c r="F75" s="373"/>
      <c r="G75" s="373"/>
      <c r="H75" s="357" t="str">
        <f t="shared" ref="H75:H84" si="6">IF(K75="","не нужно","оплачено")</f>
        <v>не нужно</v>
      </c>
      <c r="I75" s="680" t="s">
        <v>51</v>
      </c>
      <c r="J75" s="680"/>
      <c r="K75" s="53"/>
      <c r="L75" s="288">
        <v>43814</v>
      </c>
      <c r="M75" s="44" t="s">
        <v>200</v>
      </c>
      <c r="P75" s="534">
        <v>300</v>
      </c>
      <c r="Q75" s="1"/>
      <c r="R75" s="1"/>
      <c r="S75" s="1"/>
      <c r="T75" s="1"/>
      <c r="U75" s="1"/>
      <c r="V75" s="1"/>
      <c r="W75" s="1"/>
    </row>
    <row r="76" spans="1:23" x14ac:dyDescent="0.25">
      <c r="A76" s="347"/>
      <c r="B76" s="373"/>
      <c r="C76" s="373"/>
      <c r="D76" s="279"/>
      <c r="E76" s="205"/>
      <c r="F76" s="373"/>
      <c r="G76" s="373"/>
      <c r="H76" s="357" t="str">
        <f t="shared" si="6"/>
        <v>оплачено</v>
      </c>
      <c r="I76" s="680" t="s">
        <v>52</v>
      </c>
      <c r="J76" s="680"/>
      <c r="K76" s="53">
        <v>0.5</v>
      </c>
      <c r="L76" s="288">
        <v>43814</v>
      </c>
      <c r="M76" s="44" t="s">
        <v>200</v>
      </c>
      <c r="P76" s="369">
        <v>3132</v>
      </c>
      <c r="Q76" s="240"/>
      <c r="R76" s="240"/>
      <c r="S76" s="1"/>
      <c r="T76" s="288"/>
      <c r="U76" s="1"/>
      <c r="V76" s="1"/>
      <c r="W76" s="1"/>
    </row>
    <row r="77" spans="1:23" x14ac:dyDescent="0.25">
      <c r="A77" s="347"/>
      <c r="B77" s="373"/>
      <c r="C77" s="373"/>
      <c r="D77" s="279"/>
      <c r="E77" s="373"/>
      <c r="F77" s="373"/>
      <c r="G77" s="373"/>
      <c r="H77" s="357" t="str">
        <f t="shared" si="6"/>
        <v>оплачено</v>
      </c>
      <c r="I77" s="680" t="s">
        <v>49</v>
      </c>
      <c r="J77" s="680"/>
      <c r="K77" s="53">
        <v>66.75</v>
      </c>
      <c r="L77" s="288">
        <v>43819</v>
      </c>
      <c r="M77" s="44" t="s">
        <v>201</v>
      </c>
      <c r="P77" s="534">
        <v>453.5</v>
      </c>
      <c r="Q77" s="240"/>
      <c r="R77" s="240"/>
      <c r="S77" s="1"/>
      <c r="T77" s="288"/>
      <c r="U77" s="1"/>
      <c r="V77" s="1"/>
      <c r="W77" s="1"/>
    </row>
    <row r="78" spans="1:23" x14ac:dyDescent="0.25">
      <c r="A78" s="347"/>
      <c r="B78" s="373"/>
      <c r="C78" s="373"/>
      <c r="D78" s="279"/>
      <c r="E78" s="373"/>
      <c r="F78" s="373"/>
      <c r="G78" s="373"/>
      <c r="H78" s="357" t="str">
        <f t="shared" si="6"/>
        <v>не нужно</v>
      </c>
      <c r="I78" s="677" t="s">
        <v>59</v>
      </c>
      <c r="J78" s="677"/>
      <c r="K78" s="480"/>
      <c r="L78" s="308" t="s">
        <v>177</v>
      </c>
      <c r="M78" s="44" t="s">
        <v>200</v>
      </c>
      <c r="P78" s="351">
        <v>434</v>
      </c>
      <c r="Q78" s="240"/>
      <c r="R78" s="240"/>
      <c r="S78" s="1"/>
      <c r="T78" s="288"/>
      <c r="U78" s="1"/>
      <c r="V78" s="1"/>
      <c r="W78" s="1"/>
    </row>
    <row r="79" spans="1:23" x14ac:dyDescent="0.25">
      <c r="A79" s="347"/>
      <c r="B79" s="205"/>
      <c r="C79" s="205"/>
      <c r="D79" s="279"/>
      <c r="E79" s="205"/>
      <c r="F79" s="373"/>
      <c r="G79" s="373"/>
      <c r="H79" s="357" t="str">
        <f t="shared" si="6"/>
        <v>оплачено</v>
      </c>
      <c r="I79" s="678" t="s">
        <v>68</v>
      </c>
      <c r="J79" s="679"/>
      <c r="K79" s="53">
        <v>7.75</v>
      </c>
      <c r="L79" s="288">
        <v>43819</v>
      </c>
      <c r="M79" s="44" t="s">
        <v>200</v>
      </c>
      <c r="P79" s="351">
        <v>179.5</v>
      </c>
      <c r="Q79" s="240"/>
      <c r="R79" s="240"/>
      <c r="S79" s="1"/>
      <c r="T79" s="288"/>
      <c r="U79" s="1"/>
      <c r="V79" s="1"/>
      <c r="W79" s="1"/>
    </row>
    <row r="80" spans="1:23" x14ac:dyDescent="0.25">
      <c r="A80" s="347"/>
      <c r="B80" s="205"/>
      <c r="C80" s="373"/>
      <c r="D80" s="279"/>
      <c r="E80" s="205"/>
      <c r="F80" s="373"/>
      <c r="G80" s="373"/>
      <c r="H80" s="357" t="str">
        <f t="shared" si="6"/>
        <v>не нужно</v>
      </c>
      <c r="I80" s="386" t="s">
        <v>174</v>
      </c>
      <c r="J80" s="387"/>
      <c r="K80" s="53"/>
      <c r="L80" s="288">
        <v>43813</v>
      </c>
      <c r="M80" s="44" t="s">
        <v>200</v>
      </c>
      <c r="P80" s="351">
        <v>92</v>
      </c>
      <c r="Q80" s="240"/>
      <c r="R80" s="240"/>
      <c r="S80" s="1"/>
      <c r="T80" s="1"/>
      <c r="U80" s="1"/>
      <c r="V80" s="1"/>
      <c r="W80" s="1"/>
    </row>
    <row r="81" spans="1:23" x14ac:dyDescent="0.25">
      <c r="A81" s="347"/>
      <c r="B81" s="205"/>
      <c r="C81" s="373"/>
      <c r="D81" s="279"/>
      <c r="E81" s="205"/>
      <c r="F81" s="373"/>
      <c r="G81" s="373"/>
      <c r="H81" s="357" t="str">
        <f t="shared" si="6"/>
        <v>оплачено</v>
      </c>
      <c r="I81" s="386" t="s">
        <v>176</v>
      </c>
      <c r="J81" s="387"/>
      <c r="K81" s="53">
        <v>286.97000000000003</v>
      </c>
      <c r="L81" s="288">
        <v>43819</v>
      </c>
      <c r="M81" s="44" t="s">
        <v>200</v>
      </c>
      <c r="P81" s="351">
        <v>95</v>
      </c>
      <c r="Q81" s="240"/>
      <c r="R81" s="240"/>
      <c r="S81" s="1"/>
      <c r="T81" s="288"/>
      <c r="U81" s="1"/>
      <c r="V81" s="1"/>
      <c r="W81" s="1"/>
    </row>
    <row r="82" spans="1:23" x14ac:dyDescent="0.25">
      <c r="A82" s="347"/>
      <c r="B82" s="205"/>
      <c r="C82" s="373"/>
      <c r="D82" s="279"/>
      <c r="E82" s="238"/>
      <c r="F82" s="373"/>
      <c r="G82" s="373"/>
      <c r="H82" s="357" t="str">
        <f t="shared" si="6"/>
        <v>оплачено</v>
      </c>
      <c r="I82" s="678" t="s">
        <v>81</v>
      </c>
      <c r="J82" s="679"/>
      <c r="K82" s="53">
        <v>386.79</v>
      </c>
      <c r="L82" s="288" t="s">
        <v>206</v>
      </c>
      <c r="M82" s="44" t="s">
        <v>200</v>
      </c>
      <c r="P82" s="369">
        <v>872</v>
      </c>
      <c r="Q82" s="217"/>
      <c r="R82" s="217"/>
      <c r="S82" s="1"/>
      <c r="T82" s="288"/>
      <c r="U82" s="373"/>
      <c r="V82" s="1"/>
      <c r="W82" s="1"/>
    </row>
    <row r="83" spans="1:23" x14ac:dyDescent="0.25">
      <c r="A83" s="347"/>
      <c r="B83" s="205"/>
      <c r="C83" s="373"/>
      <c r="D83" s="279"/>
      <c r="E83" s="238"/>
      <c r="F83" s="373"/>
      <c r="G83" s="373"/>
      <c r="H83" s="357" t="str">
        <f t="shared" si="6"/>
        <v>оплачено</v>
      </c>
      <c r="I83" s="678" t="s">
        <v>53</v>
      </c>
      <c r="J83" s="679"/>
      <c r="K83" s="477">
        <v>10</v>
      </c>
      <c r="L83" s="288" t="s">
        <v>182</v>
      </c>
      <c r="M83" s="44"/>
      <c r="P83" s="369">
        <v>851</v>
      </c>
      <c r="Q83" s="217"/>
      <c r="R83" s="217"/>
      <c r="S83" s="1"/>
      <c r="T83" s="288"/>
      <c r="U83" s="373"/>
      <c r="V83" s="1"/>
      <c r="W83" s="1"/>
    </row>
    <row r="84" spans="1:23" x14ac:dyDescent="0.25">
      <c r="A84" s="347"/>
      <c r="B84" s="205"/>
      <c r="C84" s="373"/>
      <c r="D84" s="279"/>
      <c r="E84" s="238"/>
      <c r="F84" s="373"/>
      <c r="G84" s="373"/>
      <c r="H84" s="357" t="str">
        <f t="shared" si="6"/>
        <v>оплачено</v>
      </c>
      <c r="I84" s="677" t="s">
        <v>61</v>
      </c>
      <c r="J84" s="677"/>
      <c r="K84" s="53">
        <v>199.36</v>
      </c>
      <c r="L84" s="288">
        <v>43819</v>
      </c>
      <c r="M84" s="44" t="s">
        <v>200</v>
      </c>
      <c r="P84" s="369">
        <v>299</v>
      </c>
      <c r="Q84" s="240"/>
      <c r="R84" s="240"/>
      <c r="S84" s="373"/>
      <c r="T84" s="288"/>
      <c r="U84" s="1"/>
      <c r="V84" s="1"/>
      <c r="W84" s="1"/>
    </row>
    <row r="85" spans="1:23" ht="15.75" thickBot="1" x14ac:dyDescent="0.3">
      <c r="A85" s="348"/>
      <c r="B85" s="337"/>
      <c r="C85" s="338"/>
      <c r="D85" s="349"/>
      <c r="E85" s="337"/>
      <c r="F85" s="338"/>
      <c r="G85" s="338"/>
      <c r="H85" s="353"/>
      <c r="I85" s="368" t="s">
        <v>179</v>
      </c>
      <c r="J85" s="368">
        <f>SUM(K74:K84)</f>
        <v>987.00000000000011</v>
      </c>
      <c r="K85" s="730" t="s">
        <v>180</v>
      </c>
      <c r="L85" s="730"/>
      <c r="M85" s="367">
        <v>0</v>
      </c>
      <c r="P85" s="369">
        <v>324</v>
      </c>
      <c r="Q85" s="217"/>
      <c r="R85" s="217"/>
      <c r="S85" s="373"/>
      <c r="T85" s="288"/>
      <c r="U85" s="1"/>
      <c r="V85" s="1"/>
      <c r="W85" s="1"/>
    </row>
    <row r="86" spans="1:23" ht="15.75" thickTop="1" x14ac:dyDescent="0.25">
      <c r="C86" s="738" t="s">
        <v>169</v>
      </c>
      <c r="D86" s="738"/>
      <c r="P86" s="369">
        <v>274</v>
      </c>
      <c r="Q86" s="217"/>
      <c r="R86" s="217"/>
      <c r="S86" s="373"/>
      <c r="T86" s="288"/>
      <c r="U86" s="1"/>
      <c r="V86" s="1"/>
      <c r="W86" s="1"/>
    </row>
    <row r="87" spans="1:23" x14ac:dyDescent="0.25">
      <c r="C87" s="465">
        <v>43802</v>
      </c>
      <c r="D87" s="35">
        <f>28.5+235.65</f>
        <v>264.14999999999998</v>
      </c>
      <c r="P87" s="369">
        <v>284</v>
      </c>
      <c r="Q87" s="1"/>
      <c r="R87" s="1"/>
      <c r="S87" s="1"/>
      <c r="T87" s="1"/>
      <c r="U87" s="1"/>
      <c r="V87" s="1"/>
      <c r="W87" s="1"/>
    </row>
    <row r="88" spans="1:23" x14ac:dyDescent="0.25">
      <c r="C88" s="465">
        <v>43803</v>
      </c>
      <c r="D88" s="35">
        <f>119+31.6</f>
        <v>150.6</v>
      </c>
      <c r="P88" s="369">
        <v>230</v>
      </c>
      <c r="Q88" s="1"/>
      <c r="R88" s="1"/>
      <c r="S88" s="1"/>
      <c r="T88" s="1"/>
      <c r="U88" s="1"/>
      <c r="V88" s="1"/>
      <c r="W88" s="1"/>
    </row>
    <row r="89" spans="1:23" x14ac:dyDescent="0.25">
      <c r="C89" s="465">
        <v>43804</v>
      </c>
      <c r="D89" s="35">
        <f>56+105.65</f>
        <v>161.65</v>
      </c>
      <c r="E89" s="87"/>
      <c r="P89" s="369">
        <v>105</v>
      </c>
      <c r="Q89" s="1"/>
      <c r="R89" s="1"/>
      <c r="S89" s="1"/>
      <c r="T89" s="1"/>
      <c r="U89" s="1"/>
      <c r="V89" s="1"/>
      <c r="W89" s="1"/>
    </row>
    <row r="90" spans="1:23" x14ac:dyDescent="0.25">
      <c r="C90" s="465">
        <v>43805</v>
      </c>
      <c r="D90" s="35">
        <v>38.5</v>
      </c>
      <c r="P90" s="369">
        <v>135</v>
      </c>
      <c r="Q90" s="1"/>
      <c r="R90" s="1"/>
      <c r="S90" s="1"/>
      <c r="T90" s="1"/>
      <c r="U90" s="1"/>
      <c r="V90" s="1"/>
      <c r="W90" s="1"/>
    </row>
    <row r="91" spans="1:23" x14ac:dyDescent="0.25">
      <c r="C91" s="465">
        <v>43806</v>
      </c>
      <c r="D91" s="35">
        <v>106</v>
      </c>
      <c r="P91" s="369">
        <v>36</v>
      </c>
      <c r="Q91" s="1"/>
      <c r="R91" s="1"/>
      <c r="S91" s="1"/>
      <c r="T91" s="1"/>
      <c r="U91" s="1"/>
      <c r="V91" s="1"/>
      <c r="W91" s="1"/>
    </row>
    <row r="92" spans="1:23" x14ac:dyDescent="0.25">
      <c r="C92" s="465">
        <v>43807</v>
      </c>
      <c r="D92" s="35">
        <v>90.5</v>
      </c>
      <c r="P92" s="369">
        <v>1045</v>
      </c>
      <c r="Q92" s="1"/>
      <c r="R92" s="1"/>
      <c r="S92" s="1"/>
      <c r="T92" s="1"/>
      <c r="U92" s="1"/>
      <c r="V92" s="1"/>
      <c r="W92" s="1"/>
    </row>
    <row r="93" spans="1:23" x14ac:dyDescent="0.25">
      <c r="C93" s="465">
        <v>43808</v>
      </c>
      <c r="P93" s="369">
        <v>295</v>
      </c>
    </row>
    <row r="94" spans="1:23" x14ac:dyDescent="0.25">
      <c r="C94" s="465">
        <v>43809</v>
      </c>
      <c r="D94" s="35">
        <v>264.60000000000002</v>
      </c>
      <c r="P94" s="369">
        <v>348</v>
      </c>
    </row>
    <row r="95" spans="1:23" x14ac:dyDescent="0.25">
      <c r="C95" s="465">
        <v>43810</v>
      </c>
      <c r="D95" s="35">
        <v>81.5</v>
      </c>
      <c r="P95" s="369">
        <v>176</v>
      </c>
    </row>
    <row r="96" spans="1:23" x14ac:dyDescent="0.25">
      <c r="C96" s="465">
        <v>43811</v>
      </c>
      <c r="D96" s="35">
        <v>107.35</v>
      </c>
      <c r="P96" s="369">
        <v>43.5</v>
      </c>
    </row>
    <row r="97" spans="3:16" x14ac:dyDescent="0.25">
      <c r="C97" s="465">
        <v>43812</v>
      </c>
      <c r="D97" s="35">
        <v>146</v>
      </c>
      <c r="P97" s="369">
        <v>18</v>
      </c>
    </row>
    <row r="98" spans="3:16" x14ac:dyDescent="0.25">
      <c r="C98" s="465">
        <v>43813</v>
      </c>
      <c r="D98" s="35">
        <v>93.5</v>
      </c>
      <c r="P98" s="8">
        <f>SUM(P49:P97)</f>
        <v>33007.5</v>
      </c>
    </row>
    <row r="99" spans="3:16" x14ac:dyDescent="0.25">
      <c r="C99" s="465">
        <v>43814</v>
      </c>
      <c r="D99" s="35">
        <v>68.3</v>
      </c>
    </row>
    <row r="100" spans="3:16" x14ac:dyDescent="0.25">
      <c r="C100" s="465">
        <v>43815</v>
      </c>
    </row>
    <row r="101" spans="3:16" x14ac:dyDescent="0.25">
      <c r="C101" s="465">
        <v>43816</v>
      </c>
      <c r="D101" s="35">
        <v>156.1</v>
      </c>
    </row>
    <row r="102" spans="3:16" x14ac:dyDescent="0.25">
      <c r="C102" s="465">
        <v>43817</v>
      </c>
      <c r="D102" s="35">
        <v>172</v>
      </c>
    </row>
    <row r="103" spans="3:16" x14ac:dyDescent="0.25">
      <c r="C103" s="465">
        <v>43818</v>
      </c>
      <c r="D103" s="35">
        <v>60.8</v>
      </c>
    </row>
    <row r="104" spans="3:16" x14ac:dyDescent="0.25">
      <c r="C104" s="465">
        <v>43819</v>
      </c>
      <c r="D104" s="35">
        <v>114.7</v>
      </c>
    </row>
    <row r="105" spans="3:16" x14ac:dyDescent="0.25">
      <c r="C105" s="465">
        <v>43820</v>
      </c>
      <c r="D105" s="35">
        <v>89.9</v>
      </c>
    </row>
    <row r="106" spans="3:16" x14ac:dyDescent="0.25">
      <c r="C106" s="465">
        <v>43821</v>
      </c>
      <c r="D106" s="35">
        <v>360.9</v>
      </c>
    </row>
    <row r="107" spans="3:16" x14ac:dyDescent="0.25">
      <c r="C107" s="465">
        <v>43822</v>
      </c>
    </row>
    <row r="108" spans="3:16" x14ac:dyDescent="0.25">
      <c r="C108" s="465">
        <v>43823</v>
      </c>
      <c r="D108" s="35">
        <v>243.7</v>
      </c>
    </row>
    <row r="109" spans="3:16" x14ac:dyDescent="0.25">
      <c r="C109" s="465">
        <v>43824</v>
      </c>
      <c r="D109" s="35">
        <v>116.1</v>
      </c>
    </row>
    <row r="110" spans="3:16" x14ac:dyDescent="0.25">
      <c r="C110" s="465">
        <v>43825</v>
      </c>
      <c r="D110" s="35">
        <v>181.5</v>
      </c>
    </row>
    <row r="111" spans="3:16" x14ac:dyDescent="0.25">
      <c r="C111" s="465">
        <v>43826</v>
      </c>
      <c r="D111" s="35">
        <v>78.2</v>
      </c>
    </row>
    <row r="112" spans="3:16" x14ac:dyDescent="0.25">
      <c r="C112" s="465">
        <v>43827</v>
      </c>
      <c r="D112" s="35">
        <v>240.65</v>
      </c>
    </row>
    <row r="113" spans="3:4" x14ac:dyDescent="0.25">
      <c r="C113" s="465">
        <v>43828</v>
      </c>
      <c r="D113" s="35">
        <v>35.5</v>
      </c>
    </row>
    <row r="114" spans="3:4" x14ac:dyDescent="0.25">
      <c r="C114" s="465">
        <v>43829</v>
      </c>
      <c r="D114" s="35">
        <v>79.3</v>
      </c>
    </row>
    <row r="115" spans="3:4" x14ac:dyDescent="0.25">
      <c r="C115" s="465">
        <v>43830</v>
      </c>
    </row>
    <row r="116" spans="3:4" x14ac:dyDescent="0.25">
      <c r="D116" s="8">
        <f>SUM(D87:D115)</f>
        <v>3501.9999999999995</v>
      </c>
    </row>
  </sheetData>
  <mergeCells count="47">
    <mergeCell ref="K41:L41"/>
    <mergeCell ref="I32:J32"/>
    <mergeCell ref="I33:J33"/>
    <mergeCell ref="I34:J34"/>
    <mergeCell ref="A45:G45"/>
    <mergeCell ref="I35:J35"/>
    <mergeCell ref="I38:J38"/>
    <mergeCell ref="I39:J39"/>
    <mergeCell ref="I40:J40"/>
    <mergeCell ref="B43:K44"/>
    <mergeCell ref="H42:K42"/>
    <mergeCell ref="I82:J82"/>
    <mergeCell ref="I83:J83"/>
    <mergeCell ref="H72:H73"/>
    <mergeCell ref="I72:K73"/>
    <mergeCell ref="L72:M73"/>
    <mergeCell ref="M64:M65"/>
    <mergeCell ref="H45:M45"/>
    <mergeCell ref="I77:J77"/>
    <mergeCell ref="I78:J78"/>
    <mergeCell ref="I79:J79"/>
    <mergeCell ref="C86:D86"/>
    <mergeCell ref="A1:G1"/>
    <mergeCell ref="H28:H29"/>
    <mergeCell ref="I28:K29"/>
    <mergeCell ref="L28:M29"/>
    <mergeCell ref="I30:J30"/>
    <mergeCell ref="I31:J31"/>
    <mergeCell ref="H64:H65"/>
    <mergeCell ref="I64:I65"/>
    <mergeCell ref="J64:K64"/>
    <mergeCell ref="I74:J74"/>
    <mergeCell ref="I75:J75"/>
    <mergeCell ref="K85:L85"/>
    <mergeCell ref="I84:J84"/>
    <mergeCell ref="I76:J76"/>
    <mergeCell ref="L64:L65"/>
    <mergeCell ref="O1:P1"/>
    <mergeCell ref="H20:H21"/>
    <mergeCell ref="I20:I21"/>
    <mergeCell ref="J20:K20"/>
    <mergeCell ref="L20:L21"/>
    <mergeCell ref="M20:M21"/>
    <mergeCell ref="H2:I2"/>
    <mergeCell ref="H1:M1"/>
    <mergeCell ref="H3:I3"/>
    <mergeCell ref="H4:I4"/>
  </mergeCells>
  <pageMargins left="0.7" right="0.7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zoomScaleNormal="100" zoomScaleSheetLayoutView="70" zoomScalePageLayoutView="70" workbookViewId="0">
      <pane xSplit="1" ySplit="1" topLeftCell="B29" activePane="bottomRight" state="frozen"/>
      <selection pane="topRight" activeCell="B1" sqref="B1"/>
      <selection pane="bottomLeft" activeCell="A4" sqref="A4"/>
      <selection pane="bottomRight" activeCell="L23" sqref="L23"/>
    </sheetView>
  </sheetViews>
  <sheetFormatPr defaultColWidth="9.140625" defaultRowHeight="15" x14ac:dyDescent="0.25"/>
  <cols>
    <col min="1" max="1" width="6.42578125" style="35" customWidth="1"/>
    <col min="2" max="2" width="5.5703125" style="35" customWidth="1"/>
    <col min="3" max="3" width="21.42578125" style="35" customWidth="1"/>
    <col min="4" max="4" width="8.28515625" style="35" customWidth="1"/>
    <col min="5" max="5" width="6.7109375" style="35" customWidth="1"/>
    <col min="6" max="6" width="12.28515625" style="35" customWidth="1"/>
    <col min="7" max="7" width="12.42578125" style="35" customWidth="1"/>
    <col min="8" max="11" width="10.85546875" style="35" customWidth="1"/>
    <col min="12" max="12" width="9.140625" style="35" customWidth="1"/>
    <col min="13" max="14" width="9.140625" style="35"/>
    <col min="15" max="15" width="10" style="35" customWidth="1"/>
    <col min="16" max="16384" width="9.140625" style="35"/>
  </cols>
  <sheetData>
    <row r="1" spans="1:15" ht="13.5" customHeight="1" x14ac:dyDescent="0.25">
      <c r="B1" s="14" t="s">
        <v>10</v>
      </c>
      <c r="C1" s="14" t="s">
        <v>2</v>
      </c>
      <c r="D1" s="14" t="s">
        <v>46</v>
      </c>
      <c r="E1" s="14" t="s">
        <v>1</v>
      </c>
      <c r="F1" s="14" t="s">
        <v>12</v>
      </c>
      <c r="G1" s="14" t="s">
        <v>184</v>
      </c>
      <c r="H1" s="15" t="s">
        <v>191</v>
      </c>
      <c r="I1" s="15"/>
      <c r="J1" s="489"/>
      <c r="K1" s="490"/>
      <c r="L1" s="490"/>
      <c r="M1" s="490"/>
      <c r="N1" s="490"/>
      <c r="O1" s="490"/>
    </row>
    <row r="2" spans="1:15" ht="11.1" customHeight="1" x14ac:dyDescent="0.25">
      <c r="B2" s="16">
        <f>IF(C2="","",WEEKDAY(C2,2))</f>
        <v>7</v>
      </c>
      <c r="C2" s="17">
        <v>43800</v>
      </c>
      <c r="D2" s="22"/>
      <c r="E2" s="22">
        <f>187.62+202.85</f>
        <v>390.47</v>
      </c>
      <c r="F2" s="232">
        <v>181.84</v>
      </c>
      <c r="G2" s="232"/>
      <c r="H2" s="86">
        <f>423.5+453.2</f>
        <v>876.7</v>
      </c>
      <c r="I2" s="114"/>
      <c r="J2" s="489"/>
      <c r="K2" s="491"/>
      <c r="L2" s="491"/>
      <c r="M2" s="490"/>
      <c r="N2" s="490"/>
      <c r="O2" s="490"/>
    </row>
    <row r="3" spans="1:15" ht="11.1" customHeight="1" x14ac:dyDescent="0.25">
      <c r="B3" s="16">
        <f t="shared" ref="B3:B32" si="0">IF(C3="","",WEEKDAY(C3,2))</f>
        <v>1</v>
      </c>
      <c r="C3" s="17">
        <v>43801</v>
      </c>
      <c r="D3" s="22"/>
      <c r="E3" s="22">
        <v>798.8</v>
      </c>
      <c r="F3" s="232">
        <v>152.6</v>
      </c>
      <c r="G3" s="232"/>
      <c r="H3" s="232"/>
      <c r="I3" s="311"/>
      <c r="J3" s="492"/>
      <c r="K3" s="491"/>
      <c r="L3" s="491"/>
      <c r="M3" s="490"/>
      <c r="N3" s="490"/>
      <c r="O3" s="490"/>
    </row>
    <row r="4" spans="1:15" ht="11.1" customHeight="1" x14ac:dyDescent="0.25">
      <c r="B4" s="16">
        <f t="shared" si="0"/>
        <v>2</v>
      </c>
      <c r="C4" s="17">
        <v>43802</v>
      </c>
      <c r="D4" s="22">
        <v>574</v>
      </c>
      <c r="E4" s="22"/>
      <c r="F4" s="232"/>
      <c r="G4" s="232">
        <v>18.5</v>
      </c>
      <c r="H4" s="232"/>
      <c r="I4" s="311"/>
      <c r="J4" s="489"/>
      <c r="K4" s="491"/>
      <c r="L4" s="491"/>
      <c r="M4" s="490"/>
      <c r="N4" s="490"/>
      <c r="O4" s="490"/>
    </row>
    <row r="5" spans="1:15" ht="11.1" customHeight="1" x14ac:dyDescent="0.25">
      <c r="B5" s="16">
        <f t="shared" si="0"/>
        <v>3</v>
      </c>
      <c r="C5" s="17">
        <v>43803</v>
      </c>
      <c r="D5" s="22">
        <v>1175</v>
      </c>
      <c r="E5" s="22"/>
      <c r="F5" s="232"/>
      <c r="G5" s="232">
        <v>201.7</v>
      </c>
      <c r="H5" s="86"/>
      <c r="I5" s="114"/>
      <c r="J5" s="489"/>
      <c r="K5" s="491"/>
      <c r="L5" s="491"/>
      <c r="M5" s="490"/>
      <c r="N5" s="490"/>
      <c r="O5" s="490"/>
    </row>
    <row r="6" spans="1:15" ht="11.1" customHeight="1" x14ac:dyDescent="0.25">
      <c r="B6" s="16">
        <f t="shared" si="0"/>
        <v>4</v>
      </c>
      <c r="C6" s="17">
        <v>43804</v>
      </c>
      <c r="D6" s="22"/>
      <c r="E6" s="22">
        <v>663.2</v>
      </c>
      <c r="F6" s="232"/>
      <c r="G6" s="232">
        <v>83</v>
      </c>
      <c r="H6" s="86"/>
      <c r="I6" s="114"/>
      <c r="J6" s="489"/>
      <c r="K6" s="491"/>
      <c r="L6" s="491"/>
      <c r="M6" s="490"/>
      <c r="N6" s="490"/>
      <c r="O6" s="490"/>
    </row>
    <row r="7" spans="1:15" ht="11.1" customHeight="1" x14ac:dyDescent="0.25">
      <c r="B7" s="16">
        <f t="shared" si="0"/>
        <v>5</v>
      </c>
      <c r="C7" s="17">
        <v>43805</v>
      </c>
      <c r="D7" s="22"/>
      <c r="E7" s="22">
        <v>943.1</v>
      </c>
      <c r="F7" s="232">
        <v>105.65</v>
      </c>
      <c r="G7" s="232"/>
      <c r="H7" s="86"/>
      <c r="I7" s="114"/>
      <c r="J7" s="489"/>
      <c r="K7" s="491"/>
      <c r="L7" s="491"/>
      <c r="M7" s="490"/>
      <c r="N7" s="490"/>
      <c r="O7" s="490"/>
    </row>
    <row r="8" spans="1:15" ht="11.1" customHeight="1" x14ac:dyDescent="0.25">
      <c r="B8" s="16">
        <f t="shared" si="0"/>
        <v>6</v>
      </c>
      <c r="C8" s="17">
        <v>43806</v>
      </c>
      <c r="D8" s="22">
        <v>1016.9</v>
      </c>
      <c r="E8" s="22"/>
      <c r="F8" s="232">
        <v>74</v>
      </c>
      <c r="G8" s="232">
        <v>78.5</v>
      </c>
      <c r="H8" s="86" t="s">
        <v>235</v>
      </c>
      <c r="I8" s="114">
        <f>G8+F8</f>
        <v>152.5</v>
      </c>
      <c r="J8" s="493" t="s">
        <v>230</v>
      </c>
      <c r="K8" s="491"/>
      <c r="L8" s="491" t="s">
        <v>231</v>
      </c>
      <c r="M8" s="490" t="s">
        <v>232</v>
      </c>
      <c r="N8" s="490"/>
      <c r="O8" s="490"/>
    </row>
    <row r="9" spans="1:15" ht="11.1" customHeight="1" x14ac:dyDescent="0.25">
      <c r="B9" s="16">
        <f>IF(C9="","",WEEKDAY(C9,2))</f>
        <v>7</v>
      </c>
      <c r="C9" s="17">
        <v>43807</v>
      </c>
      <c r="D9" s="22">
        <v>843.9</v>
      </c>
      <c r="E9" s="22"/>
      <c r="F9" s="232"/>
      <c r="G9" s="232">
        <v>163.69999999999999</v>
      </c>
      <c r="H9" s="18"/>
      <c r="I9" s="76"/>
      <c r="J9" s="494"/>
      <c r="K9" s="491"/>
      <c r="L9" s="491"/>
      <c r="M9" s="490"/>
      <c r="N9" s="490"/>
      <c r="O9" s="490"/>
    </row>
    <row r="10" spans="1:15" ht="11.1" customHeight="1" x14ac:dyDescent="0.25">
      <c r="B10" s="16">
        <f t="shared" si="0"/>
        <v>1</v>
      </c>
      <c r="C10" s="17">
        <v>43808</v>
      </c>
      <c r="D10" s="22"/>
      <c r="E10" s="22">
        <v>950.6</v>
      </c>
      <c r="F10" s="232">
        <v>0</v>
      </c>
      <c r="G10" s="232">
        <v>49</v>
      </c>
      <c r="H10" s="448" t="s">
        <v>236</v>
      </c>
      <c r="I10" s="487"/>
      <c r="J10" s="495" t="s">
        <v>233</v>
      </c>
      <c r="K10" s="491" t="s">
        <v>234</v>
      </c>
      <c r="L10" s="491"/>
      <c r="M10" s="490"/>
      <c r="N10" s="490"/>
      <c r="O10" s="490"/>
    </row>
    <row r="11" spans="1:15" ht="11.1" customHeight="1" x14ac:dyDescent="0.25">
      <c r="B11" s="16">
        <f t="shared" si="0"/>
        <v>2</v>
      </c>
      <c r="C11" s="17">
        <v>43809</v>
      </c>
      <c r="D11" s="22"/>
      <c r="E11" s="22">
        <v>644.9</v>
      </c>
      <c r="F11" s="232"/>
      <c r="G11" s="232">
        <v>210.6</v>
      </c>
      <c r="H11" s="232"/>
      <c r="I11" s="311"/>
      <c r="J11" s="492"/>
      <c r="K11" s="491"/>
      <c r="L11" s="491"/>
      <c r="M11" s="490"/>
      <c r="N11" s="490"/>
      <c r="O11" s="490"/>
    </row>
    <row r="12" spans="1:15" ht="11.1" customHeight="1" x14ac:dyDescent="0.25">
      <c r="B12" s="16">
        <f t="shared" si="0"/>
        <v>3</v>
      </c>
      <c r="C12" s="17">
        <v>43810</v>
      </c>
      <c r="D12" s="22">
        <v>403.35</v>
      </c>
      <c r="E12" s="22"/>
      <c r="F12" s="232">
        <v>286</v>
      </c>
      <c r="G12" s="232"/>
      <c r="H12" s="232"/>
      <c r="I12" s="311"/>
      <c r="J12" s="496"/>
      <c r="K12" s="491"/>
      <c r="L12" s="491"/>
      <c r="M12" s="490"/>
      <c r="N12" s="490"/>
      <c r="O12" s="490"/>
    </row>
    <row r="13" spans="1:15" ht="11.1" customHeight="1" x14ac:dyDescent="0.25">
      <c r="B13" s="16">
        <f t="shared" si="0"/>
        <v>4</v>
      </c>
      <c r="C13" s="17">
        <v>43811</v>
      </c>
      <c r="D13" s="22">
        <v>686.1</v>
      </c>
      <c r="E13" s="22"/>
      <c r="F13" s="232">
        <v>169.8</v>
      </c>
      <c r="G13" s="232"/>
      <c r="H13" s="232"/>
      <c r="I13" s="311"/>
      <c r="J13" s="497"/>
      <c r="K13" s="491"/>
      <c r="L13" s="491"/>
      <c r="M13" s="490"/>
      <c r="N13" s="490"/>
      <c r="O13" s="490"/>
    </row>
    <row r="14" spans="1:15" ht="11.1" customHeight="1" x14ac:dyDescent="0.25">
      <c r="B14" s="16">
        <f t="shared" si="0"/>
        <v>5</v>
      </c>
      <c r="C14" s="17">
        <v>43812</v>
      </c>
      <c r="D14" s="22"/>
      <c r="E14" s="22">
        <v>1005.9</v>
      </c>
      <c r="F14" s="232"/>
      <c r="G14" s="232">
        <v>287.64999999999998</v>
      </c>
      <c r="H14" s="232"/>
      <c r="I14" s="311"/>
      <c r="J14" s="497"/>
      <c r="K14" s="491"/>
      <c r="L14" s="491"/>
      <c r="M14" s="490"/>
      <c r="N14" s="490"/>
      <c r="O14" s="490"/>
    </row>
    <row r="15" spans="1:15" ht="11.25" customHeight="1" x14ac:dyDescent="0.25">
      <c r="A15" s="87"/>
      <c r="B15" s="16">
        <f t="shared" si="0"/>
        <v>6</v>
      </c>
      <c r="C15" s="17">
        <v>43813</v>
      </c>
      <c r="D15" s="22" t="s">
        <v>237</v>
      </c>
      <c r="E15" s="22">
        <v>1173.45</v>
      </c>
      <c r="F15" s="232"/>
      <c r="G15" s="232">
        <v>241.9</v>
      </c>
      <c r="H15" s="14"/>
      <c r="I15" s="117"/>
      <c r="J15" s="491"/>
      <c r="K15" s="491"/>
      <c r="L15" s="491"/>
      <c r="M15" s="490"/>
      <c r="N15" s="490"/>
      <c r="O15" s="490"/>
    </row>
    <row r="16" spans="1:15" ht="12.75" customHeight="1" x14ac:dyDescent="0.25">
      <c r="B16" s="16">
        <f t="shared" si="0"/>
        <v>7</v>
      </c>
      <c r="C16" s="17">
        <v>43814</v>
      </c>
      <c r="D16" s="22">
        <v>1053.2</v>
      </c>
      <c r="E16" s="22"/>
      <c r="F16" s="232"/>
      <c r="G16" s="232">
        <v>477.7</v>
      </c>
      <c r="H16" s="14"/>
      <c r="I16" s="117"/>
      <c r="J16" s="491"/>
      <c r="K16" s="491"/>
      <c r="L16" s="491"/>
      <c r="M16" s="490"/>
      <c r="N16" s="490"/>
      <c r="O16" s="490"/>
    </row>
    <row r="17" spans="1:19" ht="11.1" customHeight="1" x14ac:dyDescent="0.25">
      <c r="B17" s="16">
        <f t="shared" si="0"/>
        <v>1</v>
      </c>
      <c r="C17" s="17">
        <v>43815</v>
      </c>
      <c r="D17" s="22">
        <f>1178.2+5</f>
        <v>1183.2</v>
      </c>
      <c r="E17" s="22"/>
      <c r="F17" s="232">
        <v>192.7</v>
      </c>
      <c r="G17" s="232"/>
      <c r="H17" s="14"/>
      <c r="I17" s="117"/>
      <c r="J17" s="491"/>
      <c r="K17" s="491"/>
      <c r="L17" s="491"/>
      <c r="M17" s="490"/>
      <c r="N17" s="490"/>
      <c r="O17" s="490"/>
    </row>
    <row r="18" spans="1:19" ht="11.1" customHeight="1" x14ac:dyDescent="0.25">
      <c r="B18" s="16">
        <f t="shared" si="0"/>
        <v>2</v>
      </c>
      <c r="C18" s="17">
        <v>43816</v>
      </c>
      <c r="D18" s="22"/>
      <c r="E18" s="22">
        <v>1052.57</v>
      </c>
      <c r="F18" s="232">
        <v>333.5</v>
      </c>
      <c r="G18" s="232"/>
      <c r="H18" s="14"/>
      <c r="I18" s="117"/>
      <c r="J18" s="491"/>
      <c r="K18" s="491"/>
      <c r="L18" s="491"/>
      <c r="M18" s="490"/>
      <c r="N18" s="490"/>
      <c r="O18" s="490"/>
    </row>
    <row r="19" spans="1:19" ht="11.1" customHeight="1" x14ac:dyDescent="0.25">
      <c r="B19" s="16">
        <f t="shared" si="0"/>
        <v>3</v>
      </c>
      <c r="C19" s="17">
        <v>43817</v>
      </c>
      <c r="D19" s="22"/>
      <c r="E19" s="22">
        <v>789.1</v>
      </c>
      <c r="F19" s="232"/>
      <c r="G19" s="232">
        <v>139.4</v>
      </c>
      <c r="H19" s="14"/>
      <c r="I19" s="117"/>
      <c r="J19" s="491"/>
      <c r="K19" s="491"/>
      <c r="L19" s="491"/>
      <c r="M19" s="490"/>
      <c r="N19" s="490"/>
      <c r="O19" s="490"/>
    </row>
    <row r="20" spans="1:19" s="87" customFormat="1" ht="11.1" customHeight="1" x14ac:dyDescent="0.25">
      <c r="A20" s="485" t="s">
        <v>225</v>
      </c>
      <c r="B20" s="481">
        <f t="shared" si="0"/>
        <v>4</v>
      </c>
      <c r="C20" s="482">
        <v>43818</v>
      </c>
      <c r="D20" s="23">
        <v>1490.25</v>
      </c>
      <c r="E20" s="22"/>
      <c r="F20" s="232"/>
      <c r="G20" s="232">
        <v>332</v>
      </c>
      <c r="H20" s="22"/>
      <c r="I20" s="488"/>
      <c r="J20" s="497"/>
      <c r="K20" s="497"/>
      <c r="L20" s="497"/>
      <c r="M20" s="492"/>
      <c r="N20" s="492"/>
      <c r="O20" s="492"/>
    </row>
    <row r="21" spans="1:19" ht="11.1" customHeight="1" x14ac:dyDescent="0.25">
      <c r="A21" s="87"/>
      <c r="B21" s="483">
        <f t="shared" si="0"/>
        <v>5</v>
      </c>
      <c r="C21" s="484">
        <v>43819</v>
      </c>
      <c r="D21" s="22">
        <v>1045.3</v>
      </c>
      <c r="E21" s="22"/>
      <c r="F21" s="232"/>
      <c r="G21" s="232">
        <v>249.5</v>
      </c>
      <c r="H21" s="14"/>
      <c r="I21" s="117"/>
      <c r="J21" s="491"/>
      <c r="K21" s="490"/>
      <c r="L21" s="491"/>
      <c r="M21" s="490"/>
      <c r="N21" s="490"/>
      <c r="O21" s="490"/>
    </row>
    <row r="22" spans="1:19" ht="11.1" customHeight="1" x14ac:dyDescent="0.25">
      <c r="A22" s="87"/>
      <c r="B22" s="483">
        <f>IF(C22="","",WEEKDAY(C22,2))</f>
        <v>6</v>
      </c>
      <c r="C22" s="484">
        <v>43820</v>
      </c>
      <c r="D22" s="22"/>
      <c r="E22" s="22">
        <v>927.6</v>
      </c>
      <c r="F22" s="232">
        <v>507.1</v>
      </c>
      <c r="G22" s="473"/>
      <c r="H22" s="14"/>
      <c r="I22" s="117"/>
      <c r="J22" s="491"/>
      <c r="K22" s="491"/>
      <c r="L22" s="491"/>
      <c r="M22" s="490"/>
      <c r="N22" s="490"/>
      <c r="O22" s="490"/>
    </row>
    <row r="23" spans="1:19" ht="11.1" customHeight="1" x14ac:dyDescent="0.25">
      <c r="A23" s="87"/>
      <c r="B23" s="483">
        <f t="shared" si="0"/>
        <v>7</v>
      </c>
      <c r="C23" s="484">
        <v>43821</v>
      </c>
      <c r="D23" s="22"/>
      <c r="E23" s="22">
        <v>1124.3</v>
      </c>
      <c r="F23" s="232">
        <v>262.60000000000002</v>
      </c>
      <c r="G23" s="232"/>
      <c r="H23" s="5"/>
      <c r="I23" s="12"/>
      <c r="J23" s="491"/>
      <c r="K23" s="491"/>
      <c r="L23" s="491"/>
      <c r="M23" s="490"/>
      <c r="N23" s="490"/>
      <c r="O23" s="490"/>
    </row>
    <row r="24" spans="1:19" ht="10.5" customHeight="1" x14ac:dyDescent="0.25">
      <c r="A24" s="87"/>
      <c r="B24" s="483">
        <f t="shared" si="0"/>
        <v>1</v>
      </c>
      <c r="C24" s="484">
        <v>43822</v>
      </c>
      <c r="D24" s="22">
        <v>597.4</v>
      </c>
      <c r="E24" s="22"/>
      <c r="F24" s="232">
        <v>122.6</v>
      </c>
      <c r="G24" s="232"/>
      <c r="H24" s="14"/>
      <c r="I24" s="117"/>
      <c r="J24" s="490"/>
      <c r="K24" s="498"/>
      <c r="L24" s="491"/>
      <c r="M24" s="490"/>
      <c r="N24" s="490"/>
      <c r="O24" s="490"/>
    </row>
    <row r="25" spans="1:19" ht="11.1" customHeight="1" x14ac:dyDescent="0.25">
      <c r="A25" s="87"/>
      <c r="B25" s="483">
        <f t="shared" si="0"/>
        <v>2</v>
      </c>
      <c r="C25" s="484">
        <v>43823</v>
      </c>
      <c r="D25" s="22">
        <f>481.2+367.85+5.5</f>
        <v>854.55</v>
      </c>
      <c r="E25" s="22"/>
      <c r="F25" s="232"/>
      <c r="G25" s="232">
        <v>231.3</v>
      </c>
      <c r="H25" s="14"/>
      <c r="I25" s="117"/>
      <c r="J25" s="491"/>
      <c r="K25" s="491"/>
      <c r="L25" s="491"/>
      <c r="M25" s="490"/>
      <c r="N25" s="490"/>
      <c r="O25" s="499"/>
    </row>
    <row r="26" spans="1:19" ht="11.1" customHeight="1" x14ac:dyDescent="0.25">
      <c r="A26" s="87"/>
      <c r="B26" s="483">
        <f t="shared" si="0"/>
        <v>3</v>
      </c>
      <c r="C26" s="484">
        <v>43824</v>
      </c>
      <c r="D26" s="22"/>
      <c r="E26" s="22">
        <v>1863.2</v>
      </c>
      <c r="F26" s="232"/>
      <c r="G26" s="313">
        <v>457.1</v>
      </c>
      <c r="H26" s="14"/>
      <c r="I26" s="117"/>
      <c r="J26" s="491"/>
      <c r="K26" s="491"/>
      <c r="L26" s="491"/>
      <c r="M26" s="490"/>
      <c r="N26" s="490"/>
      <c r="O26" s="499"/>
    </row>
    <row r="27" spans="1:19" ht="11.1" customHeight="1" x14ac:dyDescent="0.25">
      <c r="A27" s="87"/>
      <c r="B27" s="483">
        <f t="shared" si="0"/>
        <v>4</v>
      </c>
      <c r="C27" s="484">
        <v>43825</v>
      </c>
      <c r="D27" s="22"/>
      <c r="E27" s="22">
        <v>887</v>
      </c>
      <c r="F27" s="232">
        <v>479.8</v>
      </c>
      <c r="G27" s="384"/>
      <c r="H27" s="232"/>
      <c r="I27" s="311"/>
      <c r="J27" s="491"/>
      <c r="K27" s="496"/>
      <c r="L27" s="496"/>
      <c r="M27" s="500"/>
      <c r="N27" s="500"/>
      <c r="O27" s="500"/>
      <c r="P27" s="373"/>
      <c r="Q27" s="373"/>
      <c r="R27" s="373"/>
      <c r="S27" s="373"/>
    </row>
    <row r="28" spans="1:19" s="87" customFormat="1" ht="10.5" customHeight="1" x14ac:dyDescent="0.25">
      <c r="A28" s="519" t="s">
        <v>225</v>
      </c>
      <c r="B28" s="483">
        <f t="shared" si="0"/>
        <v>5</v>
      </c>
      <c r="C28" s="484">
        <v>43826</v>
      </c>
      <c r="D28" s="22">
        <v>1666.05</v>
      </c>
      <c r="E28" s="22"/>
      <c r="F28" s="232">
        <v>268.64</v>
      </c>
      <c r="G28" s="53"/>
      <c r="H28" s="232"/>
      <c r="I28" s="311"/>
      <c r="J28" s="497"/>
      <c r="K28" s="496"/>
      <c r="L28" s="496"/>
      <c r="M28" s="500"/>
      <c r="N28" s="500"/>
      <c r="O28" s="500"/>
      <c r="P28" s="373"/>
      <c r="Q28" s="373"/>
      <c r="R28" s="373"/>
      <c r="S28" s="373"/>
    </row>
    <row r="29" spans="1:19" s="87" customFormat="1" ht="11.1" customHeight="1" x14ac:dyDescent="0.25">
      <c r="B29" s="483">
        <f t="shared" si="0"/>
        <v>6</v>
      </c>
      <c r="C29" s="484">
        <v>43827</v>
      </c>
      <c r="D29" s="22">
        <v>1458.6</v>
      </c>
      <c r="E29" s="22"/>
      <c r="F29" s="232"/>
      <c r="G29" s="232">
        <v>255.6</v>
      </c>
      <c r="H29" s="232"/>
      <c r="I29" s="311"/>
      <c r="J29" s="497"/>
      <c r="K29" s="496"/>
      <c r="L29" s="496"/>
      <c r="M29" s="500"/>
      <c r="N29" s="500"/>
      <c r="O29" s="500"/>
      <c r="P29" s="373"/>
      <c r="Q29" s="373"/>
      <c r="R29" s="373"/>
      <c r="S29" s="373"/>
    </row>
    <row r="30" spans="1:19" s="87" customFormat="1" ht="11.1" customHeight="1" x14ac:dyDescent="0.25">
      <c r="B30" s="483">
        <f t="shared" si="0"/>
        <v>7</v>
      </c>
      <c r="C30" s="484">
        <v>43828</v>
      </c>
      <c r="D30" s="22"/>
      <c r="E30" s="22">
        <v>1030.5</v>
      </c>
      <c r="F30" s="232"/>
      <c r="G30" s="232">
        <v>181.5</v>
      </c>
      <c r="H30" s="232"/>
      <c r="I30" s="311"/>
      <c r="J30" s="497"/>
      <c r="K30" s="496"/>
      <c r="L30" s="496"/>
      <c r="M30" s="496"/>
      <c r="N30" s="500"/>
      <c r="O30" s="500"/>
      <c r="P30" s="373"/>
      <c r="Q30" s="373"/>
      <c r="R30" s="373"/>
      <c r="S30" s="373"/>
    </row>
    <row r="31" spans="1:19" s="87" customFormat="1" ht="11.1" customHeight="1" x14ac:dyDescent="0.25">
      <c r="A31" s="519" t="s">
        <v>225</v>
      </c>
      <c r="B31" s="483">
        <f t="shared" si="0"/>
        <v>1</v>
      </c>
      <c r="C31" s="484">
        <v>43829</v>
      </c>
      <c r="D31" s="22"/>
      <c r="E31" s="22">
        <v>1501.3</v>
      </c>
      <c r="F31" s="232"/>
      <c r="G31" s="232">
        <v>417.8</v>
      </c>
      <c r="H31" s="22"/>
      <c r="I31" s="488"/>
      <c r="J31" s="497"/>
      <c r="K31" s="501"/>
      <c r="L31" s="501"/>
      <c r="M31" s="501"/>
      <c r="N31" s="501"/>
      <c r="O31" s="501"/>
      <c r="P31" s="373"/>
      <c r="Q31" s="373"/>
      <c r="R31" s="373"/>
      <c r="S31" s="373"/>
    </row>
    <row r="32" spans="1:19" s="87" customFormat="1" ht="12" customHeight="1" x14ac:dyDescent="0.25">
      <c r="A32" s="519" t="s">
        <v>225</v>
      </c>
      <c r="B32" s="483">
        <f t="shared" si="0"/>
        <v>2</v>
      </c>
      <c r="C32" s="484">
        <v>43830</v>
      </c>
      <c r="D32" s="243">
        <v>984.2</v>
      </c>
      <c r="E32" s="243"/>
      <c r="F32" s="232"/>
      <c r="G32" s="232"/>
      <c r="H32" s="53">
        <v>416.41</v>
      </c>
      <c r="I32" s="373"/>
      <c r="J32" s="497"/>
      <c r="K32" s="501"/>
      <c r="L32" s="501"/>
      <c r="M32" s="501"/>
      <c r="N32" s="501"/>
      <c r="O32" s="501"/>
      <c r="P32" s="373"/>
      <c r="Q32" s="373"/>
      <c r="R32" s="373"/>
      <c r="S32" s="373"/>
    </row>
    <row r="33" spans="1:19" ht="12" customHeight="1" thickBot="1" x14ac:dyDescent="0.3">
      <c r="B33" s="21"/>
      <c r="C33" s="86" t="s">
        <v>229</v>
      </c>
      <c r="D33" s="86">
        <v>15</v>
      </c>
      <c r="E33" s="86">
        <f>COUNT(E2:E32)</f>
        <v>16</v>
      </c>
      <c r="F33" s="86">
        <f>COUNT(F2:F32)</f>
        <v>14</v>
      </c>
      <c r="G33" s="86">
        <f>COUNT(G2:G32)</f>
        <v>18</v>
      </c>
      <c r="J33" s="491"/>
      <c r="K33" s="501"/>
      <c r="L33" s="501"/>
      <c r="M33" s="501"/>
      <c r="N33" s="501"/>
      <c r="O33" s="501"/>
      <c r="P33" s="373"/>
      <c r="Q33" s="373"/>
      <c r="R33" s="373"/>
      <c r="S33" s="373"/>
    </row>
    <row r="34" spans="1:19" ht="12" customHeight="1" thickBot="1" x14ac:dyDescent="0.3">
      <c r="B34" s="21"/>
      <c r="C34" s="86" t="s">
        <v>228</v>
      </c>
      <c r="D34" s="86">
        <v>3</v>
      </c>
      <c r="E34" s="86">
        <v>1</v>
      </c>
      <c r="F34" s="86"/>
      <c r="G34" s="86">
        <v>1</v>
      </c>
      <c r="H34" s="1"/>
      <c r="I34" s="1"/>
      <c r="J34" s="12"/>
      <c r="K34" s="370"/>
      <c r="L34" s="110" t="s">
        <v>189</v>
      </c>
      <c r="M34" s="298" t="s">
        <v>190</v>
      </c>
      <c r="N34" s="474" t="s">
        <v>221</v>
      </c>
      <c r="O34" s="370"/>
      <c r="P34" s="373"/>
      <c r="Q34" s="373"/>
      <c r="R34" s="373"/>
      <c r="S34" s="373"/>
    </row>
    <row r="35" spans="1:19" ht="12" customHeight="1" thickBot="1" x14ac:dyDescent="0.3">
      <c r="B35" s="21"/>
      <c r="C35" s="514" t="s">
        <v>143</v>
      </c>
      <c r="D35" s="515"/>
      <c r="E35" s="515"/>
      <c r="F35" s="515">
        <v>2</v>
      </c>
      <c r="G35" s="515">
        <v>2</v>
      </c>
      <c r="H35" s="1"/>
      <c r="I35" s="1"/>
      <c r="J35" s="12"/>
      <c r="K35" s="370"/>
      <c r="L35" s="110"/>
      <c r="M35" s="298"/>
      <c r="N35" s="474"/>
      <c r="O35" s="370"/>
      <c r="P35" s="373"/>
      <c r="Q35" s="373"/>
      <c r="R35" s="373"/>
      <c r="S35" s="373"/>
    </row>
    <row r="36" spans="1:19" ht="12" customHeight="1" thickBot="1" x14ac:dyDescent="0.3">
      <c r="B36" s="21"/>
      <c r="C36" s="749" t="s">
        <v>240</v>
      </c>
      <c r="D36" s="750"/>
      <c r="E36" s="750"/>
      <c r="F36" s="750"/>
      <c r="G36" s="751"/>
      <c r="H36" s="1"/>
      <c r="I36" s="1"/>
      <c r="J36" s="12"/>
      <c r="K36" s="370"/>
      <c r="L36" s="110"/>
      <c r="M36" s="298"/>
      <c r="N36" s="474"/>
      <c r="O36" s="370"/>
      <c r="P36" s="373"/>
      <c r="Q36" s="373"/>
      <c r="R36" s="373"/>
      <c r="S36" s="373"/>
    </row>
    <row r="37" spans="1:19" ht="12" customHeight="1" thickBot="1" x14ac:dyDescent="0.3">
      <c r="B37" s="21"/>
      <c r="C37" s="752" t="s">
        <v>241</v>
      </c>
      <c r="D37" s="753"/>
      <c r="E37" s="753"/>
      <c r="F37" s="753"/>
      <c r="G37" s="754"/>
      <c r="H37" s="1"/>
      <c r="I37" s="1"/>
      <c r="J37" s="12"/>
      <c r="K37" s="370"/>
      <c r="L37" s="110"/>
      <c r="M37" s="298"/>
      <c r="N37" s="474"/>
      <c r="O37" s="370"/>
      <c r="P37" s="373"/>
      <c r="Q37" s="373"/>
      <c r="R37" s="373"/>
      <c r="S37" s="373"/>
    </row>
    <row r="38" spans="1:19" ht="12" customHeight="1" thickBot="1" x14ac:dyDescent="0.3">
      <c r="B38" s="21"/>
      <c r="C38" s="746" t="s">
        <v>239</v>
      </c>
      <c r="D38" s="747"/>
      <c r="E38" s="747"/>
      <c r="F38" s="747"/>
      <c r="G38" s="748"/>
      <c r="H38" s="1"/>
      <c r="I38" s="1">
        <f>3%*G31</f>
        <v>12.534000000000001</v>
      </c>
      <c r="J38" s="12"/>
      <c r="K38" s="370"/>
      <c r="L38" s="110"/>
      <c r="M38" s="298"/>
      <c r="N38" s="474"/>
      <c r="O38" s="370"/>
      <c r="P38" s="373"/>
      <c r="Q38" s="373"/>
      <c r="R38" s="373"/>
      <c r="S38" s="373"/>
    </row>
    <row r="39" spans="1:19" ht="12" customHeight="1" thickBot="1" x14ac:dyDescent="0.3">
      <c r="B39" s="21"/>
      <c r="C39" s="86" t="s">
        <v>13</v>
      </c>
      <c r="D39" s="244">
        <f>SUM(D2:D32)</f>
        <v>15031.999999999998</v>
      </c>
      <c r="E39" s="244">
        <f>SUM(E2:E32)</f>
        <v>15745.989999999998</v>
      </c>
      <c r="F39" s="244">
        <f>SUM(F2:F32)</f>
        <v>3136.83</v>
      </c>
      <c r="G39" s="244">
        <f>SUM(G2:G32)</f>
        <v>4076.4500000000007</v>
      </c>
      <c r="H39" s="12"/>
      <c r="I39" s="12"/>
      <c r="J39" s="12"/>
      <c r="K39" s="370"/>
      <c r="L39" s="502">
        <f>SUM(D2:E32)+H2</f>
        <v>31654.69</v>
      </c>
      <c r="M39" s="298">
        <f>SUM(F2:G31)+H32</f>
        <v>7629.6900000000023</v>
      </c>
      <c r="N39" s="475">
        <v>3146.55</v>
      </c>
      <c r="O39" s="370"/>
      <c r="P39" s="373"/>
      <c r="Q39" s="373"/>
      <c r="R39" s="373"/>
      <c r="S39" s="373"/>
    </row>
    <row r="40" spans="1:19" ht="12" customHeight="1" x14ac:dyDescent="0.25">
      <c r="B40" s="21"/>
      <c r="C40" s="86" t="s">
        <v>22</v>
      </c>
      <c r="D40" s="244">
        <v>10298.4</v>
      </c>
      <c r="E40" s="244">
        <v>12604.77</v>
      </c>
      <c r="F40" s="244">
        <f>SUM(F3:F33)</f>
        <v>2968.99</v>
      </c>
      <c r="G40" s="244">
        <v>3577.15</v>
      </c>
      <c r="H40" s="8"/>
      <c r="I40" s="8">
        <f>26.36+12.53+G42+G43+G45-G47</f>
        <v>171.19</v>
      </c>
      <c r="J40" s="8"/>
      <c r="K40" s="370"/>
      <c r="L40" s="370"/>
      <c r="M40" s="370"/>
      <c r="N40" s="370"/>
      <c r="O40" s="370"/>
      <c r="P40" s="373"/>
      <c r="Q40" s="373"/>
      <c r="R40" s="373"/>
      <c r="S40" s="373"/>
    </row>
    <row r="41" spans="1:19" ht="12.95" customHeight="1" x14ac:dyDescent="0.25">
      <c r="B41" s="31"/>
      <c r="C41" s="86" t="s">
        <v>5</v>
      </c>
      <c r="D41" s="89">
        <f>D39-D40</f>
        <v>4733.5999999999985</v>
      </c>
      <c r="E41" s="89">
        <f>E39-E40</f>
        <v>3141.2199999999975</v>
      </c>
      <c r="F41" s="89">
        <f>ABS(F39-F40)</f>
        <v>167.84000000000015</v>
      </c>
      <c r="G41" s="89">
        <f>ABS(G39-G40)</f>
        <v>499.30000000000064</v>
      </c>
      <c r="K41" s="370"/>
      <c r="L41" s="370"/>
      <c r="M41" s="370"/>
      <c r="N41" s="370"/>
      <c r="O41" s="370"/>
      <c r="P41" s="373"/>
      <c r="Q41" s="373"/>
      <c r="R41" s="373"/>
      <c r="S41" s="373"/>
    </row>
    <row r="42" spans="1:19" ht="12.95" customHeight="1" x14ac:dyDescent="0.25">
      <c r="B42" s="21"/>
      <c r="C42" s="86" t="s">
        <v>242</v>
      </c>
      <c r="D42" s="90">
        <f>ROUND(D41*1%,2)</f>
        <v>47.34</v>
      </c>
      <c r="E42" s="90">
        <f>ROUND(E41*1%,2)</f>
        <v>31.41</v>
      </c>
      <c r="F42" s="90">
        <f t="shared" ref="F42:G42" si="1">ROUND(F41*1%,2)</f>
        <v>1.68</v>
      </c>
      <c r="G42" s="516">
        <f t="shared" si="1"/>
        <v>4.99</v>
      </c>
      <c r="I42" s="8"/>
      <c r="J42" s="8"/>
      <c r="K42" s="147"/>
      <c r="L42" s="373"/>
      <c r="M42" s="373"/>
      <c r="N42" s="373"/>
      <c r="O42" s="373"/>
      <c r="P42" s="373"/>
      <c r="Q42" s="373"/>
      <c r="R42" s="373"/>
      <c r="S42" s="373"/>
    </row>
    <row r="43" spans="1:19" ht="12.95" customHeight="1" x14ac:dyDescent="0.25">
      <c r="B43" s="21"/>
      <c r="C43" s="86" t="s">
        <v>243</v>
      </c>
      <c r="D43" s="90">
        <f>ROUND(3%*D40,2)</f>
        <v>308.95</v>
      </c>
      <c r="E43" s="90">
        <f>ROUND(3%*E40,2)</f>
        <v>378.14</v>
      </c>
      <c r="F43" s="90">
        <f t="shared" ref="F43:G43" si="2">ROUND(3%*F40,2)</f>
        <v>89.07</v>
      </c>
      <c r="G43" s="516">
        <f t="shared" si="2"/>
        <v>107.31</v>
      </c>
      <c r="I43" s="8"/>
      <c r="J43" s="503"/>
      <c r="K43" s="147"/>
      <c r="L43" s="373"/>
      <c r="M43" s="373"/>
      <c r="N43" s="373"/>
      <c r="O43" s="373"/>
      <c r="P43" s="373"/>
      <c r="Q43" s="373"/>
      <c r="R43" s="373"/>
      <c r="S43" s="373"/>
    </row>
    <row r="44" spans="1:19" ht="12.95" customHeight="1" x14ac:dyDescent="0.25">
      <c r="B44" s="21"/>
      <c r="C44" s="86" t="s">
        <v>7</v>
      </c>
      <c r="D44" s="88">
        <v>150</v>
      </c>
      <c r="E44" s="88">
        <v>50</v>
      </c>
      <c r="F44" s="88"/>
      <c r="G44" s="517"/>
      <c r="J44" s="8"/>
      <c r="K44" s="147"/>
      <c r="L44" s="129"/>
      <c r="M44" s="148"/>
      <c r="N44" s="148"/>
      <c r="O44" s="373"/>
      <c r="P44" s="373"/>
      <c r="Q44" s="373"/>
      <c r="R44" s="373"/>
      <c r="S44" s="373"/>
    </row>
    <row r="45" spans="1:19" ht="12.95" customHeight="1" x14ac:dyDescent="0.25">
      <c r="B45" s="21"/>
      <c r="C45" s="86" t="s">
        <v>238</v>
      </c>
      <c r="D45" s="88">
        <f>ROUND((20*(14))+(3%*D20)+(3%*D28)+(3%*D32)+30,2)</f>
        <v>434.22</v>
      </c>
      <c r="E45" s="88">
        <f>ROUND((20*(E33))+(3%*E31),2)</f>
        <v>365.04</v>
      </c>
      <c r="F45" s="89">
        <f>ROUND((20*(F33-F35)+((5.5*20)/11)+((2*20)/11)),2)</f>
        <v>253.64</v>
      </c>
      <c r="G45" s="518">
        <f>16*20</f>
        <v>320</v>
      </c>
      <c r="J45" s="8"/>
      <c r="K45" s="147"/>
      <c r="L45" s="148"/>
      <c r="M45" s="373"/>
      <c r="N45" s="373"/>
      <c r="O45" s="373"/>
      <c r="P45" s="373"/>
      <c r="Q45" s="373"/>
      <c r="R45" s="373"/>
      <c r="S45" s="373"/>
    </row>
    <row r="46" spans="1:19" ht="12.95" customHeight="1" x14ac:dyDescent="0.25">
      <c r="A46" s="8"/>
      <c r="B46" s="31"/>
      <c r="C46" s="245" t="s">
        <v>94</v>
      </c>
      <c r="D46" s="246">
        <v>298.10000000000002</v>
      </c>
      <c r="E46" s="247">
        <v>160.36000000000001</v>
      </c>
      <c r="F46" s="88"/>
      <c r="G46" s="88"/>
      <c r="H46" s="8"/>
      <c r="I46" s="8"/>
      <c r="J46" s="8"/>
      <c r="K46" s="147"/>
      <c r="L46" s="289"/>
      <c r="M46" s="373"/>
      <c r="N46" s="373"/>
      <c r="O46" s="373"/>
      <c r="P46" s="148"/>
      <c r="Q46" s="373"/>
      <c r="R46" s="373"/>
      <c r="S46" s="373"/>
    </row>
    <row r="47" spans="1:19" ht="12.95" customHeight="1" x14ac:dyDescent="0.25">
      <c r="A47" s="8"/>
      <c r="B47" s="31"/>
      <c r="C47" s="248" t="s">
        <v>26</v>
      </c>
      <c r="D47" s="249"/>
      <c r="E47" s="246">
        <v>140</v>
      </c>
      <c r="F47" s="88"/>
      <c r="G47" s="88">
        <v>300</v>
      </c>
      <c r="H47" s="8"/>
      <c r="I47" s="8"/>
      <c r="J47" s="8"/>
      <c r="K47" s="147"/>
      <c r="L47" s="373"/>
      <c r="M47" s="373"/>
      <c r="N47" s="373"/>
      <c r="O47" s="373"/>
      <c r="P47" s="148"/>
      <c r="Q47" s="373"/>
      <c r="R47" s="373"/>
      <c r="S47" s="373"/>
    </row>
    <row r="48" spans="1:19" ht="12.95" customHeight="1" x14ac:dyDescent="0.25">
      <c r="B48" s="32"/>
      <c r="C48" s="251" t="s">
        <v>77</v>
      </c>
      <c r="D48" s="478">
        <f>D42+D43+D44+D45-D46</f>
        <v>642.41</v>
      </c>
      <c r="E48" s="252">
        <f>E42+E43+E44+E45-(E46+E47)</f>
        <v>524.23</v>
      </c>
      <c r="F48" s="478">
        <f>F42+F43+F44+F45</f>
        <v>344.39</v>
      </c>
      <c r="G48" s="252">
        <f>G42+G43+G45+16.36+12.53+10-G47</f>
        <v>171.19</v>
      </c>
      <c r="H48" s="213"/>
      <c r="I48" s="213"/>
      <c r="J48" s="8"/>
      <c r="K48" s="147"/>
      <c r="L48" s="373"/>
      <c r="M48" s="373"/>
      <c r="N48" s="373"/>
      <c r="O48" s="373"/>
      <c r="P48" s="373"/>
      <c r="Q48" s="373"/>
      <c r="R48" s="373"/>
      <c r="S48" s="373"/>
    </row>
    <row r="49" spans="1:19" ht="12.95" customHeight="1" x14ac:dyDescent="0.25">
      <c r="B49" s="54"/>
      <c r="C49" s="292" t="s">
        <v>45</v>
      </c>
      <c r="D49" s="293">
        <f>D48+D46</f>
        <v>940.51</v>
      </c>
      <c r="E49" s="293">
        <f>(ROUND(E48,0))+E46+E47</f>
        <v>824.36</v>
      </c>
      <c r="F49" s="293">
        <f t="shared" ref="F49:G49" si="3">(ROUND(F48,0))+F46+F47</f>
        <v>344</v>
      </c>
      <c r="G49" s="293">
        <f t="shared" si="3"/>
        <v>471</v>
      </c>
      <c r="H49" s="213"/>
      <c r="I49" s="213"/>
      <c r="J49" s="8"/>
      <c r="K49" s="148"/>
      <c r="L49" s="129"/>
      <c r="M49" s="373"/>
      <c r="N49" s="373"/>
      <c r="O49" s="373"/>
      <c r="P49" s="373"/>
      <c r="Q49" s="373"/>
      <c r="R49" s="373"/>
      <c r="S49" s="373"/>
    </row>
    <row r="50" spans="1:19" ht="12" customHeight="1" x14ac:dyDescent="0.25">
      <c r="C50" s="172"/>
      <c r="D50" s="371"/>
      <c r="E50" s="486"/>
      <c r="H50" s="8"/>
      <c r="I50" s="8"/>
      <c r="J50" s="8"/>
      <c r="K50" s="73"/>
      <c r="L50" s="73"/>
      <c r="M50" s="373"/>
      <c r="N50" s="373"/>
      <c r="O50" s="373"/>
      <c r="P50" s="373"/>
      <c r="Q50" s="373"/>
      <c r="R50" s="373"/>
      <c r="S50" s="373"/>
    </row>
    <row r="51" spans="1:19" ht="12" customHeight="1" x14ac:dyDescent="0.25">
      <c r="A51" s="1"/>
      <c r="B51" s="1"/>
      <c r="C51" s="1"/>
      <c r="D51" s="12"/>
      <c r="E51" s="76"/>
      <c r="F51" s="8"/>
      <c r="G51" s="8"/>
      <c r="H51" s="213"/>
      <c r="I51" s="213"/>
      <c r="K51" s="73"/>
      <c r="L51" s="73"/>
      <c r="M51" s="373"/>
      <c r="N51" s="373"/>
      <c r="O51" s="373"/>
      <c r="P51" s="373"/>
      <c r="Q51" s="373"/>
      <c r="R51" s="373"/>
      <c r="S51" s="373"/>
    </row>
    <row r="52" spans="1:19" x14ac:dyDescent="0.25">
      <c r="A52" s="1"/>
      <c r="B52" s="1"/>
      <c r="C52" s="1"/>
      <c r="D52" s="1"/>
      <c r="E52" s="11"/>
      <c r="H52" s="213"/>
      <c r="I52" s="213"/>
      <c r="K52" s="373"/>
      <c r="L52" s="69"/>
      <c r="M52" s="373"/>
      <c r="N52" s="373"/>
      <c r="O52" s="373"/>
      <c r="P52" s="373"/>
      <c r="Q52" s="373"/>
      <c r="R52" s="373"/>
      <c r="S52" s="373"/>
    </row>
    <row r="53" spans="1:19" x14ac:dyDescent="0.25">
      <c r="A53" s="1"/>
      <c r="B53" s="1"/>
      <c r="C53" s="1"/>
      <c r="D53" s="1"/>
      <c r="E53" s="11"/>
      <c r="K53" s="73"/>
      <c r="L53" s="69"/>
      <c r="M53" s="373"/>
      <c r="N53" s="373"/>
      <c r="O53" s="373"/>
      <c r="P53" s="373"/>
      <c r="Q53" s="373"/>
      <c r="R53" s="373"/>
      <c r="S53" s="373"/>
    </row>
    <row r="54" spans="1:19" x14ac:dyDescent="0.25">
      <c r="A54" s="1"/>
      <c r="B54" s="1"/>
      <c r="C54" s="745" t="s">
        <v>226</v>
      </c>
      <c r="D54" s="745"/>
      <c r="E54" s="745"/>
      <c r="F54" s="745"/>
      <c r="G54" s="745"/>
      <c r="H54" s="745"/>
      <c r="I54" s="745"/>
      <c r="J54" s="745"/>
      <c r="K54" s="745"/>
      <c r="L54" s="745"/>
      <c r="M54" s="745"/>
      <c r="N54" s="745"/>
      <c r="O54" s="373"/>
      <c r="P54" s="373"/>
      <c r="Q54" s="373"/>
      <c r="R54" s="373"/>
      <c r="S54" s="373"/>
    </row>
    <row r="55" spans="1:19" x14ac:dyDescent="0.25">
      <c r="A55" s="1"/>
      <c r="B55" s="1"/>
      <c r="C55" s="745"/>
      <c r="D55" s="745"/>
      <c r="E55" s="745"/>
      <c r="F55" s="745"/>
      <c r="G55" s="745"/>
      <c r="H55" s="745"/>
      <c r="I55" s="745"/>
      <c r="J55" s="745"/>
      <c r="K55" s="745"/>
      <c r="L55" s="745"/>
      <c r="M55" s="745"/>
      <c r="N55" s="745"/>
      <c r="O55" s="373"/>
      <c r="P55" s="373"/>
      <c r="Q55" s="373"/>
      <c r="R55" s="373"/>
      <c r="S55" s="373"/>
    </row>
    <row r="56" spans="1:19" x14ac:dyDescent="0.25">
      <c r="A56" s="1"/>
      <c r="B56" s="1"/>
      <c r="C56" s="745"/>
      <c r="D56" s="745"/>
      <c r="E56" s="745"/>
      <c r="F56" s="745"/>
      <c r="G56" s="745"/>
      <c r="H56" s="745"/>
      <c r="I56" s="745"/>
      <c r="J56" s="745"/>
      <c r="K56" s="745"/>
      <c r="L56" s="745"/>
      <c r="M56" s="745"/>
      <c r="N56" s="745"/>
      <c r="O56" s="373"/>
      <c r="P56" s="373"/>
      <c r="Q56" s="373"/>
      <c r="R56" s="373"/>
      <c r="S56" s="373"/>
    </row>
    <row r="57" spans="1:19" x14ac:dyDescent="0.25">
      <c r="A57" s="1"/>
      <c r="B57" s="1"/>
      <c r="C57" s="1"/>
      <c r="D57" s="1"/>
      <c r="E57" s="11"/>
      <c r="K57" s="73"/>
      <c r="L57" s="146"/>
      <c r="M57" s="373"/>
      <c r="N57" s="373"/>
      <c r="O57" s="373"/>
      <c r="P57" s="373"/>
      <c r="Q57" s="373"/>
      <c r="R57" s="373"/>
      <c r="S57" s="373"/>
    </row>
    <row r="58" spans="1:19" x14ac:dyDescent="0.25">
      <c r="A58" s="1"/>
      <c r="B58" s="1"/>
      <c r="C58" s="1"/>
      <c r="D58" s="1"/>
      <c r="E58" s="11"/>
      <c r="K58" s="373"/>
      <c r="L58" s="373"/>
      <c r="M58" s="373"/>
      <c r="N58" s="373"/>
      <c r="O58" s="373"/>
      <c r="P58" s="373"/>
      <c r="Q58" s="373"/>
      <c r="R58" s="373"/>
      <c r="S58" s="373"/>
    </row>
    <row r="59" spans="1:19" x14ac:dyDescent="0.25">
      <c r="A59" s="1"/>
      <c r="B59" s="1"/>
      <c r="C59" s="1"/>
      <c r="D59" s="1"/>
      <c r="E59" s="11"/>
      <c r="K59" s="373"/>
      <c r="L59" s="373"/>
      <c r="M59" s="373"/>
      <c r="N59" s="373"/>
      <c r="O59" s="373"/>
      <c r="P59" s="373"/>
      <c r="Q59" s="373"/>
      <c r="R59" s="373"/>
      <c r="S59" s="373"/>
    </row>
    <row r="60" spans="1:19" x14ac:dyDescent="0.25">
      <c r="A60" s="1"/>
      <c r="B60" s="1"/>
      <c r="C60" s="1"/>
      <c r="D60" s="1"/>
      <c r="E60" s="11"/>
      <c r="K60" s="373"/>
      <c r="L60" s="373"/>
      <c r="M60" s="373"/>
      <c r="N60" s="373"/>
      <c r="O60" s="373"/>
      <c r="P60" s="373"/>
      <c r="Q60" s="373"/>
      <c r="R60" s="373"/>
      <c r="S60" s="373"/>
    </row>
    <row r="61" spans="1:19" x14ac:dyDescent="0.25">
      <c r="A61" s="1"/>
      <c r="B61" s="1"/>
      <c r="C61" s="1"/>
      <c r="D61" s="1"/>
      <c r="E61" s="11"/>
    </row>
    <row r="62" spans="1:19" x14ac:dyDescent="0.25">
      <c r="A62" s="1"/>
      <c r="B62" s="1"/>
      <c r="C62" s="1"/>
      <c r="D62" s="1"/>
      <c r="E62" s="11"/>
    </row>
    <row r="63" spans="1:19" x14ac:dyDescent="0.25">
      <c r="A63" s="1"/>
      <c r="B63" s="1"/>
      <c r="C63" s="1"/>
      <c r="D63" s="1"/>
      <c r="E63" s="11"/>
    </row>
    <row r="64" spans="1:19" x14ac:dyDescent="0.25">
      <c r="A64" s="1"/>
      <c r="B64" s="1"/>
      <c r="C64" s="1"/>
      <c r="D64" s="1"/>
      <c r="E64" s="11"/>
    </row>
    <row r="65" spans="1:5" x14ac:dyDescent="0.25">
      <c r="A65" s="1"/>
      <c r="B65" s="1"/>
      <c r="C65" s="1"/>
      <c r="D65" s="1"/>
      <c r="E65" s="11"/>
    </row>
    <row r="66" spans="1:5" x14ac:dyDescent="0.25">
      <c r="A66" s="1"/>
      <c r="B66" s="1"/>
      <c r="C66" s="1"/>
      <c r="D66" s="1"/>
      <c r="E66" s="11"/>
    </row>
    <row r="67" spans="1:5" x14ac:dyDescent="0.25">
      <c r="A67" s="1"/>
      <c r="B67" s="1"/>
      <c r="C67" s="1"/>
      <c r="D67" s="1"/>
      <c r="E67" s="11"/>
    </row>
    <row r="68" spans="1:5" x14ac:dyDescent="0.25">
      <c r="A68" s="1"/>
      <c r="B68" s="1"/>
      <c r="C68" s="1"/>
      <c r="D68" s="1"/>
      <c r="E68" s="11"/>
    </row>
    <row r="69" spans="1:5" x14ac:dyDescent="0.25">
      <c r="A69" s="1"/>
      <c r="B69" s="1"/>
      <c r="C69" s="1"/>
      <c r="D69" s="1"/>
      <c r="E69" s="11"/>
    </row>
    <row r="70" spans="1:5" x14ac:dyDescent="0.25">
      <c r="A70" s="1"/>
      <c r="B70" s="1"/>
      <c r="C70" s="1"/>
      <c r="D70" s="1"/>
      <c r="E70" s="11"/>
    </row>
    <row r="71" spans="1:5" x14ac:dyDescent="0.25">
      <c r="A71" s="1"/>
      <c r="B71" s="1"/>
      <c r="C71" s="11"/>
      <c r="D71" s="1"/>
      <c r="E71" s="11"/>
    </row>
    <row r="72" spans="1:5" x14ac:dyDescent="0.25">
      <c r="A72" s="1"/>
      <c r="B72" s="1"/>
      <c r="C72" s="1"/>
      <c r="D72" s="1"/>
      <c r="E72" s="11"/>
    </row>
    <row r="73" spans="1:5" x14ac:dyDescent="0.25">
      <c r="A73" s="1"/>
      <c r="B73" s="1"/>
      <c r="C73" s="1"/>
      <c r="D73" s="1"/>
      <c r="E73" s="11"/>
    </row>
    <row r="74" spans="1:5" x14ac:dyDescent="0.25">
      <c r="A74" s="1"/>
      <c r="B74" s="1"/>
      <c r="C74" s="1"/>
      <c r="D74" s="1"/>
      <c r="E74" s="11"/>
    </row>
    <row r="75" spans="1:5" x14ac:dyDescent="0.25">
      <c r="A75" s="1"/>
      <c r="B75" s="1"/>
      <c r="C75" s="1"/>
      <c r="D75" s="1"/>
      <c r="E75" s="11"/>
    </row>
    <row r="76" spans="1:5" x14ac:dyDescent="0.25">
      <c r="A76" s="1"/>
      <c r="B76" s="1"/>
      <c r="C76" s="1"/>
      <c r="D76" s="1"/>
      <c r="E76" s="11"/>
    </row>
    <row r="77" spans="1:5" x14ac:dyDescent="0.25">
      <c r="A77" s="1"/>
      <c r="B77" s="1"/>
      <c r="C77" s="1"/>
      <c r="D77" s="1"/>
      <c r="E77" s="11"/>
    </row>
    <row r="78" spans="1:5" x14ac:dyDescent="0.25">
      <c r="A78" s="1"/>
      <c r="B78" s="1"/>
      <c r="C78" s="1"/>
      <c r="D78" s="1"/>
      <c r="E78" s="11"/>
    </row>
    <row r="79" spans="1:5" x14ac:dyDescent="0.25">
      <c r="A79" s="1"/>
      <c r="B79" s="1"/>
      <c r="C79" s="1"/>
      <c r="D79" s="1"/>
      <c r="E79" s="11"/>
    </row>
    <row r="80" spans="1:5" x14ac:dyDescent="0.25">
      <c r="A80" s="1"/>
      <c r="B80" s="1"/>
      <c r="C80" s="1"/>
      <c r="D80" s="1"/>
      <c r="E80" s="11"/>
    </row>
    <row r="81" spans="1:5" x14ac:dyDescent="0.25">
      <c r="A81" s="1"/>
      <c r="B81" s="1"/>
      <c r="C81" s="1"/>
      <c r="D81" s="1"/>
      <c r="E81" s="11"/>
    </row>
    <row r="82" spans="1:5" x14ac:dyDescent="0.25">
      <c r="A82" s="1"/>
      <c r="B82" s="1"/>
      <c r="C82" s="1"/>
      <c r="D82" s="1"/>
      <c r="E82" s="11"/>
    </row>
    <row r="83" spans="1:5" x14ac:dyDescent="0.25">
      <c r="A83" s="1"/>
      <c r="B83" s="1"/>
      <c r="C83" s="1"/>
      <c r="D83" s="1"/>
      <c r="E83" s="11"/>
    </row>
    <row r="84" spans="1:5" x14ac:dyDescent="0.25">
      <c r="A84" s="1"/>
      <c r="B84" s="1"/>
      <c r="C84" s="1"/>
      <c r="D84" s="1"/>
      <c r="E84" s="11"/>
    </row>
    <row r="85" spans="1:5" x14ac:dyDescent="0.25">
      <c r="A85" s="1"/>
      <c r="B85" s="1"/>
      <c r="C85" s="1"/>
      <c r="D85" s="1"/>
      <c r="E85" s="11"/>
    </row>
    <row r="86" spans="1:5" x14ac:dyDescent="0.25">
      <c r="A86" s="1"/>
      <c r="B86" s="1"/>
      <c r="C86" s="1"/>
      <c r="D86" s="1"/>
      <c r="E86" s="11"/>
    </row>
    <row r="87" spans="1:5" x14ac:dyDescent="0.25">
      <c r="A87" s="1"/>
      <c r="B87" s="1"/>
      <c r="C87" s="1"/>
      <c r="D87" s="1"/>
      <c r="E87" s="11"/>
    </row>
    <row r="88" spans="1:5" x14ac:dyDescent="0.25">
      <c r="A88" s="1"/>
      <c r="B88" s="1"/>
      <c r="C88" s="1"/>
      <c r="D88" s="1"/>
      <c r="E88" s="11"/>
    </row>
    <row r="89" spans="1:5" x14ac:dyDescent="0.25">
      <c r="A89" s="1"/>
      <c r="B89" s="1"/>
      <c r="C89" s="1"/>
      <c r="D89" s="1"/>
      <c r="E89" s="11"/>
    </row>
    <row r="90" spans="1:5" x14ac:dyDescent="0.25">
      <c r="A90" s="1"/>
      <c r="B90" s="1"/>
      <c r="C90" s="1"/>
      <c r="D90" s="1"/>
      <c r="E90" s="11"/>
    </row>
    <row r="91" spans="1:5" x14ac:dyDescent="0.25">
      <c r="A91" s="1"/>
      <c r="B91" s="1"/>
      <c r="C91" s="1"/>
      <c r="D91" s="1"/>
      <c r="E91" s="11"/>
    </row>
    <row r="92" spans="1:5" x14ac:dyDescent="0.25">
      <c r="A92" s="1"/>
      <c r="B92" s="1"/>
      <c r="C92" s="1"/>
      <c r="D92" s="1"/>
      <c r="E92" s="11"/>
    </row>
    <row r="93" spans="1:5" x14ac:dyDescent="0.25">
      <c r="B93" s="1"/>
      <c r="C93" s="1"/>
      <c r="D93" s="1"/>
      <c r="E93" s="2"/>
    </row>
    <row r="94" spans="1:5" x14ac:dyDescent="0.25">
      <c r="B94" s="1"/>
      <c r="C94" s="1"/>
      <c r="D94" s="1"/>
      <c r="E94" s="2"/>
    </row>
    <row r="95" spans="1:5" x14ac:dyDescent="0.25">
      <c r="E95" s="2"/>
    </row>
    <row r="96" spans="1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</sheetData>
  <mergeCells count="4">
    <mergeCell ref="C54:N56"/>
    <mergeCell ref="C38:G38"/>
    <mergeCell ref="C36:G36"/>
    <mergeCell ref="C37:G37"/>
  </mergeCells>
  <conditionalFormatting sqref="F32:G32 D26:F28 B2:G2 D22:F22 D3:G21 D23:G25 B3:C32 D29:G31">
    <cfRule type="expression" dxfId="7" priority="1">
      <formula>$B2=7</formula>
    </cfRule>
    <cfRule type="expression" dxfId="6" priority="2">
      <formula>$B2=6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17"/>
  <sheetViews>
    <sheetView showWhiteSpace="0" zoomScale="70" zoomScaleNormal="70" zoomScaleSheetLayoutView="55" zoomScalePageLayoutView="70" workbookViewId="0">
      <selection activeCell="B6" sqref="B6"/>
    </sheetView>
  </sheetViews>
  <sheetFormatPr defaultColWidth="9.140625" defaultRowHeight="15" x14ac:dyDescent="0.25"/>
  <cols>
    <col min="1" max="1" width="11.5703125" style="35" customWidth="1"/>
    <col min="2" max="2" width="23.7109375" style="35" customWidth="1"/>
    <col min="3" max="3" width="11.28515625" style="35" customWidth="1"/>
    <col min="4" max="4" width="9.140625" style="35"/>
    <col min="5" max="5" width="11.28515625" style="35" customWidth="1"/>
    <col min="6" max="6" width="18.7109375" style="35" customWidth="1"/>
    <col min="7" max="7" width="12.5703125" style="35" customWidth="1"/>
    <col min="8" max="8" width="10.7109375" style="35" customWidth="1"/>
    <col min="9" max="9" width="10.28515625" style="35" customWidth="1"/>
    <col min="10" max="10" width="11" style="35" customWidth="1"/>
    <col min="11" max="11" width="11.42578125" style="35" customWidth="1"/>
    <col min="12" max="12" width="12.140625" style="35" customWidth="1"/>
    <col min="13" max="13" width="13.85546875" style="35" customWidth="1"/>
    <col min="14" max="14" width="8.5703125" style="35" customWidth="1"/>
    <col min="15" max="15" width="8.28515625" style="1" customWidth="1"/>
    <col min="16" max="16" width="15.5703125" style="35" customWidth="1"/>
    <col min="17" max="18" width="11.140625" style="35" customWidth="1"/>
    <col min="19" max="19" width="9.140625" style="35"/>
    <col min="20" max="20" width="10.140625" style="35" customWidth="1"/>
    <col min="21" max="16384" width="9.140625" style="35"/>
  </cols>
  <sheetData>
    <row r="1" spans="1:20" ht="15.75" thickTop="1" x14ac:dyDescent="0.25">
      <c r="A1" s="739" t="s">
        <v>28</v>
      </c>
      <c r="B1" s="682"/>
      <c r="C1" s="682"/>
      <c r="D1" s="682"/>
      <c r="E1" s="682"/>
      <c r="F1" s="682"/>
      <c r="G1" s="683"/>
      <c r="H1" s="734" t="s">
        <v>245</v>
      </c>
      <c r="I1" s="735"/>
      <c r="J1" s="735"/>
      <c r="K1" s="735"/>
      <c r="L1" s="735"/>
      <c r="M1" s="736"/>
      <c r="N1" s="509"/>
      <c r="O1" s="694" t="s">
        <v>60</v>
      </c>
      <c r="P1" s="694"/>
    </row>
    <row r="2" spans="1:20" ht="21.75" customHeight="1" x14ac:dyDescent="0.25">
      <c r="A2" s="330" t="s">
        <v>2</v>
      </c>
      <c r="B2" s="508" t="s">
        <v>34</v>
      </c>
      <c r="C2" s="36" t="s">
        <v>35</v>
      </c>
      <c r="D2" s="36" t="s">
        <v>38</v>
      </c>
      <c r="E2" s="36" t="s">
        <v>42</v>
      </c>
      <c r="F2" s="508" t="s">
        <v>36</v>
      </c>
      <c r="G2" s="101" t="s">
        <v>173</v>
      </c>
      <c r="H2" s="732"/>
      <c r="I2" s="733"/>
      <c r="J2" s="504" t="s">
        <v>35</v>
      </c>
      <c r="K2" s="504" t="s">
        <v>38</v>
      </c>
      <c r="L2" s="504" t="s">
        <v>42</v>
      </c>
      <c r="M2" s="101" t="s">
        <v>44</v>
      </c>
      <c r="N2" s="373"/>
      <c r="O2" s="53" t="s">
        <v>2</v>
      </c>
      <c r="P2" s="53" t="s">
        <v>34</v>
      </c>
      <c r="Q2" s="154" t="s">
        <v>38</v>
      </c>
      <c r="R2" s="154" t="s">
        <v>42</v>
      </c>
      <c r="S2" s="53" t="s">
        <v>100</v>
      </c>
      <c r="T2" s="373"/>
    </row>
    <row r="3" spans="1:20" x14ac:dyDescent="0.25">
      <c r="A3" s="331">
        <v>43835</v>
      </c>
      <c r="B3" s="164" t="s">
        <v>244</v>
      </c>
      <c r="C3" s="99">
        <v>679.7</v>
      </c>
      <c r="D3" s="99">
        <v>679.7</v>
      </c>
      <c r="E3" s="163" t="str">
        <f>IF(C3-D3=0,"",C3-D3)</f>
        <v/>
      </c>
      <c r="F3" s="165" t="str">
        <f>IF(C3=0,"",IF(C3-D3=0,"оплачено","ожидается оплата"))</f>
        <v>оплачено</v>
      </c>
      <c r="G3" s="469"/>
      <c r="H3" s="737" t="s">
        <v>39</v>
      </c>
      <c r="I3" s="676"/>
      <c r="J3" s="510">
        <v>2039.02</v>
      </c>
      <c r="K3" s="510">
        <f>1000+1039.02</f>
        <v>2039.02</v>
      </c>
      <c r="L3" s="163">
        <f t="shared" ref="L3" si="0">J3-K3</f>
        <v>0</v>
      </c>
      <c r="M3" s="102">
        <v>43850</v>
      </c>
      <c r="N3" s="147"/>
      <c r="O3" s="274"/>
      <c r="P3" s="53" t="s">
        <v>219</v>
      </c>
      <c r="Q3" s="53"/>
      <c r="R3" s="53">
        <f>S3-Q3</f>
        <v>558</v>
      </c>
      <c r="S3" s="164">
        <v>558</v>
      </c>
      <c r="T3" s="373"/>
    </row>
    <row r="4" spans="1:20" s="87" customFormat="1" ht="16.5" customHeight="1" x14ac:dyDescent="0.25">
      <c r="A4" s="331">
        <v>43839</v>
      </c>
      <c r="B4" s="164" t="s">
        <v>205</v>
      </c>
      <c r="C4" s="99">
        <v>139.15</v>
      </c>
      <c r="D4" s="99">
        <v>139.15</v>
      </c>
      <c r="E4" s="163" t="str">
        <f t="shared" ref="E4:E11" si="1">IF(C4-D4=0,"",C4-D4)</f>
        <v/>
      </c>
      <c r="F4" s="165" t="str">
        <f t="shared" ref="F4:F11" si="2">IF(C4=0,"",IF(C4-D4=0,"оплачено","ожидается оплата"))</f>
        <v>оплачено</v>
      </c>
      <c r="G4" s="469"/>
      <c r="H4" s="755" t="s">
        <v>40</v>
      </c>
      <c r="I4" s="756"/>
      <c r="J4" s="531">
        <v>918.57</v>
      </c>
      <c r="K4" s="531">
        <v>918.57</v>
      </c>
      <c r="L4" s="530">
        <f>J4-K4</f>
        <v>0</v>
      </c>
      <c r="M4" s="532">
        <v>43857</v>
      </c>
      <c r="N4" s="147"/>
      <c r="O4" s="274"/>
      <c r="P4" s="526" t="s">
        <v>219</v>
      </c>
      <c r="Q4" s="526"/>
      <c r="R4" s="526">
        <f>S4-Q4</f>
        <v>1559</v>
      </c>
      <c r="S4" s="526">
        <v>1559</v>
      </c>
    </row>
    <row r="5" spans="1:20" s="87" customFormat="1" x14ac:dyDescent="0.25">
      <c r="A5" s="331">
        <v>43839</v>
      </c>
      <c r="B5" s="164" t="s">
        <v>248</v>
      </c>
      <c r="C5" s="99">
        <v>189</v>
      </c>
      <c r="D5" s="99">
        <v>189</v>
      </c>
      <c r="E5" s="163" t="str">
        <f t="shared" si="1"/>
        <v/>
      </c>
      <c r="F5" s="165" t="str">
        <f t="shared" si="2"/>
        <v>оплачено</v>
      </c>
      <c r="G5" s="469"/>
      <c r="H5" s="347"/>
      <c r="I5" s="373"/>
      <c r="J5" s="373">
        <f>SUM(J3:J4)</f>
        <v>2957.59</v>
      </c>
      <c r="K5" s="373"/>
      <c r="L5" s="85"/>
      <c r="M5" s="320"/>
      <c r="N5" s="373"/>
      <c r="O5" s="274"/>
      <c r="P5" s="526"/>
      <c r="Q5" s="526"/>
      <c r="R5" s="526"/>
      <c r="S5" s="526"/>
    </row>
    <row r="6" spans="1:20" s="87" customFormat="1" x14ac:dyDescent="0.25">
      <c r="A6" s="331">
        <v>43838</v>
      </c>
      <c r="B6" s="164" t="s">
        <v>213</v>
      </c>
      <c r="C6" s="99">
        <v>239.4</v>
      </c>
      <c r="D6" s="99">
        <v>239.4</v>
      </c>
      <c r="E6" s="163" t="str">
        <f t="shared" si="1"/>
        <v/>
      </c>
      <c r="F6" s="165" t="str">
        <f t="shared" si="2"/>
        <v>оплачено</v>
      </c>
      <c r="G6" s="469"/>
      <c r="H6" s="347"/>
      <c r="I6" s="373"/>
      <c r="J6" s="373"/>
      <c r="K6" s="373"/>
      <c r="L6" s="373"/>
      <c r="M6" s="320"/>
      <c r="N6" s="373"/>
      <c r="O6" s="274"/>
      <c r="P6" s="526"/>
      <c r="Q6" s="526"/>
      <c r="R6" s="526"/>
      <c r="S6" s="526"/>
    </row>
    <row r="7" spans="1:20" s="87" customFormat="1" x14ac:dyDescent="0.25">
      <c r="A7" s="331">
        <v>43844</v>
      </c>
      <c r="B7" s="164" t="s">
        <v>251</v>
      </c>
      <c r="C7" s="281">
        <v>529.29999999999995</v>
      </c>
      <c r="D7" s="281">
        <v>529.29999999999995</v>
      </c>
      <c r="E7" s="163" t="str">
        <f t="shared" si="1"/>
        <v/>
      </c>
      <c r="F7" s="165" t="str">
        <f t="shared" si="2"/>
        <v>оплачено</v>
      </c>
      <c r="G7" s="469"/>
      <c r="H7" s="347"/>
      <c r="I7" s="373"/>
      <c r="J7" s="373"/>
      <c r="K7" s="373"/>
      <c r="L7" s="373"/>
      <c r="M7" s="320"/>
      <c r="N7" s="373"/>
      <c r="O7" s="274"/>
      <c r="P7" s="526"/>
      <c r="Q7" s="526"/>
      <c r="R7" s="526"/>
      <c r="S7" s="526"/>
    </row>
    <row r="8" spans="1:20" s="87" customFormat="1" ht="15" customHeight="1" x14ac:dyDescent="0.25">
      <c r="A8" s="331">
        <v>43847</v>
      </c>
      <c r="B8" s="164" t="s">
        <v>205</v>
      </c>
      <c r="C8" s="281">
        <v>267.52999999999997</v>
      </c>
      <c r="D8" s="281">
        <v>267.52999999999997</v>
      </c>
      <c r="E8" s="163" t="str">
        <f t="shared" si="1"/>
        <v/>
      </c>
      <c r="F8" s="165" t="str">
        <f t="shared" si="2"/>
        <v>оплачено</v>
      </c>
      <c r="G8" s="469"/>
      <c r="H8" s="347"/>
      <c r="I8" s="373"/>
      <c r="J8" s="373"/>
      <c r="K8" s="373"/>
      <c r="L8" s="373"/>
      <c r="M8" s="320"/>
      <c r="N8" s="525"/>
      <c r="O8" s="274"/>
      <c r="P8" s="526"/>
      <c r="Q8" s="526"/>
      <c r="R8" s="526"/>
      <c r="S8" s="526"/>
    </row>
    <row r="9" spans="1:20" ht="18.75" customHeight="1" x14ac:dyDescent="0.25">
      <c r="A9" s="331">
        <v>43844</v>
      </c>
      <c r="B9" s="164" t="s">
        <v>29</v>
      </c>
      <c r="C9" s="281">
        <v>152.30000000000001</v>
      </c>
      <c r="D9" s="281">
        <v>152.30000000000001</v>
      </c>
      <c r="E9" s="163" t="str">
        <f t="shared" si="1"/>
        <v/>
      </c>
      <c r="F9" s="165" t="str">
        <f t="shared" si="2"/>
        <v>оплачено</v>
      </c>
      <c r="G9" s="469"/>
      <c r="H9" s="43"/>
      <c r="I9" s="1"/>
      <c r="J9" s="373"/>
      <c r="K9" s="1"/>
      <c r="L9" s="1"/>
      <c r="M9" s="44"/>
      <c r="N9" s="512"/>
      <c r="O9" s="273"/>
      <c r="P9" s="373"/>
      <c r="Q9" s="373"/>
      <c r="R9" s="373"/>
      <c r="S9" s="373"/>
      <c r="T9" s="373"/>
    </row>
    <row r="10" spans="1:20" ht="15.75" customHeight="1" x14ac:dyDescent="0.25">
      <c r="A10" s="331">
        <v>43844</v>
      </c>
      <c r="B10" s="164" t="s">
        <v>252</v>
      </c>
      <c r="C10" s="281">
        <v>164.25</v>
      </c>
      <c r="D10" s="281">
        <v>164.25</v>
      </c>
      <c r="E10" s="163" t="str">
        <f t="shared" si="1"/>
        <v/>
      </c>
      <c r="F10" s="165" t="str">
        <f t="shared" si="2"/>
        <v>оплачено</v>
      </c>
      <c r="G10" s="469"/>
      <c r="H10" s="43"/>
      <c r="I10" s="1"/>
      <c r="J10" s="373"/>
      <c r="K10" s="1"/>
      <c r="L10" s="1"/>
      <c r="M10" s="44"/>
      <c r="N10" s="512"/>
      <c r="O10" s="467"/>
      <c r="P10" s="468"/>
      <c r="Q10" s="373"/>
      <c r="R10" s="373"/>
      <c r="S10" s="373"/>
      <c r="T10" s="373"/>
    </row>
    <row r="11" spans="1:20" ht="14.25" customHeight="1" x14ac:dyDescent="0.25">
      <c r="A11" s="331">
        <v>43845</v>
      </c>
      <c r="B11" s="164" t="s">
        <v>212</v>
      </c>
      <c r="C11" s="281">
        <v>43.2</v>
      </c>
      <c r="D11" s="281">
        <v>43.2</v>
      </c>
      <c r="E11" s="163" t="str">
        <f t="shared" si="1"/>
        <v/>
      </c>
      <c r="F11" s="165" t="str">
        <f t="shared" si="2"/>
        <v>оплачено</v>
      </c>
      <c r="G11" s="469"/>
      <c r="H11" s="43"/>
      <c r="I11" s="1"/>
      <c r="J11" s="373"/>
      <c r="K11" s="1"/>
      <c r="L11" s="1"/>
      <c r="M11" s="44"/>
      <c r="N11" s="512"/>
      <c r="O11" s="128"/>
      <c r="P11" s="468"/>
      <c r="Q11" s="373"/>
      <c r="R11" s="373"/>
      <c r="S11" s="373"/>
      <c r="T11" s="373"/>
    </row>
    <row r="12" spans="1:20" ht="18.75" customHeight="1" x14ac:dyDescent="0.25">
      <c r="A12" s="331"/>
      <c r="B12" s="164"/>
      <c r="C12" s="281"/>
      <c r="D12" s="281"/>
      <c r="E12" s="163" t="str">
        <f t="shared" ref="E12:E19" si="3">IF(C12-D12=0,"",C12-D12)</f>
        <v/>
      </c>
      <c r="F12" s="165" t="str">
        <f t="shared" ref="F12:F19" si="4">IF(C12=0,"",IF(C12-D12=0,"оплачено","ожидается оплата"))</f>
        <v/>
      </c>
      <c r="G12" s="469"/>
      <c r="H12" s="43"/>
      <c r="I12" s="1"/>
      <c r="J12" s="373"/>
      <c r="K12" s="1"/>
      <c r="L12" s="1"/>
      <c r="M12" s="44"/>
      <c r="N12" s="512"/>
      <c r="O12" s="467"/>
      <c r="P12" s="373"/>
      <c r="Q12" s="373"/>
      <c r="R12" s="373"/>
      <c r="S12" s="373"/>
      <c r="T12" s="373"/>
    </row>
    <row r="13" spans="1:20" ht="18.75" customHeight="1" x14ac:dyDescent="0.25">
      <c r="A13" s="331"/>
      <c r="B13" s="164"/>
      <c r="C13" s="281"/>
      <c r="D13" s="164"/>
      <c r="E13" s="163" t="str">
        <f t="shared" si="3"/>
        <v/>
      </c>
      <c r="F13" s="165" t="str">
        <f t="shared" si="4"/>
        <v/>
      </c>
      <c r="G13" s="469"/>
      <c r="H13" s="43"/>
      <c r="I13" s="1"/>
      <c r="J13" s="373"/>
      <c r="K13" s="1"/>
      <c r="L13" s="1"/>
      <c r="M13" s="44"/>
      <c r="N13" s="512"/>
      <c r="O13" s="467"/>
      <c r="P13" s="468"/>
      <c r="Q13" s="373"/>
      <c r="R13" s="373"/>
      <c r="S13" s="373"/>
      <c r="T13" s="373"/>
    </row>
    <row r="14" spans="1:20" x14ac:dyDescent="0.25">
      <c r="A14" s="331"/>
      <c r="B14" s="164"/>
      <c r="C14" s="281"/>
      <c r="D14" s="164"/>
      <c r="E14" s="163" t="str">
        <f t="shared" si="3"/>
        <v/>
      </c>
      <c r="F14" s="165" t="str">
        <f t="shared" si="4"/>
        <v/>
      </c>
      <c r="G14" s="469"/>
      <c r="H14" s="43"/>
      <c r="I14" s="1"/>
      <c r="J14" s="373"/>
      <c r="K14" s="1"/>
      <c r="L14" s="1"/>
      <c r="M14" s="44"/>
      <c r="N14" s="301"/>
      <c r="O14" s="543"/>
      <c r="P14" s="468"/>
      <c r="Q14" s="373"/>
      <c r="R14" s="373"/>
      <c r="S14" s="87"/>
      <c r="T14" s="87"/>
    </row>
    <row r="15" spans="1:20" x14ac:dyDescent="0.25">
      <c r="A15" s="333"/>
      <c r="B15" s="164"/>
      <c r="C15" s="164"/>
      <c r="D15" s="164"/>
      <c r="E15" s="163" t="str">
        <f t="shared" si="3"/>
        <v/>
      </c>
      <c r="F15" s="165" t="str">
        <f t="shared" si="4"/>
        <v/>
      </c>
      <c r="G15" s="469"/>
      <c r="H15" s="43"/>
      <c r="I15" s="1"/>
      <c r="J15" s="373"/>
      <c r="K15" s="1"/>
      <c r="L15" s="1"/>
      <c r="M15" s="44"/>
      <c r="N15" s="301"/>
      <c r="O15" s="468"/>
      <c r="P15" s="468"/>
      <c r="Q15" s="373"/>
      <c r="R15" s="373"/>
      <c r="S15" s="87"/>
      <c r="T15" s="87"/>
    </row>
    <row r="16" spans="1:20" ht="15.75" customHeight="1" x14ac:dyDescent="0.25">
      <c r="A16" s="334"/>
      <c r="B16" s="164"/>
      <c r="C16" s="164"/>
      <c r="D16" s="164"/>
      <c r="E16" s="163" t="str">
        <f t="shared" si="3"/>
        <v/>
      </c>
      <c r="F16" s="165" t="str">
        <f t="shared" si="4"/>
        <v/>
      </c>
      <c r="G16" s="469"/>
      <c r="H16" s="43"/>
      <c r="I16" s="1"/>
      <c r="J16" s="373"/>
      <c r="K16" s="1"/>
      <c r="L16" s="1"/>
      <c r="M16" s="44"/>
      <c r="N16" s="301"/>
      <c r="O16" s="153"/>
      <c r="P16" s="468"/>
      <c r="Q16" s="373"/>
      <c r="R16" s="373"/>
      <c r="S16" s="87"/>
      <c r="T16" s="87"/>
    </row>
    <row r="17" spans="1:22" x14ac:dyDescent="0.25">
      <c r="A17" s="334"/>
      <c r="B17" s="164"/>
      <c r="C17" s="164"/>
      <c r="D17" s="164"/>
      <c r="E17" s="163" t="str">
        <f t="shared" si="3"/>
        <v/>
      </c>
      <c r="F17" s="165" t="str">
        <f t="shared" si="4"/>
        <v/>
      </c>
      <c r="G17" s="469"/>
      <c r="H17" s="43"/>
      <c r="I17" s="1"/>
      <c r="J17" s="373"/>
      <c r="K17" s="1"/>
      <c r="L17" s="1"/>
      <c r="M17" s="44"/>
      <c r="N17" s="301"/>
      <c r="O17" s="128"/>
      <c r="P17" s="468"/>
      <c r="Q17" s="373"/>
      <c r="R17" s="373"/>
      <c r="S17" s="87"/>
      <c r="T17" s="87"/>
    </row>
    <row r="18" spans="1:22" x14ac:dyDescent="0.25">
      <c r="A18" s="333"/>
      <c r="B18" s="164"/>
      <c r="C18" s="164"/>
      <c r="D18" s="164"/>
      <c r="E18" s="163" t="str">
        <f t="shared" si="3"/>
        <v/>
      </c>
      <c r="F18" s="165" t="str">
        <f t="shared" si="4"/>
        <v/>
      </c>
      <c r="G18" s="469"/>
      <c r="H18" s="43"/>
      <c r="I18" s="1"/>
      <c r="J18" s="373"/>
      <c r="K18" s="1"/>
      <c r="L18" s="1"/>
      <c r="M18" s="44"/>
      <c r="N18" s="153"/>
      <c r="O18" s="128"/>
      <c r="P18" s="468"/>
      <c r="Q18" s="373"/>
      <c r="R18" s="373"/>
      <c r="S18" s="87"/>
      <c r="T18" s="87"/>
    </row>
    <row r="19" spans="1:22" ht="15.75" thickBot="1" x14ac:dyDescent="0.3">
      <c r="A19" s="335"/>
      <c r="B19" s="364"/>
      <c r="C19" s="365"/>
      <c r="D19" s="365"/>
      <c r="E19" s="163" t="str">
        <f t="shared" si="3"/>
        <v/>
      </c>
      <c r="F19" s="165" t="str">
        <f t="shared" si="4"/>
        <v/>
      </c>
      <c r="G19" s="470"/>
      <c r="H19" s="43"/>
      <c r="I19" s="1"/>
      <c r="J19" s="373"/>
      <c r="K19" s="1"/>
      <c r="L19" s="1"/>
      <c r="M19" s="44"/>
      <c r="N19" s="1"/>
      <c r="O19" s="128"/>
      <c r="P19" s="468"/>
      <c r="Q19" s="373"/>
      <c r="R19" s="373"/>
      <c r="S19" s="87"/>
      <c r="T19" s="87"/>
    </row>
    <row r="20" spans="1:22" ht="15.75" thickTop="1" x14ac:dyDescent="0.25">
      <c r="A20" s="358"/>
      <c r="B20" s="359"/>
      <c r="C20" s="360"/>
      <c r="D20" s="360"/>
      <c r="E20" s="361"/>
      <c r="F20" s="359"/>
      <c r="G20" s="392"/>
      <c r="H20" s="723" t="s">
        <v>16</v>
      </c>
      <c r="I20" s="725" t="s">
        <v>17</v>
      </c>
      <c r="J20" s="725" t="s">
        <v>21</v>
      </c>
      <c r="K20" s="725"/>
      <c r="L20" s="726" t="s">
        <v>93</v>
      </c>
      <c r="M20" s="727" t="s">
        <v>95</v>
      </c>
      <c r="N20" s="1"/>
      <c r="O20" s="128"/>
      <c r="P20" s="468"/>
      <c r="Q20" s="373"/>
      <c r="R20" s="373"/>
      <c r="S20" s="87"/>
      <c r="T20" s="87"/>
      <c r="V20" s="1"/>
    </row>
    <row r="21" spans="1:22" ht="24" x14ac:dyDescent="0.25">
      <c r="A21" s="362"/>
      <c r="B21" s="207"/>
      <c r="C21" s="207"/>
      <c r="D21" s="207"/>
      <c r="E21" s="222"/>
      <c r="F21" s="207"/>
      <c r="G21" s="207"/>
      <c r="H21" s="724"/>
      <c r="I21" s="685"/>
      <c r="J21" s="505" t="s">
        <v>21</v>
      </c>
      <c r="K21" s="505" t="s">
        <v>25</v>
      </c>
      <c r="L21" s="686"/>
      <c r="M21" s="687"/>
      <c r="N21" s="1"/>
      <c r="P21" s="373"/>
      <c r="Q21" s="373"/>
      <c r="R21" s="373"/>
      <c r="S21" s="87"/>
      <c r="T21" s="87"/>
      <c r="V21" s="1"/>
    </row>
    <row r="22" spans="1:22" x14ac:dyDescent="0.25">
      <c r="A22" s="345"/>
      <c r="B22" s="205"/>
      <c r="C22" s="294"/>
      <c r="D22" s="238"/>
      <c r="E22" s="85"/>
      <c r="F22" s="205"/>
      <c r="G22" s="205"/>
      <c r="H22" s="354" t="s">
        <v>18</v>
      </c>
      <c r="I22" s="95">
        <v>32809.9</v>
      </c>
      <c r="J22" s="95">
        <v>1675.7199999999998</v>
      </c>
      <c r="K22" s="303">
        <v>1047.01</v>
      </c>
      <c r="L22" s="97">
        <v>52152</v>
      </c>
      <c r="M22" s="105">
        <f>82159.79-I22-J22-K22+L22</f>
        <v>98779.159999999989</v>
      </c>
      <c r="N22" s="1"/>
      <c r="P22" s="85"/>
      <c r="Q22" s="373"/>
      <c r="R22" s="373"/>
      <c r="S22" s="87"/>
      <c r="T22" s="87"/>
      <c r="V22" s="1"/>
    </row>
    <row r="23" spans="1:22" ht="15.75" customHeight="1" x14ac:dyDescent="0.25">
      <c r="A23" s="346"/>
      <c r="B23" s="205"/>
      <c r="C23" s="205"/>
      <c r="D23" s="279"/>
      <c r="E23" s="373"/>
      <c r="F23" s="85"/>
      <c r="G23" s="373"/>
      <c r="H23" s="354" t="s">
        <v>19</v>
      </c>
      <c r="I23" s="95">
        <v>35259.58</v>
      </c>
      <c r="J23" s="95">
        <v>1363.3000000000002</v>
      </c>
      <c r="K23" s="95">
        <v>1176.05</v>
      </c>
      <c r="L23" s="97">
        <v>40465.950000000004</v>
      </c>
      <c r="M23" s="105">
        <f>M22-I23-J23-K23+L23</f>
        <v>101446.18</v>
      </c>
      <c r="N23" s="1"/>
      <c r="O23" s="373"/>
      <c r="P23" s="373"/>
      <c r="Q23" s="87"/>
      <c r="R23" s="373"/>
      <c r="S23" s="87"/>
      <c r="T23" s="87"/>
      <c r="V23" s="1"/>
    </row>
    <row r="24" spans="1:22" x14ac:dyDescent="0.25">
      <c r="A24" s="346"/>
      <c r="B24" s="373"/>
      <c r="C24" s="205"/>
      <c r="D24" s="279"/>
      <c r="E24" s="373"/>
      <c r="F24" s="373"/>
      <c r="G24" s="373"/>
      <c r="H24" s="354" t="s">
        <v>20</v>
      </c>
      <c r="I24" s="304">
        <v>34690.219999999994</v>
      </c>
      <c r="J24" s="95">
        <v>1209.3000000000002</v>
      </c>
      <c r="K24" s="305">
        <v>1213.33</v>
      </c>
      <c r="L24" s="305">
        <v>19306</v>
      </c>
      <c r="M24" s="105">
        <f t="shared" ref="M24:M26" si="5">M23-I24-J24-K24+L24</f>
        <v>83639.329999999987</v>
      </c>
      <c r="N24" s="1"/>
      <c r="P24" s="85"/>
      <c r="Q24" s="373"/>
      <c r="R24" s="373"/>
      <c r="S24" s="87"/>
      <c r="T24" s="87"/>
      <c r="V24" s="1"/>
    </row>
    <row r="25" spans="1:22" x14ac:dyDescent="0.25">
      <c r="A25" s="346"/>
      <c r="B25" s="1"/>
      <c r="C25" s="290"/>
      <c r="D25" s="279"/>
      <c r="E25" s="373"/>
      <c r="F25" s="373"/>
      <c r="G25" s="85"/>
      <c r="H25" s="354" t="s">
        <v>148</v>
      </c>
      <c r="I25" s="305">
        <v>30955.479999999996</v>
      </c>
      <c r="J25" s="306">
        <v>3184.46</v>
      </c>
      <c r="K25" s="306">
        <v>1035.6600000000001</v>
      </c>
      <c r="L25" s="305">
        <v>59195.5</v>
      </c>
      <c r="M25" s="105">
        <f t="shared" si="5"/>
        <v>107659.22999999998</v>
      </c>
      <c r="N25" s="373"/>
      <c r="P25" s="373"/>
      <c r="Q25" s="373"/>
      <c r="R25" s="373"/>
      <c r="S25" s="87"/>
      <c r="T25" s="87"/>
      <c r="V25" s="373"/>
    </row>
    <row r="26" spans="1:22" x14ac:dyDescent="0.25">
      <c r="A26" s="346"/>
      <c r="B26" s="205"/>
      <c r="C26" s="1"/>
      <c r="D26" s="279"/>
      <c r="E26" s="373"/>
      <c r="F26" s="373"/>
      <c r="G26" s="373"/>
      <c r="H26" s="355" t="s">
        <v>162</v>
      </c>
      <c r="I26" s="306">
        <v>31239.439999999995</v>
      </c>
      <c r="J26" s="305">
        <v>2443.4</v>
      </c>
      <c r="K26" s="306">
        <v>1496.52</v>
      </c>
      <c r="L26" s="305">
        <v>40132</v>
      </c>
      <c r="M26" s="105">
        <f t="shared" si="5"/>
        <v>112611.86999999998</v>
      </c>
      <c r="N26" s="373"/>
      <c r="P26" s="373"/>
      <c r="Q26" s="373"/>
      <c r="R26" s="373"/>
      <c r="S26" s="87"/>
      <c r="T26" s="87"/>
      <c r="V26" s="373"/>
    </row>
    <row r="27" spans="1:22" x14ac:dyDescent="0.25">
      <c r="A27" s="346"/>
      <c r="B27" s="205"/>
      <c r="C27" s="1"/>
      <c r="D27" s="279"/>
      <c r="E27" s="373"/>
      <c r="F27" s="373"/>
      <c r="G27" s="373"/>
      <c r="H27" s="395" t="s">
        <v>163</v>
      </c>
      <c r="I27" s="396">
        <v>28986.99</v>
      </c>
      <c r="J27" s="449">
        <v>6271.4999999999991</v>
      </c>
      <c r="K27" s="450">
        <v>1046.56</v>
      </c>
      <c r="L27" s="450">
        <v>22678.1</v>
      </c>
      <c r="M27" s="105">
        <f>M26-I27-J27-K27+L27</f>
        <v>98984.919999999984</v>
      </c>
      <c r="N27" s="373"/>
      <c r="P27" s="373"/>
      <c r="Q27" s="373"/>
      <c r="R27" s="373"/>
      <c r="S27" s="87"/>
      <c r="T27" s="87"/>
      <c r="V27" s="373"/>
    </row>
    <row r="28" spans="1:22" x14ac:dyDescent="0.25">
      <c r="A28" s="346"/>
      <c r="B28" s="205"/>
      <c r="C28" s="1"/>
      <c r="D28" s="279"/>
      <c r="E28" s="373"/>
      <c r="F28" s="373"/>
      <c r="G28" s="373"/>
      <c r="H28" s="395" t="s">
        <v>192</v>
      </c>
      <c r="I28" s="396">
        <v>31654.69</v>
      </c>
      <c r="J28" s="449">
        <v>7124.02</v>
      </c>
      <c r="K28" s="450">
        <v>1268.5600000000002</v>
      </c>
      <c r="L28" s="450">
        <v>32888</v>
      </c>
      <c r="M28" s="105">
        <f>M27-I28-J28-K28+L28</f>
        <v>91825.64999999998</v>
      </c>
      <c r="N28" s="373"/>
      <c r="P28" s="373"/>
      <c r="Q28" s="373"/>
      <c r="R28" s="373"/>
      <c r="S28" s="87"/>
      <c r="T28" s="87"/>
      <c r="V28" s="373"/>
    </row>
    <row r="29" spans="1:22" ht="12.75" customHeight="1" thickBot="1" x14ac:dyDescent="0.3">
      <c r="A29" s="346"/>
      <c r="B29" s="205"/>
      <c r="C29" s="1"/>
      <c r="D29" s="279"/>
      <c r="E29" s="373"/>
      <c r="F29" s="373"/>
      <c r="G29" s="373"/>
      <c r="H29" s="395" t="s">
        <v>199</v>
      </c>
      <c r="I29" s="396">
        <v>28891.4</v>
      </c>
      <c r="J29" s="449">
        <v>8339.34</v>
      </c>
      <c r="K29" s="450">
        <v>1307.53</v>
      </c>
      <c r="L29" s="450">
        <v>36419</v>
      </c>
      <c r="M29" s="105">
        <f>M28-I29-J29-K29+L29</f>
        <v>89706.379999999976</v>
      </c>
      <c r="N29" s="373"/>
      <c r="P29" s="529"/>
      <c r="Q29" s="373"/>
      <c r="R29" s="373"/>
      <c r="S29" s="373"/>
      <c r="T29" s="373"/>
      <c r="U29" s="373"/>
      <c r="V29" s="373"/>
    </row>
    <row r="30" spans="1:22" ht="12.75" customHeight="1" thickTop="1" x14ac:dyDescent="0.25">
      <c r="A30" s="346"/>
      <c r="B30" s="205"/>
      <c r="C30" s="1"/>
      <c r="D30" s="279"/>
      <c r="E30" s="85"/>
      <c r="F30" s="373"/>
      <c r="G30" s="373"/>
      <c r="H30" s="710" t="s">
        <v>36</v>
      </c>
      <c r="I30" s="712" t="s">
        <v>178</v>
      </c>
      <c r="J30" s="713"/>
      <c r="K30" s="714"/>
      <c r="L30" s="718" t="s">
        <v>159</v>
      </c>
      <c r="M30" s="719"/>
      <c r="N30" s="1"/>
      <c r="P30" s="373"/>
      <c r="Q30" s="373"/>
      <c r="R30" s="373"/>
      <c r="S30" s="373"/>
      <c r="T30" s="373"/>
      <c r="U30" s="373"/>
    </row>
    <row r="31" spans="1:22" ht="13.5" customHeight="1" x14ac:dyDescent="0.25">
      <c r="A31" s="346"/>
      <c r="B31" s="205"/>
      <c r="C31" s="290"/>
      <c r="D31" s="279"/>
      <c r="E31" s="290"/>
      <c r="F31" s="373"/>
      <c r="G31" s="394"/>
      <c r="H31" s="711"/>
      <c r="I31" s="715"/>
      <c r="J31" s="716"/>
      <c r="K31" s="717"/>
      <c r="L31" s="720"/>
      <c r="M31" s="721"/>
      <c r="N31" s="1"/>
      <c r="P31" s="373"/>
      <c r="Q31" s="373"/>
      <c r="R31" s="373"/>
      <c r="S31" s="373"/>
      <c r="T31" s="373"/>
      <c r="U31" s="373"/>
    </row>
    <row r="32" spans="1:22" ht="15.75" customHeight="1" x14ac:dyDescent="0.25">
      <c r="A32" s="346"/>
      <c r="B32" s="205"/>
      <c r="C32" s="205"/>
      <c r="D32" s="279"/>
      <c r="E32" s="205"/>
      <c r="F32" s="373"/>
      <c r="G32" s="394"/>
      <c r="H32" s="393" t="s">
        <v>91</v>
      </c>
      <c r="I32" s="757" t="s">
        <v>47</v>
      </c>
      <c r="J32" s="757"/>
      <c r="K32" s="479">
        <v>288.75</v>
      </c>
      <c r="L32" s="288">
        <v>43845</v>
      </c>
      <c r="M32" s="44" t="s">
        <v>171</v>
      </c>
      <c r="N32" s="153"/>
      <c r="P32" s="533"/>
      <c r="Q32" s="511"/>
      <c r="R32" s="511"/>
      <c r="S32" s="373"/>
      <c r="T32" s="300"/>
      <c r="U32" s="373"/>
    </row>
    <row r="33" spans="1:21" x14ac:dyDescent="0.25">
      <c r="A33" s="346"/>
      <c r="B33" s="373"/>
      <c r="C33" s="280"/>
      <c r="D33" s="279"/>
      <c r="E33" s="280"/>
      <c r="F33" s="373"/>
      <c r="G33" s="373"/>
      <c r="H33" s="393" t="s">
        <v>91</v>
      </c>
      <c r="I33" s="758" t="s">
        <v>51</v>
      </c>
      <c r="J33" s="758"/>
      <c r="K33" s="53">
        <v>60.19</v>
      </c>
      <c r="L33" s="288">
        <v>43845</v>
      </c>
      <c r="M33" s="44" t="s">
        <v>171</v>
      </c>
      <c r="N33" s="1"/>
      <c r="P33" s="524"/>
      <c r="Q33" s="511"/>
      <c r="R33" s="511"/>
      <c r="S33" s="373"/>
      <c r="T33" s="300"/>
      <c r="U33" s="373"/>
    </row>
    <row r="34" spans="1:21" x14ac:dyDescent="0.25">
      <c r="A34" s="347"/>
      <c r="B34" s="373"/>
      <c r="C34" s="373"/>
      <c r="D34" s="279"/>
      <c r="E34" s="205"/>
      <c r="F34" s="373"/>
      <c r="G34" s="373"/>
      <c r="H34" s="393" t="s">
        <v>91</v>
      </c>
      <c r="I34" s="758" t="s">
        <v>52</v>
      </c>
      <c r="J34" s="758"/>
      <c r="K34" s="53">
        <v>4.95</v>
      </c>
      <c r="L34" s="288">
        <v>43845</v>
      </c>
      <c r="M34" s="44" t="s">
        <v>171</v>
      </c>
      <c r="N34" s="1"/>
      <c r="P34" s="533"/>
      <c r="Q34" s="511"/>
      <c r="R34" s="511"/>
      <c r="S34" s="373"/>
      <c r="T34" s="300"/>
      <c r="U34" s="373"/>
    </row>
    <row r="35" spans="1:21" x14ac:dyDescent="0.25">
      <c r="A35" s="347"/>
      <c r="B35" s="373"/>
      <c r="C35" s="373"/>
      <c r="D35" s="279"/>
      <c r="E35" s="373"/>
      <c r="F35" s="373"/>
      <c r="G35" s="373"/>
      <c r="H35" s="393" t="s">
        <v>91</v>
      </c>
      <c r="I35" s="758" t="s">
        <v>49</v>
      </c>
      <c r="J35" s="758"/>
      <c r="K35" s="53">
        <v>257</v>
      </c>
      <c r="L35" s="288">
        <v>43850</v>
      </c>
      <c r="M35" s="44" t="s">
        <v>246</v>
      </c>
      <c r="N35" s="153"/>
      <c r="P35" s="454"/>
      <c r="Q35" s="511"/>
      <c r="R35" s="511"/>
      <c r="S35" s="373"/>
      <c r="T35" s="300"/>
      <c r="U35" s="373"/>
    </row>
    <row r="36" spans="1:21" x14ac:dyDescent="0.25">
      <c r="A36" s="347"/>
      <c r="B36" s="373"/>
      <c r="C36" s="373"/>
      <c r="D36" s="279"/>
      <c r="E36" s="373"/>
      <c r="F36" s="373"/>
      <c r="G36" s="373"/>
      <c r="H36" s="393" t="s">
        <v>91</v>
      </c>
      <c r="I36" s="759" t="s">
        <v>59</v>
      </c>
      <c r="J36" s="759"/>
      <c r="K36" s="480">
        <v>1101.6300000000001</v>
      </c>
      <c r="L36" s="308" t="s">
        <v>177</v>
      </c>
      <c r="M36" s="44" t="s">
        <v>171</v>
      </c>
      <c r="N36" s="1"/>
      <c r="P36" s="454"/>
      <c r="Q36" s="511"/>
      <c r="R36" s="511"/>
      <c r="S36" s="373"/>
      <c r="T36" s="373"/>
      <c r="U36" s="373"/>
    </row>
    <row r="37" spans="1:21" x14ac:dyDescent="0.25">
      <c r="A37" s="347"/>
      <c r="B37" s="205"/>
      <c r="C37" s="205"/>
      <c r="D37" s="279"/>
      <c r="E37" s="205"/>
      <c r="F37" s="373"/>
      <c r="G37" s="373"/>
      <c r="H37" s="393" t="s">
        <v>91</v>
      </c>
      <c r="I37" s="760" t="s">
        <v>68</v>
      </c>
      <c r="J37" s="761"/>
      <c r="K37" s="53">
        <v>338.19</v>
      </c>
      <c r="L37" s="288">
        <v>43850</v>
      </c>
      <c r="M37" s="44" t="s">
        <v>171</v>
      </c>
      <c r="N37" s="1"/>
      <c r="P37" s="533"/>
      <c r="Q37" s="511"/>
      <c r="R37" s="511"/>
      <c r="S37" s="373"/>
      <c r="T37" s="300"/>
      <c r="U37" s="373"/>
    </row>
    <row r="38" spans="1:21" x14ac:dyDescent="0.25">
      <c r="A38" s="347"/>
      <c r="B38" s="205"/>
      <c r="C38" s="373"/>
      <c r="D38" s="279"/>
      <c r="E38" s="205"/>
      <c r="F38" s="373"/>
      <c r="G38" s="373"/>
      <c r="H38" s="393" t="s">
        <v>91</v>
      </c>
      <c r="I38" s="527" t="s">
        <v>174</v>
      </c>
      <c r="J38" s="528"/>
      <c r="K38" s="53">
        <f>298.1+160.36</f>
        <v>458.46000000000004</v>
      </c>
      <c r="L38" s="288">
        <v>43845</v>
      </c>
      <c r="M38" s="44" t="s">
        <v>171</v>
      </c>
      <c r="N38" s="1"/>
      <c r="P38" s="373"/>
      <c r="Q38" s="372"/>
      <c r="R38" s="372"/>
      <c r="S38" s="373"/>
      <c r="T38" s="300"/>
      <c r="U38" s="373"/>
    </row>
    <row r="39" spans="1:21" x14ac:dyDescent="0.25">
      <c r="A39" s="347"/>
      <c r="B39" s="205"/>
      <c r="C39" s="373"/>
      <c r="D39" s="279"/>
      <c r="E39" s="205"/>
      <c r="F39" s="373"/>
      <c r="G39" s="373"/>
      <c r="H39" s="393" t="s">
        <v>91</v>
      </c>
      <c r="I39" s="527" t="s">
        <v>176</v>
      </c>
      <c r="J39" s="528"/>
      <c r="K39" s="53">
        <v>474.46</v>
      </c>
      <c r="L39" s="288">
        <v>43849</v>
      </c>
      <c r="M39" s="44" t="s">
        <v>171</v>
      </c>
      <c r="N39" s="1"/>
      <c r="P39" s="373"/>
      <c r="Q39" s="372"/>
      <c r="R39" s="372"/>
      <c r="S39" s="373"/>
      <c r="T39" s="300"/>
      <c r="U39" s="373"/>
    </row>
    <row r="40" spans="1:21" x14ac:dyDescent="0.25">
      <c r="A40" s="347"/>
      <c r="B40" s="205"/>
      <c r="C40" s="373"/>
      <c r="D40" s="279"/>
      <c r="E40" s="238"/>
      <c r="F40" s="373"/>
      <c r="G40" s="373"/>
      <c r="H40" s="393" t="s">
        <v>91</v>
      </c>
      <c r="I40" s="760" t="s">
        <v>81</v>
      </c>
      <c r="J40" s="761"/>
      <c r="K40" s="53">
        <v>1496.82</v>
      </c>
      <c r="L40" s="288">
        <v>43845</v>
      </c>
      <c r="M40" s="44" t="s">
        <v>171</v>
      </c>
      <c r="N40" s="1"/>
      <c r="P40" s="373"/>
      <c r="Q40" s="511"/>
      <c r="R40" s="511"/>
      <c r="S40" s="373"/>
      <c r="T40" s="300"/>
      <c r="U40" s="373"/>
    </row>
    <row r="41" spans="1:21" x14ac:dyDescent="0.25">
      <c r="A41" s="347"/>
      <c r="B41" s="205"/>
      <c r="C41" s="373"/>
      <c r="D41" s="279"/>
      <c r="E41" s="238"/>
      <c r="F41" s="373"/>
      <c r="G41" s="373"/>
      <c r="H41" s="393" t="s">
        <v>91</v>
      </c>
      <c r="I41" s="760" t="s">
        <v>181</v>
      </c>
      <c r="J41" s="761"/>
      <c r="K41" s="53">
        <v>10</v>
      </c>
      <c r="L41" s="288">
        <v>43845</v>
      </c>
      <c r="M41" s="44" t="s">
        <v>171</v>
      </c>
      <c r="N41" s="1"/>
      <c r="P41" s="373"/>
      <c r="Q41" s="372"/>
      <c r="R41" s="373"/>
      <c r="S41" s="373"/>
      <c r="T41" s="300"/>
      <c r="U41" s="373"/>
    </row>
    <row r="42" spans="1:21" x14ac:dyDescent="0.25">
      <c r="A42" s="347"/>
      <c r="B42" s="205"/>
      <c r="C42" s="373"/>
      <c r="D42" s="279"/>
      <c r="E42" s="238"/>
      <c r="F42" s="373"/>
      <c r="G42" s="373"/>
      <c r="H42" s="393" t="s">
        <v>91</v>
      </c>
      <c r="I42" s="677" t="s">
        <v>61</v>
      </c>
      <c r="J42" s="677"/>
      <c r="K42" s="53">
        <f>J5</f>
        <v>2957.59</v>
      </c>
      <c r="L42" s="288">
        <v>43850</v>
      </c>
      <c r="M42" s="44" t="s">
        <v>171</v>
      </c>
      <c r="N42" s="1"/>
      <c r="P42" s="373"/>
      <c r="Q42" s="372"/>
      <c r="R42" s="372"/>
      <c r="S42" s="373"/>
      <c r="T42" s="300"/>
      <c r="U42" s="373"/>
    </row>
    <row r="43" spans="1:21" ht="15.75" thickBot="1" x14ac:dyDescent="0.3">
      <c r="A43" s="348"/>
      <c r="B43" s="337"/>
      <c r="C43" s="338"/>
      <c r="D43" s="349"/>
      <c r="E43" s="337"/>
      <c r="F43" s="338"/>
      <c r="G43" s="338"/>
      <c r="H43" s="353"/>
      <c r="I43" s="368" t="s">
        <v>179</v>
      </c>
      <c r="J43" s="368">
        <f>SUM(K32:K42)</f>
        <v>7448.04</v>
      </c>
      <c r="K43" s="730" t="s">
        <v>180</v>
      </c>
      <c r="L43" s="730"/>
      <c r="M43" s="542">
        <v>0</v>
      </c>
      <c r="N43" s="1"/>
      <c r="P43" s="373"/>
      <c r="Q43" s="373"/>
      <c r="R43" s="373"/>
      <c r="S43" s="373"/>
      <c r="T43" s="373"/>
      <c r="U43" s="373"/>
    </row>
    <row r="44" spans="1:21" ht="15.75" thickTop="1" x14ac:dyDescent="0.25">
      <c r="A44" s="373"/>
      <c r="B44" s="373"/>
      <c r="C44" s="373"/>
      <c r="D44" s="373"/>
      <c r="E44" s="373"/>
      <c r="F44" s="373"/>
      <c r="G44" s="373"/>
      <c r="H44" s="744"/>
      <c r="I44" s="744"/>
      <c r="J44" s="744"/>
      <c r="K44" s="744"/>
      <c r="L44" s="373"/>
      <c r="M44" s="460"/>
      <c r="N44" s="1"/>
      <c r="P44" s="373"/>
      <c r="Q44" s="373"/>
      <c r="R44" s="373"/>
      <c r="S44" s="373"/>
      <c r="T44" s="373"/>
      <c r="U44" s="373"/>
    </row>
    <row r="45" spans="1:21" x14ac:dyDescent="0.25">
      <c r="A45" s="373"/>
      <c r="B45" s="742" t="s">
        <v>247</v>
      </c>
      <c r="C45" s="742"/>
      <c r="D45" s="742"/>
      <c r="E45" s="742"/>
      <c r="F45" s="742"/>
      <c r="G45" s="742"/>
      <c r="H45" s="742"/>
      <c r="I45" s="742"/>
      <c r="J45" s="742"/>
      <c r="K45" s="742"/>
      <c r="L45" s="373"/>
      <c r="M45" s="460"/>
      <c r="N45" s="1"/>
      <c r="P45" s="1"/>
      <c r="Q45" s="373"/>
      <c r="R45" s="373"/>
      <c r="S45" s="373"/>
      <c r="T45" s="373"/>
    </row>
    <row r="46" spans="1:21" ht="15.75" thickBot="1" x14ac:dyDescent="0.3">
      <c r="B46" s="743"/>
      <c r="C46" s="743"/>
      <c r="D46" s="743"/>
      <c r="E46" s="743"/>
      <c r="F46" s="743"/>
      <c r="G46" s="743"/>
      <c r="H46" s="743"/>
      <c r="I46" s="743"/>
      <c r="J46" s="743"/>
      <c r="K46" s="743"/>
      <c r="L46" s="1"/>
      <c r="M46" s="1"/>
      <c r="N46" s="1"/>
      <c r="P46" s="1"/>
      <c r="Q46" s="373"/>
      <c r="R46" s="372"/>
      <c r="S46" s="511"/>
      <c r="T46" s="373"/>
    </row>
    <row r="47" spans="1:21" ht="15.75" thickTop="1" x14ac:dyDescent="0.25">
      <c r="A47" s="739" t="s">
        <v>28</v>
      </c>
      <c r="B47" s="682"/>
      <c r="C47" s="682"/>
      <c r="D47" s="682"/>
      <c r="E47" s="682"/>
      <c r="F47" s="682"/>
      <c r="G47" s="683"/>
      <c r="H47" s="740" t="s">
        <v>202</v>
      </c>
      <c r="I47" s="738"/>
      <c r="J47" s="738"/>
      <c r="K47" s="738"/>
      <c r="L47" s="738"/>
      <c r="M47" s="741"/>
      <c r="N47" s="1"/>
      <c r="P47" s="1"/>
      <c r="Q47" s="459"/>
      <c r="R47" s="205"/>
      <c r="S47" s="280"/>
      <c r="T47" s="373"/>
    </row>
    <row r="48" spans="1:21" x14ac:dyDescent="0.25">
      <c r="A48" s="330" t="s">
        <v>2</v>
      </c>
      <c r="B48" s="508" t="s">
        <v>34</v>
      </c>
      <c r="C48" s="36" t="s">
        <v>35</v>
      </c>
      <c r="D48" s="36" t="s">
        <v>38</v>
      </c>
      <c r="E48" s="36" t="s">
        <v>42</v>
      </c>
      <c r="F48" s="508" t="s">
        <v>36</v>
      </c>
      <c r="G48" s="101" t="s">
        <v>173</v>
      </c>
      <c r="H48" s="43"/>
      <c r="I48" s="504" t="s">
        <v>35</v>
      </c>
      <c r="J48" s="504" t="s">
        <v>38</v>
      </c>
      <c r="K48" s="504" t="s">
        <v>42</v>
      </c>
      <c r="L48" s="269" t="s">
        <v>44</v>
      </c>
      <c r="M48" s="461"/>
      <c r="N48" s="1"/>
      <c r="P48" s="1"/>
      <c r="Q48" s="459"/>
      <c r="R48" s="205"/>
      <c r="S48" s="280"/>
      <c r="T48" s="373"/>
    </row>
    <row r="49" spans="1:20" x14ac:dyDescent="0.25">
      <c r="A49" s="331">
        <v>43835</v>
      </c>
      <c r="B49" s="164" t="s">
        <v>244</v>
      </c>
      <c r="C49" s="99">
        <v>679.7</v>
      </c>
      <c r="D49" s="99">
        <v>679.7</v>
      </c>
      <c r="E49" s="163" t="str">
        <f>IF(C49-D49=0,"",C49-D49)</f>
        <v/>
      </c>
      <c r="F49" s="165" t="str">
        <f t="shared" ref="F49:F65" si="6">IF(C49=0,"",IF(C49-D49=0,"оплачено","ОЖИДАЕТСЯ оплата"))</f>
        <v>оплачено</v>
      </c>
      <c r="G49" s="469"/>
      <c r="H49" s="43"/>
      <c r="I49" s="510">
        <v>703.01</v>
      </c>
      <c r="J49" s="541">
        <v>703.01</v>
      </c>
      <c r="K49" s="163">
        <f t="shared" ref="K49" si="7">I49-J49</f>
        <v>0</v>
      </c>
      <c r="L49" s="3">
        <v>43851</v>
      </c>
      <c r="M49" s="451"/>
      <c r="N49" s="1"/>
      <c r="P49" s="1"/>
      <c r="Q49" s="373"/>
      <c r="R49" s="373"/>
      <c r="S49" s="373"/>
      <c r="T49" s="373"/>
    </row>
    <row r="50" spans="1:20" x14ac:dyDescent="0.25">
      <c r="A50" s="331">
        <v>43839</v>
      </c>
      <c r="B50" s="164" t="s">
        <v>205</v>
      </c>
      <c r="C50" s="99">
        <v>412.54</v>
      </c>
      <c r="D50" s="99">
        <v>412.54</v>
      </c>
      <c r="E50" s="163"/>
      <c r="F50" s="165" t="str">
        <f t="shared" si="6"/>
        <v>оплачено</v>
      </c>
      <c r="G50" s="469"/>
      <c r="H50" s="43"/>
      <c r="I50" s="299"/>
      <c r="J50" s="299"/>
      <c r="K50" s="462"/>
      <c r="L50" s="147"/>
      <c r="M50" s="451"/>
      <c r="N50" s="1"/>
      <c r="P50" s="1"/>
      <c r="Q50" s="373"/>
      <c r="R50" s="373"/>
      <c r="S50" s="373"/>
      <c r="T50" s="373"/>
    </row>
    <row r="51" spans="1:20" x14ac:dyDescent="0.25">
      <c r="A51" s="331">
        <v>43844</v>
      </c>
      <c r="B51" s="164" t="s">
        <v>29</v>
      </c>
      <c r="C51" s="281">
        <v>230.2</v>
      </c>
      <c r="D51" s="281">
        <v>230.2</v>
      </c>
      <c r="E51" s="163"/>
      <c r="F51" s="165" t="str">
        <f t="shared" si="6"/>
        <v>оплачено</v>
      </c>
      <c r="G51" s="469"/>
      <c r="H51" s="43"/>
      <c r="I51" s="1"/>
      <c r="J51" s="373"/>
      <c r="K51" s="1"/>
      <c r="L51" s="1"/>
      <c r="M51" s="44"/>
      <c r="N51" s="1"/>
      <c r="O51" s="373"/>
      <c r="P51" s="1"/>
    </row>
    <row r="52" spans="1:20" x14ac:dyDescent="0.25">
      <c r="A52" s="331">
        <v>43852</v>
      </c>
      <c r="B52" s="164" t="s">
        <v>29</v>
      </c>
      <c r="C52" s="99">
        <v>330.3</v>
      </c>
      <c r="D52" s="99">
        <v>330.3</v>
      </c>
      <c r="E52" s="163"/>
      <c r="F52" s="165" t="str">
        <f t="shared" si="6"/>
        <v>оплачено</v>
      </c>
      <c r="G52" s="469"/>
      <c r="H52" s="43"/>
      <c r="I52" s="1"/>
      <c r="J52" s="373"/>
      <c r="K52" s="1"/>
      <c r="L52" s="1"/>
      <c r="M52" s="44"/>
      <c r="N52" s="1"/>
      <c r="P52" s="1"/>
    </row>
    <row r="53" spans="1:20" x14ac:dyDescent="0.25">
      <c r="A53" s="331">
        <v>43859</v>
      </c>
      <c r="B53" s="164" t="s">
        <v>212</v>
      </c>
      <c r="C53" s="99">
        <v>445.5</v>
      </c>
      <c r="D53" s="99">
        <v>445.5</v>
      </c>
      <c r="E53" s="163"/>
      <c r="F53" s="165" t="str">
        <f t="shared" si="6"/>
        <v>оплачено</v>
      </c>
      <c r="G53" s="469"/>
      <c r="H53" s="43"/>
      <c r="I53" s="1"/>
      <c r="J53" s="373"/>
      <c r="K53" s="1"/>
      <c r="L53" s="1"/>
      <c r="M53" s="44"/>
      <c r="N53" s="1"/>
      <c r="P53" s="1"/>
    </row>
    <row r="54" spans="1:20" x14ac:dyDescent="0.25">
      <c r="A54" s="331"/>
      <c r="B54" s="164"/>
      <c r="C54" s="281"/>
      <c r="D54" s="281"/>
      <c r="E54" s="163"/>
      <c r="F54" s="165" t="str">
        <f t="shared" si="6"/>
        <v/>
      </c>
      <c r="G54" s="469"/>
      <c r="H54" s="43"/>
      <c r="I54" s="1"/>
      <c r="J54" s="373"/>
      <c r="K54" s="1"/>
      <c r="L54" s="1"/>
      <c r="M54" s="44"/>
      <c r="N54" s="1"/>
      <c r="P54" s="1"/>
    </row>
    <row r="55" spans="1:20" x14ac:dyDescent="0.25">
      <c r="A55" s="331"/>
      <c r="B55" s="164"/>
      <c r="C55" s="281"/>
      <c r="D55" s="281"/>
      <c r="E55" s="163"/>
      <c r="F55" s="165" t="str">
        <f t="shared" si="6"/>
        <v/>
      </c>
      <c r="G55" s="469"/>
      <c r="H55" s="43"/>
      <c r="I55" s="1"/>
      <c r="J55" s="373"/>
      <c r="K55" s="1"/>
      <c r="L55" s="1"/>
      <c r="M55" s="44"/>
      <c r="N55" s="1"/>
      <c r="P55" s="1"/>
    </row>
    <row r="56" spans="1:20" x14ac:dyDescent="0.25">
      <c r="A56" s="331"/>
      <c r="B56" s="164"/>
      <c r="C56" s="281"/>
      <c r="D56" s="281"/>
      <c r="E56" s="163"/>
      <c r="F56" s="165" t="str">
        <f t="shared" si="6"/>
        <v/>
      </c>
      <c r="G56" s="469"/>
      <c r="H56" s="43"/>
      <c r="I56" s="1"/>
      <c r="J56" s="373"/>
      <c r="K56" s="1"/>
      <c r="L56" s="1"/>
      <c r="M56" s="44"/>
      <c r="N56" s="1"/>
      <c r="O56" s="373"/>
      <c r="P56" s="1"/>
    </row>
    <row r="57" spans="1:20" x14ac:dyDescent="0.25">
      <c r="A57" s="331"/>
      <c r="B57" s="164"/>
      <c r="C57" s="281"/>
      <c r="D57" s="281"/>
      <c r="E57" s="163"/>
      <c r="F57" s="165" t="str">
        <f t="shared" si="6"/>
        <v/>
      </c>
      <c r="G57" s="469"/>
      <c r="H57" s="43"/>
      <c r="I57" s="1"/>
      <c r="J57" s="373"/>
      <c r="K57" s="1"/>
      <c r="L57" s="1"/>
      <c r="M57" s="44"/>
      <c r="N57" s="1"/>
      <c r="O57" s="373"/>
      <c r="P57" s="1"/>
    </row>
    <row r="58" spans="1:20" x14ac:dyDescent="0.25">
      <c r="A58" s="331"/>
      <c r="B58" s="164"/>
      <c r="C58" s="281"/>
      <c r="D58" s="164"/>
      <c r="E58" s="163"/>
      <c r="F58" s="165" t="str">
        <f t="shared" si="6"/>
        <v/>
      </c>
      <c r="G58" s="469"/>
      <c r="H58" s="43"/>
      <c r="I58" s="1"/>
      <c r="J58" s="373"/>
      <c r="K58" s="1"/>
      <c r="L58" s="1"/>
      <c r="M58" s="44"/>
      <c r="N58" s="1"/>
      <c r="O58" s="373"/>
      <c r="P58" s="1"/>
    </row>
    <row r="59" spans="1:20" x14ac:dyDescent="0.25">
      <c r="A59" s="331"/>
      <c r="B59" s="164"/>
      <c r="C59" s="281"/>
      <c r="D59" s="164"/>
      <c r="E59" s="163"/>
      <c r="F59" s="165" t="str">
        <f t="shared" si="6"/>
        <v/>
      </c>
      <c r="G59" s="469"/>
      <c r="H59" s="43"/>
      <c r="I59" s="1"/>
      <c r="J59" s="373"/>
      <c r="K59" s="1"/>
      <c r="L59" s="1"/>
      <c r="M59" s="44"/>
      <c r="N59" s="1"/>
      <c r="O59" s="373"/>
      <c r="P59" s="1"/>
    </row>
    <row r="60" spans="1:20" x14ac:dyDescent="0.25">
      <c r="A60" s="331"/>
      <c r="B60" s="164"/>
      <c r="C60" s="281"/>
      <c r="D60" s="281"/>
      <c r="E60" s="163"/>
      <c r="F60" s="165" t="str">
        <f t="shared" si="6"/>
        <v/>
      </c>
      <c r="G60" s="469"/>
      <c r="H60" s="43"/>
      <c r="I60" s="1"/>
      <c r="J60" s="373"/>
      <c r="K60" s="1"/>
      <c r="L60" s="1"/>
      <c r="M60" s="44"/>
      <c r="N60" s="1"/>
      <c r="O60" s="373"/>
      <c r="P60" s="1"/>
    </row>
    <row r="61" spans="1:20" x14ac:dyDescent="0.25">
      <c r="A61" s="333"/>
      <c r="B61" s="164"/>
      <c r="C61" s="164"/>
      <c r="D61" s="164"/>
      <c r="E61" s="163"/>
      <c r="F61" s="165" t="str">
        <f t="shared" si="6"/>
        <v/>
      </c>
      <c r="G61" s="469"/>
      <c r="H61" s="43"/>
      <c r="I61" s="1"/>
      <c r="J61" s="373"/>
      <c r="K61" s="1"/>
      <c r="L61" s="1"/>
      <c r="M61" s="44"/>
      <c r="N61" s="1"/>
      <c r="O61" s="373"/>
      <c r="P61" s="1"/>
    </row>
    <row r="62" spans="1:20" x14ac:dyDescent="0.25">
      <c r="A62" s="334"/>
      <c r="B62" s="164"/>
      <c r="C62" s="164"/>
      <c r="D62" s="164"/>
      <c r="E62" s="163"/>
      <c r="F62" s="165" t="str">
        <f t="shared" si="6"/>
        <v/>
      </c>
      <c r="G62" s="469"/>
      <c r="H62" s="43"/>
      <c r="I62" s="1"/>
      <c r="J62" s="373"/>
      <c r="K62" s="1"/>
      <c r="L62" s="1"/>
      <c r="M62" s="44"/>
      <c r="N62" s="1"/>
      <c r="O62" s="373"/>
      <c r="P62" s="1"/>
    </row>
    <row r="63" spans="1:20" x14ac:dyDescent="0.25">
      <c r="A63" s="334"/>
      <c r="B63" s="164"/>
      <c r="C63" s="164"/>
      <c r="D63" s="164"/>
      <c r="E63" s="163"/>
      <c r="F63" s="165" t="str">
        <f t="shared" si="6"/>
        <v/>
      </c>
      <c r="G63" s="469"/>
      <c r="H63" s="43"/>
      <c r="I63" s="1"/>
      <c r="J63" s="373"/>
      <c r="K63" s="1"/>
      <c r="L63" s="1"/>
      <c r="M63" s="44"/>
      <c r="N63" s="1"/>
      <c r="O63" s="373"/>
      <c r="P63" s="373"/>
    </row>
    <row r="64" spans="1:20" x14ac:dyDescent="0.25">
      <c r="A64" s="333"/>
      <c r="B64" s="164"/>
      <c r="C64" s="164"/>
      <c r="D64" s="164"/>
      <c r="E64" s="163"/>
      <c r="F64" s="165" t="str">
        <f t="shared" si="6"/>
        <v/>
      </c>
      <c r="G64" s="469"/>
      <c r="H64" s="43"/>
      <c r="I64" s="1"/>
      <c r="J64" s="373"/>
      <c r="K64" s="1"/>
      <c r="L64" s="1"/>
      <c r="M64" s="44"/>
      <c r="N64" s="1"/>
      <c r="O64" s="373"/>
      <c r="P64" s="373"/>
    </row>
    <row r="65" spans="1:23" ht="15.75" thickBot="1" x14ac:dyDescent="0.3">
      <c r="A65" s="335"/>
      <c r="B65" s="364"/>
      <c r="C65" s="365"/>
      <c r="D65" s="365"/>
      <c r="E65" s="163" t="str">
        <f t="shared" ref="E65" si="8">IF(C65-D65=0,"",C65-D65)</f>
        <v/>
      </c>
      <c r="F65" s="165" t="str">
        <f t="shared" si="6"/>
        <v/>
      </c>
      <c r="G65" s="470"/>
      <c r="H65" s="43"/>
      <c r="I65" s="1"/>
      <c r="J65" s="373"/>
      <c r="K65" s="1"/>
      <c r="L65" s="1"/>
      <c r="M65" s="44"/>
      <c r="N65" s="1"/>
      <c r="O65" s="373"/>
      <c r="P65" s="373"/>
    </row>
    <row r="66" spans="1:23" ht="15.75" thickTop="1" x14ac:dyDescent="0.25">
      <c r="A66" s="358"/>
      <c r="B66" s="359"/>
      <c r="C66" s="360"/>
      <c r="D66" s="360"/>
      <c r="E66" s="361"/>
      <c r="F66" s="359"/>
      <c r="G66" s="392"/>
      <c r="H66" s="723" t="s">
        <v>16</v>
      </c>
      <c r="I66" s="725" t="s">
        <v>17</v>
      </c>
      <c r="J66" s="725" t="s">
        <v>21</v>
      </c>
      <c r="K66" s="725"/>
      <c r="L66" s="726" t="s">
        <v>93</v>
      </c>
      <c r="M66" s="727" t="s">
        <v>95</v>
      </c>
      <c r="N66" s="1"/>
      <c r="O66" s="373"/>
      <c r="P66" s="762"/>
    </row>
    <row r="67" spans="1:23" ht="24" x14ac:dyDescent="0.25">
      <c r="A67" s="362"/>
      <c r="B67" s="207"/>
      <c r="C67" s="207"/>
      <c r="D67" s="207"/>
      <c r="E67" s="222"/>
      <c r="F67" s="207"/>
      <c r="G67" s="207"/>
      <c r="H67" s="724"/>
      <c r="I67" s="685"/>
      <c r="J67" s="505" t="s">
        <v>21</v>
      </c>
      <c r="K67" s="505" t="s">
        <v>25</v>
      </c>
      <c r="L67" s="686"/>
      <c r="M67" s="687"/>
      <c r="N67" s="1"/>
      <c r="O67" s="373"/>
      <c r="P67" s="762"/>
    </row>
    <row r="68" spans="1:23" x14ac:dyDescent="0.25">
      <c r="A68" s="345"/>
      <c r="B68" s="205"/>
      <c r="C68" s="294"/>
      <c r="D68" s="238"/>
      <c r="E68" s="85"/>
      <c r="F68" s="205"/>
      <c r="G68" s="205"/>
      <c r="H68" s="354" t="s">
        <v>163</v>
      </c>
      <c r="I68" s="95">
        <v>2420.3999999999996</v>
      </c>
      <c r="J68" s="95">
        <v>115.5</v>
      </c>
      <c r="K68" s="547">
        <v>132.61000000000001</v>
      </c>
      <c r="L68" s="97">
        <v>22665.5</v>
      </c>
      <c r="M68" s="105">
        <f>L68-I68-J68-K68</f>
        <v>19996.989999999998</v>
      </c>
      <c r="N68" s="1"/>
      <c r="O68" s="468"/>
      <c r="P68" s="454"/>
      <c r="Q68" s="87"/>
      <c r="R68" s="87"/>
    </row>
    <row r="69" spans="1:23" x14ac:dyDescent="0.25">
      <c r="A69" s="346"/>
      <c r="B69" s="205"/>
      <c r="C69" s="205"/>
      <c r="D69" s="279"/>
      <c r="E69" s="373"/>
      <c r="F69" s="85"/>
      <c r="G69" s="373"/>
      <c r="H69" s="354" t="s">
        <v>192</v>
      </c>
      <c r="I69" s="95">
        <v>7629.69</v>
      </c>
      <c r="J69" s="95">
        <v>352.29</v>
      </c>
      <c r="K69" s="95">
        <v>193.85000000000002</v>
      </c>
      <c r="L69" s="97">
        <v>10342</v>
      </c>
      <c r="M69" s="105">
        <f>M68-I69-J69-K69+L69</f>
        <v>22163.159999999996</v>
      </c>
      <c r="N69" s="1"/>
      <c r="O69" s="468"/>
      <c r="P69" s="454"/>
      <c r="Q69" s="87"/>
      <c r="R69" s="87"/>
    </row>
    <row r="70" spans="1:23" x14ac:dyDescent="0.25">
      <c r="A70" s="346"/>
      <c r="B70" s="373"/>
      <c r="C70" s="205"/>
      <c r="D70" s="279"/>
      <c r="E70" s="373"/>
      <c r="F70" s="373"/>
      <c r="G70" s="373"/>
      <c r="H70" s="354" t="s">
        <v>199</v>
      </c>
      <c r="I70" s="304">
        <v>8423.6400000000012</v>
      </c>
      <c r="J70" s="95">
        <v>921.3</v>
      </c>
      <c r="K70" s="305">
        <v>312.46000000000004</v>
      </c>
      <c r="L70" s="305">
        <v>16668</v>
      </c>
      <c r="M70" s="105">
        <f>M69-I70-J70-K70+L70</f>
        <v>29173.759999999995</v>
      </c>
      <c r="N70" s="1"/>
      <c r="O70" s="468"/>
      <c r="P70" s="455"/>
      <c r="Q70" s="87"/>
      <c r="R70" s="87"/>
    </row>
    <row r="71" spans="1:23" x14ac:dyDescent="0.25">
      <c r="A71" s="346"/>
      <c r="B71" s="1"/>
      <c r="C71" s="290"/>
      <c r="D71" s="279"/>
      <c r="E71" s="373"/>
      <c r="F71" s="373"/>
      <c r="G71" s="85"/>
      <c r="H71" s="354" t="s">
        <v>209</v>
      </c>
      <c r="I71" s="305"/>
      <c r="J71" s="306"/>
      <c r="K71" s="306"/>
      <c r="L71" s="305"/>
      <c r="M71" s="105"/>
      <c r="N71" s="1"/>
      <c r="O71" s="468"/>
      <c r="P71" s="455"/>
      <c r="Q71" s="87"/>
      <c r="R71" s="87"/>
    </row>
    <row r="72" spans="1:23" x14ac:dyDescent="0.25">
      <c r="A72" s="346"/>
      <c r="B72" s="205"/>
      <c r="C72" s="1"/>
      <c r="D72" s="279"/>
      <c r="E72" s="373"/>
      <c r="F72" s="373"/>
      <c r="G72" s="373"/>
      <c r="H72" s="355" t="s">
        <v>210</v>
      </c>
      <c r="I72" s="306"/>
      <c r="J72" s="305"/>
      <c r="K72" s="306"/>
      <c r="L72" s="305"/>
      <c r="M72" s="105"/>
      <c r="N72" s="1"/>
      <c r="O72" s="468"/>
      <c r="P72" s="455"/>
      <c r="Q72"/>
      <c r="R72" s="87"/>
    </row>
    <row r="73" spans="1:23" ht="15.75" thickBot="1" x14ac:dyDescent="0.3">
      <c r="A73" s="346"/>
      <c r="B73" s="205"/>
      <c r="C73" s="1"/>
      <c r="D73" s="279"/>
      <c r="E73" s="373"/>
      <c r="F73" s="373"/>
      <c r="G73" s="373"/>
      <c r="H73" s="395" t="s">
        <v>211</v>
      </c>
      <c r="I73" s="396"/>
      <c r="J73" s="449"/>
      <c r="K73" s="397"/>
      <c r="L73" s="450"/>
      <c r="M73" s="398"/>
      <c r="N73" s="1"/>
      <c r="O73" s="373"/>
      <c r="P73" s="455"/>
      <c r="Q73" s="87"/>
      <c r="R73" s="87"/>
    </row>
    <row r="74" spans="1:23" ht="15.75" thickTop="1" x14ac:dyDescent="0.25">
      <c r="A74" s="346"/>
      <c r="B74" s="205"/>
      <c r="C74" s="1"/>
      <c r="D74" s="279"/>
      <c r="E74" s="85"/>
      <c r="F74" s="373"/>
      <c r="G74" s="373"/>
      <c r="H74" s="710" t="s">
        <v>36</v>
      </c>
      <c r="I74" s="712" t="s">
        <v>178</v>
      </c>
      <c r="J74" s="713"/>
      <c r="K74" s="714"/>
      <c r="L74" s="718" t="s">
        <v>159</v>
      </c>
      <c r="M74" s="719"/>
      <c r="N74" s="1"/>
      <c r="O74" s="373"/>
      <c r="P74" s="455"/>
      <c r="Q74" s="87"/>
      <c r="R74" s="87"/>
    </row>
    <row r="75" spans="1:23" x14ac:dyDescent="0.25">
      <c r="A75" s="346"/>
      <c r="B75" s="205"/>
      <c r="C75" s="290"/>
      <c r="D75" s="279"/>
      <c r="E75" s="290"/>
      <c r="F75" s="373"/>
      <c r="G75" s="394"/>
      <c r="H75" s="711"/>
      <c r="I75" s="715"/>
      <c r="J75" s="716"/>
      <c r="K75" s="717"/>
      <c r="L75" s="720"/>
      <c r="M75" s="721"/>
      <c r="N75" s="1"/>
      <c r="O75" s="373"/>
      <c r="P75" s="455"/>
      <c r="Q75" s="373"/>
      <c r="R75" s="373"/>
      <c r="S75" s="1"/>
      <c r="T75" s="1"/>
      <c r="U75" s="1"/>
      <c r="V75" s="1"/>
      <c r="W75" s="1"/>
    </row>
    <row r="76" spans="1:23" x14ac:dyDescent="0.25">
      <c r="A76" s="346"/>
      <c r="B76" s="205"/>
      <c r="C76" s="205"/>
      <c r="D76" s="279"/>
      <c r="E76" s="205"/>
      <c r="F76" s="373"/>
      <c r="G76" s="394"/>
      <c r="H76" s="393" t="s">
        <v>91</v>
      </c>
      <c r="I76" s="722" t="s">
        <v>47</v>
      </c>
      <c r="J76" s="722"/>
      <c r="K76" s="479">
        <v>28.88</v>
      </c>
      <c r="L76" s="288">
        <v>15</v>
      </c>
      <c r="M76" s="44" t="s">
        <v>171</v>
      </c>
      <c r="P76" s="455"/>
      <c r="Q76" s="529"/>
      <c r="R76" s="373"/>
      <c r="S76" s="1"/>
      <c r="T76" s="1"/>
      <c r="U76" s="1"/>
      <c r="V76" s="1"/>
      <c r="W76" s="1"/>
    </row>
    <row r="77" spans="1:23" x14ac:dyDescent="0.25">
      <c r="A77" s="346"/>
      <c r="B77" s="373"/>
      <c r="C77" s="280"/>
      <c r="D77" s="279"/>
      <c r="E77" s="280"/>
      <c r="F77" s="373"/>
      <c r="G77" s="373"/>
      <c r="H77" s="357" t="s">
        <v>250</v>
      </c>
      <c r="I77" s="680" t="s">
        <v>51</v>
      </c>
      <c r="J77" s="680"/>
      <c r="K77" s="53">
        <v>0</v>
      </c>
      <c r="L77" s="288">
        <v>15</v>
      </c>
      <c r="M77" s="44" t="s">
        <v>171</v>
      </c>
      <c r="P77" s="455"/>
      <c r="Q77" s="87"/>
      <c r="R77" s="87"/>
      <c r="S77" s="1"/>
      <c r="T77" s="1"/>
      <c r="U77" s="1"/>
      <c r="V77" s="1"/>
      <c r="W77" s="1"/>
    </row>
    <row r="78" spans="1:23" x14ac:dyDescent="0.25">
      <c r="A78" s="347"/>
      <c r="B78" s="373"/>
      <c r="C78" s="373"/>
      <c r="D78" s="279"/>
      <c r="E78" s="205"/>
      <c r="F78" s="373"/>
      <c r="G78" s="373"/>
      <c r="H78" s="393" t="s">
        <v>91</v>
      </c>
      <c r="I78" s="680" t="s">
        <v>52</v>
      </c>
      <c r="J78" s="680"/>
      <c r="K78" s="53">
        <v>0.5</v>
      </c>
      <c r="L78" s="288">
        <v>15</v>
      </c>
      <c r="M78" s="44" t="s">
        <v>171</v>
      </c>
      <c r="P78"/>
      <c r="Q78"/>
      <c r="R78" s="548"/>
      <c r="S78" s="1"/>
      <c r="T78" s="288"/>
      <c r="U78" s="1"/>
      <c r="V78" s="1"/>
      <c r="W78" s="1"/>
    </row>
    <row r="79" spans="1:23" x14ac:dyDescent="0.25">
      <c r="A79" s="347"/>
      <c r="B79" s="373"/>
      <c r="C79" s="373"/>
      <c r="D79" s="279"/>
      <c r="E79" s="373"/>
      <c r="F79" s="373"/>
      <c r="G79" s="373"/>
      <c r="H79" s="393" t="s">
        <v>91</v>
      </c>
      <c r="I79" s="680" t="s">
        <v>49</v>
      </c>
      <c r="J79" s="680"/>
      <c r="K79" s="53">
        <v>89</v>
      </c>
      <c r="L79" s="288">
        <v>20</v>
      </c>
      <c r="M79" s="44" t="s">
        <v>246</v>
      </c>
      <c r="P79"/>
      <c r="Q79"/>
      <c r="R79"/>
      <c r="S79" s="1"/>
      <c r="T79" s="288"/>
      <c r="U79" s="1"/>
      <c r="V79" s="1"/>
      <c r="W79" s="1"/>
    </row>
    <row r="80" spans="1:23" x14ac:dyDescent="0.25">
      <c r="A80" s="347"/>
      <c r="B80" s="373"/>
      <c r="C80" s="373"/>
      <c r="D80" s="279"/>
      <c r="E80" s="373"/>
      <c r="F80" s="373"/>
      <c r="G80" s="373"/>
      <c r="H80" s="393" t="s">
        <v>91</v>
      </c>
      <c r="I80" s="677" t="s">
        <v>59</v>
      </c>
      <c r="J80" s="677"/>
      <c r="K80" s="480">
        <v>247.96</v>
      </c>
      <c r="L80" s="308" t="s">
        <v>177</v>
      </c>
      <c r="M80" s="44" t="s">
        <v>171</v>
      </c>
      <c r="P80" s="369"/>
      <c r="Q80" s="540"/>
      <c r="R80" s="538"/>
      <c r="S80" s="1"/>
      <c r="T80" s="288"/>
      <c r="U80" s="1"/>
      <c r="V80" s="1"/>
      <c r="W80" s="1"/>
    </row>
    <row r="81" spans="1:23" x14ac:dyDescent="0.25">
      <c r="A81" s="347"/>
      <c r="B81" s="205"/>
      <c r="C81" s="205"/>
      <c r="D81" s="279"/>
      <c r="E81" s="205"/>
      <c r="F81" s="373"/>
      <c r="G81" s="373"/>
      <c r="H81" s="393" t="s">
        <v>91</v>
      </c>
      <c r="I81" s="678" t="s">
        <v>68</v>
      </c>
      <c r="J81" s="679"/>
      <c r="K81" s="53">
        <v>69.5</v>
      </c>
      <c r="L81" s="288">
        <v>20</v>
      </c>
      <c r="M81" s="44" t="s">
        <v>171</v>
      </c>
      <c r="P81" s="369"/>
      <c r="Q81" s="538"/>
      <c r="R81" s="538"/>
      <c r="S81" s="1"/>
      <c r="T81" s="288"/>
      <c r="U81" s="1"/>
      <c r="V81" s="1"/>
      <c r="W81" s="1"/>
    </row>
    <row r="82" spans="1:23" x14ac:dyDescent="0.25">
      <c r="A82" s="347"/>
      <c r="B82" s="205"/>
      <c r="C82" s="373"/>
      <c r="D82" s="279"/>
      <c r="E82" s="205"/>
      <c r="F82" s="373"/>
      <c r="G82" s="373"/>
      <c r="H82" s="357" t="s">
        <v>250</v>
      </c>
      <c r="I82" s="506" t="s">
        <v>174</v>
      </c>
      <c r="J82" s="507"/>
      <c r="K82" s="53"/>
      <c r="L82" s="288">
        <v>15</v>
      </c>
      <c r="M82" s="44" t="s">
        <v>171</v>
      </c>
      <c r="P82" s="369"/>
      <c r="Q82" s="538"/>
      <c r="R82" s="538"/>
      <c r="S82" s="1"/>
      <c r="T82" s="1"/>
      <c r="U82" s="1"/>
      <c r="V82" s="1"/>
      <c r="W82" s="1"/>
    </row>
    <row r="83" spans="1:23" x14ac:dyDescent="0.25">
      <c r="A83" s="347"/>
      <c r="B83" s="205"/>
      <c r="C83" s="373"/>
      <c r="D83" s="279"/>
      <c r="E83" s="205"/>
      <c r="F83" s="373"/>
      <c r="G83" s="373"/>
      <c r="H83" s="357" t="s">
        <v>250</v>
      </c>
      <c r="I83" s="506" t="s">
        <v>176</v>
      </c>
      <c r="J83" s="507"/>
      <c r="K83" s="53"/>
      <c r="L83" s="288">
        <v>20</v>
      </c>
      <c r="M83" s="44" t="s">
        <v>171</v>
      </c>
      <c r="O83" s="1">
        <v>89</v>
      </c>
      <c r="P83" s="369"/>
      <c r="Q83" s="538"/>
      <c r="R83" s="540"/>
      <c r="S83" s="1"/>
      <c r="T83" s="288"/>
      <c r="U83" s="1"/>
      <c r="V83" s="1"/>
      <c r="W83" s="1"/>
    </row>
    <row r="84" spans="1:23" x14ac:dyDescent="0.25">
      <c r="A84" s="347"/>
      <c r="B84" s="205"/>
      <c r="C84" s="373"/>
      <c r="D84" s="279"/>
      <c r="E84" s="238"/>
      <c r="F84" s="373"/>
      <c r="G84" s="373"/>
      <c r="H84" s="393" t="s">
        <v>91</v>
      </c>
      <c r="I84" s="678" t="s">
        <v>81</v>
      </c>
      <c r="J84" s="679"/>
      <c r="K84" s="53">
        <v>588.1</v>
      </c>
      <c r="L84" s="288">
        <v>43840</v>
      </c>
      <c r="M84" s="44" t="s">
        <v>171</v>
      </c>
      <c r="O84" s="1">
        <f>O83-K79</f>
        <v>0</v>
      </c>
      <c r="P84" s="373"/>
      <c r="Q84" s="373"/>
      <c r="R84" s="372"/>
      <c r="S84" s="1"/>
      <c r="T84" s="288"/>
      <c r="U84" s="373"/>
      <c r="V84" s="1"/>
      <c r="W84" s="1"/>
    </row>
    <row r="85" spans="1:23" x14ac:dyDescent="0.25">
      <c r="A85" s="347"/>
      <c r="B85" s="205"/>
      <c r="C85" s="373"/>
      <c r="D85" s="279"/>
      <c r="E85" s="238"/>
      <c r="F85" s="373"/>
      <c r="G85" s="373"/>
      <c r="H85" s="393" t="s">
        <v>91</v>
      </c>
      <c r="I85" s="678" t="s">
        <v>53</v>
      </c>
      <c r="J85" s="679"/>
      <c r="K85" s="477">
        <v>10</v>
      </c>
      <c r="L85" s="288">
        <v>15</v>
      </c>
      <c r="M85" s="44" t="s">
        <v>171</v>
      </c>
      <c r="P85" s="455"/>
      <c r="Q85" s="87"/>
      <c r="R85" s="87"/>
      <c r="S85" s="1"/>
      <c r="T85" s="288"/>
      <c r="U85" s="373"/>
      <c r="V85" s="1"/>
      <c r="W85" s="1"/>
    </row>
    <row r="86" spans="1:23" x14ac:dyDescent="0.25">
      <c r="A86" s="347"/>
      <c r="B86" s="205"/>
      <c r="C86" s="373"/>
      <c r="D86" s="279"/>
      <c r="E86" s="238"/>
      <c r="F86" s="373"/>
      <c r="G86" s="373"/>
      <c r="H86" s="393" t="s">
        <v>91</v>
      </c>
      <c r="I86" s="677" t="s">
        <v>61</v>
      </c>
      <c r="J86" s="677"/>
      <c r="K86" s="53">
        <v>703.01</v>
      </c>
      <c r="L86" s="288">
        <v>20</v>
      </c>
      <c r="M86" s="44" t="s">
        <v>171</v>
      </c>
      <c r="P86"/>
      <c r="Q86"/>
      <c r="R86"/>
      <c r="S86" s="373"/>
      <c r="T86" s="288"/>
      <c r="U86" s="1"/>
      <c r="V86" s="1"/>
      <c r="W86" s="1"/>
    </row>
    <row r="87" spans="1:23" ht="15.75" thickBot="1" x14ac:dyDescent="0.3">
      <c r="A87" s="348"/>
      <c r="B87" s="337"/>
      <c r="C87" s="338"/>
      <c r="D87" s="349"/>
      <c r="E87" s="337"/>
      <c r="F87" s="338"/>
      <c r="G87" s="338"/>
      <c r="H87" s="353"/>
      <c r="I87" s="368" t="s">
        <v>179</v>
      </c>
      <c r="J87" s="368">
        <f>SUM(K76:K86)</f>
        <v>1736.95</v>
      </c>
      <c r="K87" s="730" t="s">
        <v>180</v>
      </c>
      <c r="L87" s="730"/>
      <c r="M87" s="367">
        <v>0</v>
      </c>
      <c r="P87" s="373"/>
      <c r="Q87" s="372"/>
      <c r="R87" s="372"/>
      <c r="S87" s="373"/>
      <c r="T87" s="288"/>
      <c r="U87" s="1"/>
      <c r="V87" s="1"/>
      <c r="W87" s="1"/>
    </row>
    <row r="88" spans="1:23" ht="15.75" thickTop="1" x14ac:dyDescent="0.25">
      <c r="C88" s="566"/>
      <c r="D88" s="566"/>
      <c r="P88" s="373"/>
      <c r="Q88" s="564"/>
      <c r="R88" s="372"/>
      <c r="S88" s="373"/>
      <c r="T88" s="288"/>
      <c r="U88" s="1"/>
      <c r="V88" s="1"/>
      <c r="W88" s="1"/>
    </row>
    <row r="89" spans="1:23" x14ac:dyDescent="0.25">
      <c r="C89" s="465"/>
      <c r="P89" s="1"/>
      <c r="Q89" s="1"/>
      <c r="R89" s="1"/>
      <c r="S89" s="1"/>
      <c r="T89" s="1"/>
      <c r="U89" s="1"/>
      <c r="V89" s="1"/>
      <c r="W89" s="1"/>
    </row>
    <row r="90" spans="1:23" x14ac:dyDescent="0.25">
      <c r="C90" s="465"/>
      <c r="P90" s="539"/>
      <c r="Q90" s="1"/>
      <c r="R90" s="1"/>
      <c r="S90" s="1"/>
      <c r="T90" s="1"/>
      <c r="U90" s="1"/>
      <c r="V90" s="1"/>
      <c r="W90" s="1"/>
    </row>
    <row r="91" spans="1:23" x14ac:dyDescent="0.25">
      <c r="C91" s="465"/>
      <c r="E91" s="87"/>
      <c r="P91"/>
      <c r="Q91"/>
      <c r="R91" s="1"/>
      <c r="S91" s="1"/>
      <c r="T91" s="1"/>
      <c r="U91" s="1"/>
      <c r="V91" s="1"/>
      <c r="W91" s="1"/>
    </row>
    <row r="92" spans="1:23" x14ac:dyDescent="0.25">
      <c r="C92" s="465"/>
      <c r="P92" s="1"/>
      <c r="Q92" s="1"/>
      <c r="R92" s="1"/>
      <c r="S92" s="1"/>
      <c r="T92" s="1"/>
      <c r="U92" s="1"/>
      <c r="V92" s="1"/>
      <c r="W92" s="1"/>
    </row>
    <row r="93" spans="1:23" x14ac:dyDescent="0.25">
      <c r="C93" s="465"/>
      <c r="P93" s="1"/>
      <c r="Q93" s="1"/>
      <c r="R93" s="1"/>
      <c r="S93" s="1"/>
      <c r="T93" s="1"/>
      <c r="U93" s="1"/>
      <c r="V93" s="1"/>
      <c r="W93" s="1"/>
    </row>
    <row r="94" spans="1:23" x14ac:dyDescent="0.25">
      <c r="C94" s="465"/>
      <c r="P94" s="1"/>
      <c r="Q94" s="1"/>
      <c r="R94" s="1"/>
      <c r="S94" s="1"/>
      <c r="T94" s="1"/>
      <c r="U94" s="1"/>
      <c r="V94" s="1"/>
      <c r="W94" s="1"/>
    </row>
    <row r="95" spans="1:23" x14ac:dyDescent="0.25">
      <c r="C95" s="465"/>
    </row>
    <row r="96" spans="1:23" x14ac:dyDescent="0.25">
      <c r="C96" s="465"/>
      <c r="P96" s="565"/>
    </row>
    <row r="97" spans="3:3" x14ac:dyDescent="0.25">
      <c r="C97" s="465"/>
    </row>
    <row r="98" spans="3:3" x14ac:dyDescent="0.25">
      <c r="C98" s="465"/>
    </row>
    <row r="99" spans="3:3" x14ac:dyDescent="0.25">
      <c r="C99" s="465"/>
    </row>
    <row r="100" spans="3:3" x14ac:dyDescent="0.25">
      <c r="C100" s="465"/>
    </row>
    <row r="101" spans="3:3" x14ac:dyDescent="0.25">
      <c r="C101" s="465"/>
    </row>
    <row r="102" spans="3:3" x14ac:dyDescent="0.25">
      <c r="C102" s="465"/>
    </row>
    <row r="103" spans="3:3" x14ac:dyDescent="0.25">
      <c r="C103" s="465"/>
    </row>
    <row r="104" spans="3:3" x14ac:dyDescent="0.25">
      <c r="C104" s="465"/>
    </row>
    <row r="105" spans="3:3" x14ac:dyDescent="0.25">
      <c r="C105" s="465"/>
    </row>
    <row r="106" spans="3:3" x14ac:dyDescent="0.25">
      <c r="C106" s="465"/>
    </row>
    <row r="107" spans="3:3" x14ac:dyDescent="0.25">
      <c r="C107" s="465"/>
    </row>
    <row r="108" spans="3:3" x14ac:dyDescent="0.25">
      <c r="C108" s="465"/>
    </row>
    <row r="109" spans="3:3" x14ac:dyDescent="0.25">
      <c r="C109" s="465"/>
    </row>
    <row r="110" spans="3:3" x14ac:dyDescent="0.25">
      <c r="C110" s="465"/>
    </row>
    <row r="111" spans="3:3" x14ac:dyDescent="0.25">
      <c r="C111" s="465"/>
    </row>
    <row r="112" spans="3:3" x14ac:dyDescent="0.25">
      <c r="C112" s="465"/>
    </row>
    <row r="113" spans="3:3" x14ac:dyDescent="0.25">
      <c r="C113" s="465"/>
    </row>
    <row r="114" spans="3:3" x14ac:dyDescent="0.25">
      <c r="C114" s="465"/>
    </row>
    <row r="115" spans="3:3" x14ac:dyDescent="0.25">
      <c r="C115" s="465"/>
    </row>
    <row r="116" spans="3:3" x14ac:dyDescent="0.25">
      <c r="C116" s="465"/>
    </row>
    <row r="117" spans="3:3" x14ac:dyDescent="0.25">
      <c r="C117" s="465"/>
    </row>
  </sheetData>
  <sortState ref="P30:P35">
    <sortCondition ref="P30"/>
  </sortState>
  <mergeCells count="47">
    <mergeCell ref="I86:J86"/>
    <mergeCell ref="K87:L87"/>
    <mergeCell ref="I78:J78"/>
    <mergeCell ref="I79:J79"/>
    <mergeCell ref="I80:J80"/>
    <mergeCell ref="I81:J81"/>
    <mergeCell ref="I84:J84"/>
    <mergeCell ref="I85:J85"/>
    <mergeCell ref="P66:P67"/>
    <mergeCell ref="H74:H75"/>
    <mergeCell ref="I74:K75"/>
    <mergeCell ref="L74:M75"/>
    <mergeCell ref="I76:J76"/>
    <mergeCell ref="I77:J77"/>
    <mergeCell ref="A47:G47"/>
    <mergeCell ref="H47:M47"/>
    <mergeCell ref="H66:H67"/>
    <mergeCell ref="I66:I67"/>
    <mergeCell ref="J66:K66"/>
    <mergeCell ref="L66:L67"/>
    <mergeCell ref="M66:M67"/>
    <mergeCell ref="B45:K46"/>
    <mergeCell ref="I32:J32"/>
    <mergeCell ref="I33:J33"/>
    <mergeCell ref="I34:J34"/>
    <mergeCell ref="I35:J35"/>
    <mergeCell ref="I36:J36"/>
    <mergeCell ref="I37:J37"/>
    <mergeCell ref="I40:J40"/>
    <mergeCell ref="I41:J41"/>
    <mergeCell ref="I42:J42"/>
    <mergeCell ref="K43:L43"/>
    <mergeCell ref="H44:K44"/>
    <mergeCell ref="A1:G1"/>
    <mergeCell ref="H1:M1"/>
    <mergeCell ref="H20:H21"/>
    <mergeCell ref="I20:I21"/>
    <mergeCell ref="J20:K20"/>
    <mergeCell ref="L20:L21"/>
    <mergeCell ref="M20:M21"/>
    <mergeCell ref="O1:P1"/>
    <mergeCell ref="H2:I2"/>
    <mergeCell ref="H3:I3"/>
    <mergeCell ref="H4:I4"/>
    <mergeCell ref="H30:H31"/>
    <mergeCell ref="I30:K31"/>
    <mergeCell ref="L30:M31"/>
  </mergeCells>
  <pageMargins left="0.7" right="0.7" top="0.75" bottom="0.75" header="0.3" footer="0.3"/>
  <pageSetup paperSize="9" scale="76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"/>
  <sheetViews>
    <sheetView zoomScale="130" zoomScaleNormal="130" zoomScaleSheetLayoutView="70" zoomScalePageLayoutView="70" workbookViewId="0">
      <pane xSplit="1" ySplit="1" topLeftCell="B4" activePane="bottomRight" state="frozen"/>
      <selection pane="topRight" activeCell="B1" sqref="B1"/>
      <selection pane="bottomLeft" activeCell="A4" sqref="A4"/>
      <selection pane="bottomRight" activeCell="K25" sqref="K25"/>
    </sheetView>
  </sheetViews>
  <sheetFormatPr defaultColWidth="9.140625" defaultRowHeight="15" x14ac:dyDescent="0.25"/>
  <cols>
    <col min="1" max="1" width="6.42578125" style="35" customWidth="1"/>
    <col min="2" max="2" width="5.5703125" style="35" customWidth="1"/>
    <col min="3" max="7" width="13.7109375" style="35" customWidth="1"/>
    <col min="8" max="8" width="10.42578125" style="35" customWidth="1"/>
    <col min="9" max="9" width="9.140625" style="35" customWidth="1"/>
    <col min="10" max="11" width="9.140625" style="35"/>
    <col min="12" max="12" width="10" style="35" customWidth="1"/>
    <col min="13" max="16384" width="9.140625" style="35"/>
  </cols>
  <sheetData>
    <row r="1" spans="1:16" ht="13.5" customHeight="1" x14ac:dyDescent="0.25">
      <c r="B1" s="14" t="s">
        <v>10</v>
      </c>
      <c r="C1" s="14" t="s">
        <v>2</v>
      </c>
      <c r="D1" s="14" t="s">
        <v>46</v>
      </c>
      <c r="E1" s="14" t="s">
        <v>1</v>
      </c>
      <c r="F1" s="14" t="s">
        <v>12</v>
      </c>
      <c r="G1" s="14" t="s">
        <v>184</v>
      </c>
      <c r="H1" s="15" t="s">
        <v>191</v>
      </c>
      <c r="I1" s="490" t="s">
        <v>249</v>
      </c>
      <c r="J1" s="490"/>
      <c r="K1" s="490"/>
      <c r="L1" s="490"/>
    </row>
    <row r="2" spans="1:16" ht="11.1" customHeight="1" x14ac:dyDescent="0.25">
      <c r="B2" s="16">
        <f>IF(C2="","",WEEKDAY(C2,2))</f>
        <v>3</v>
      </c>
      <c r="C2" s="17">
        <v>43831</v>
      </c>
      <c r="D2" s="22"/>
      <c r="E2" s="22"/>
      <c r="F2" s="232"/>
      <c r="G2" s="232"/>
      <c r="H2" s="86"/>
      <c r="I2" s="491"/>
      <c r="J2" s="490"/>
      <c r="K2" s="490"/>
      <c r="L2" s="490"/>
    </row>
    <row r="3" spans="1:16" ht="11.1" customHeight="1" x14ac:dyDescent="0.25">
      <c r="B3" s="16">
        <f t="shared" ref="B3:B32" si="0">IF(C3="","",WEEKDAY(C3,2))</f>
        <v>4</v>
      </c>
      <c r="C3" s="17">
        <v>43832</v>
      </c>
      <c r="D3" s="22">
        <v>431.4</v>
      </c>
      <c r="E3" s="22"/>
      <c r="F3" s="232">
        <v>183.7</v>
      </c>
      <c r="G3" s="232"/>
      <c r="H3" s="232"/>
      <c r="I3" s="491"/>
      <c r="J3" s="490"/>
      <c r="K3" s="490"/>
      <c r="L3" s="490"/>
    </row>
    <row r="4" spans="1:16" ht="11.1" customHeight="1" x14ac:dyDescent="0.25">
      <c r="B4" s="16">
        <f t="shared" si="0"/>
        <v>5</v>
      </c>
      <c r="C4" s="17">
        <v>43833</v>
      </c>
      <c r="D4" s="22"/>
      <c r="E4" s="22">
        <v>570.35</v>
      </c>
      <c r="F4" s="232"/>
      <c r="G4" s="232">
        <v>316.8</v>
      </c>
      <c r="H4" s="232"/>
      <c r="I4" s="491">
        <v>329.05</v>
      </c>
      <c r="J4" s="490"/>
      <c r="K4" s="490"/>
      <c r="L4" s="490"/>
    </row>
    <row r="5" spans="1:16" ht="11.1" customHeight="1" x14ac:dyDescent="0.25">
      <c r="B5" s="16">
        <f t="shared" si="0"/>
        <v>6</v>
      </c>
      <c r="C5" s="17">
        <v>43834</v>
      </c>
      <c r="D5" s="22"/>
      <c r="E5" s="22">
        <v>568.9</v>
      </c>
      <c r="F5" s="232"/>
      <c r="G5" s="232">
        <v>216.6</v>
      </c>
      <c r="H5" s="86"/>
      <c r="I5" s="491">
        <v>23.2</v>
      </c>
      <c r="J5" s="490"/>
      <c r="K5" s="490"/>
      <c r="L5" s="490"/>
    </row>
    <row r="6" spans="1:16" ht="11.1" customHeight="1" x14ac:dyDescent="0.25">
      <c r="B6" s="16">
        <f t="shared" si="0"/>
        <v>7</v>
      </c>
      <c r="C6" s="17">
        <v>43835</v>
      </c>
      <c r="D6" s="22">
        <v>766.15</v>
      </c>
      <c r="E6" s="22"/>
      <c r="F6" s="232"/>
      <c r="G6" s="232">
        <v>195.9</v>
      </c>
      <c r="H6" s="86"/>
      <c r="I6" s="491">
        <v>135.85</v>
      </c>
      <c r="J6" s="490"/>
      <c r="K6" s="490"/>
      <c r="L6" s="490"/>
    </row>
    <row r="7" spans="1:16" ht="11.1" customHeight="1" x14ac:dyDescent="0.25">
      <c r="B7" s="16">
        <f t="shared" si="0"/>
        <v>1</v>
      </c>
      <c r="C7" s="17">
        <v>43836</v>
      </c>
      <c r="D7" s="22">
        <v>1186</v>
      </c>
      <c r="E7" s="22"/>
      <c r="F7" s="232">
        <v>142.30000000000001</v>
      </c>
      <c r="G7" s="232"/>
      <c r="H7" s="86"/>
      <c r="I7" s="491">
        <v>78.7</v>
      </c>
      <c r="J7" s="490"/>
      <c r="K7" s="490"/>
      <c r="L7" s="490"/>
    </row>
    <row r="8" spans="1:16" ht="11.1" customHeight="1" x14ac:dyDescent="0.25">
      <c r="B8" s="16">
        <f t="shared" si="0"/>
        <v>2</v>
      </c>
      <c r="C8" s="17">
        <v>43837</v>
      </c>
      <c r="D8" s="22"/>
      <c r="E8" s="22">
        <v>336.1</v>
      </c>
      <c r="F8" s="232"/>
      <c r="G8" s="232">
        <v>123.2</v>
      </c>
      <c r="H8" s="86"/>
      <c r="I8" s="491"/>
      <c r="J8" s="490"/>
      <c r="K8" s="490"/>
      <c r="L8" s="490"/>
    </row>
    <row r="9" spans="1:16" ht="11.1" customHeight="1" x14ac:dyDescent="0.25">
      <c r="B9" s="16">
        <f>IF(C9="","",WEEKDAY(C9,2))</f>
        <v>3</v>
      </c>
      <c r="C9" s="17">
        <v>43838</v>
      </c>
      <c r="D9" s="22"/>
      <c r="E9" s="22">
        <v>1069.4000000000001</v>
      </c>
      <c r="F9" s="232">
        <v>134.6</v>
      </c>
      <c r="G9" s="232"/>
      <c r="H9" s="18"/>
      <c r="I9" s="491"/>
      <c r="J9" s="490"/>
      <c r="K9" s="490"/>
      <c r="L9" s="490"/>
    </row>
    <row r="10" spans="1:16" ht="11.1" customHeight="1" x14ac:dyDescent="0.25">
      <c r="B10" s="16">
        <f t="shared" si="0"/>
        <v>4</v>
      </c>
      <c r="C10" s="17">
        <v>43839</v>
      </c>
      <c r="D10" s="22">
        <v>718.6</v>
      </c>
      <c r="E10" s="22"/>
      <c r="F10" s="232">
        <v>107.3</v>
      </c>
      <c r="G10" s="232"/>
      <c r="H10" s="448"/>
      <c r="I10" s="491">
        <v>271.10000000000002</v>
      </c>
      <c r="J10" s="490"/>
      <c r="K10" s="490"/>
      <c r="L10" s="490"/>
    </row>
    <row r="11" spans="1:16" ht="11.1" customHeight="1" x14ac:dyDescent="0.25">
      <c r="B11" s="16">
        <f t="shared" si="0"/>
        <v>5</v>
      </c>
      <c r="C11" s="17">
        <v>43840</v>
      </c>
      <c r="D11" s="22">
        <v>556.20000000000005</v>
      </c>
      <c r="E11" s="22"/>
      <c r="F11" s="232"/>
      <c r="G11" s="232">
        <v>142</v>
      </c>
      <c r="H11" s="232"/>
      <c r="I11" s="491">
        <v>20.2</v>
      </c>
      <c r="J11" s="490"/>
      <c r="K11" s="492"/>
      <c r="L11" s="492"/>
      <c r="M11" s="87"/>
      <c r="N11" s="87"/>
      <c r="O11" s="87"/>
      <c r="P11" s="87"/>
    </row>
    <row r="12" spans="1:16" ht="11.1" customHeight="1" x14ac:dyDescent="0.25">
      <c r="B12" s="16">
        <f t="shared" si="0"/>
        <v>6</v>
      </c>
      <c r="C12" s="17">
        <v>43841</v>
      </c>
      <c r="D12" s="22"/>
      <c r="E12" s="22">
        <v>844.27</v>
      </c>
      <c r="F12" s="232"/>
      <c r="G12" s="232">
        <v>261.3</v>
      </c>
      <c r="H12" s="232"/>
      <c r="I12" s="491">
        <v>72.5</v>
      </c>
      <c r="J12" s="490"/>
      <c r="K12" s="492"/>
      <c r="L12" s="492"/>
      <c r="M12" s="87"/>
      <c r="N12" s="87"/>
      <c r="O12" s="87"/>
      <c r="P12" s="87"/>
    </row>
    <row r="13" spans="1:16" ht="11.1" customHeight="1" x14ac:dyDescent="0.25">
      <c r="B13" s="16">
        <f t="shared" si="0"/>
        <v>7</v>
      </c>
      <c r="C13" s="17">
        <v>43842</v>
      </c>
      <c r="D13" s="22"/>
      <c r="E13" s="22">
        <v>582.79999999999995</v>
      </c>
      <c r="F13" s="232"/>
      <c r="G13" s="232">
        <v>285</v>
      </c>
      <c r="H13" s="232"/>
      <c r="I13" s="491">
        <v>95</v>
      </c>
      <c r="J13" s="490"/>
      <c r="K13" s="492"/>
      <c r="L13" s="492"/>
      <c r="M13" s="87"/>
      <c r="N13" s="87"/>
      <c r="O13" s="87"/>
      <c r="P13" s="87"/>
    </row>
    <row r="14" spans="1:16" ht="11.1" customHeight="1" x14ac:dyDescent="0.25">
      <c r="B14" s="16">
        <f t="shared" si="0"/>
        <v>1</v>
      </c>
      <c r="C14" s="17">
        <v>43843</v>
      </c>
      <c r="D14" s="22">
        <f>1215.6+12</f>
        <v>1227.5999999999999</v>
      </c>
      <c r="E14" s="22"/>
      <c r="F14" s="232">
        <v>365.6</v>
      </c>
      <c r="G14" s="232"/>
      <c r="H14" s="232"/>
      <c r="I14" s="491"/>
      <c r="J14" s="490"/>
      <c r="K14" s="492"/>
      <c r="L14" s="492"/>
      <c r="M14" s="87"/>
      <c r="N14" s="87"/>
      <c r="O14" s="87"/>
      <c r="P14" s="87"/>
    </row>
    <row r="15" spans="1:16" ht="11.25" customHeight="1" x14ac:dyDescent="0.25">
      <c r="A15" s="87"/>
      <c r="B15" s="16">
        <f t="shared" si="0"/>
        <v>2</v>
      </c>
      <c r="C15" s="17">
        <v>43844</v>
      </c>
      <c r="D15" s="22">
        <v>802.86</v>
      </c>
      <c r="E15" s="22"/>
      <c r="F15" s="232"/>
      <c r="G15" s="232">
        <v>327</v>
      </c>
      <c r="H15" s="14"/>
      <c r="I15" s="491">
        <v>100.8</v>
      </c>
      <c r="J15" s="490"/>
      <c r="K15" s="492"/>
      <c r="L15" s="492"/>
      <c r="M15" s="87"/>
      <c r="N15" s="87"/>
      <c r="O15" s="87"/>
      <c r="P15" s="87"/>
    </row>
    <row r="16" spans="1:16" ht="12.75" customHeight="1" x14ac:dyDescent="0.25">
      <c r="B16" s="16">
        <f t="shared" si="0"/>
        <v>3</v>
      </c>
      <c r="C16" s="17">
        <v>43845</v>
      </c>
      <c r="D16" s="22"/>
      <c r="E16" s="22">
        <v>1708.3</v>
      </c>
      <c r="F16" s="232">
        <v>378.97</v>
      </c>
      <c r="G16" s="232"/>
      <c r="H16" s="14"/>
      <c r="I16" s="491">
        <v>87.7</v>
      </c>
      <c r="J16" s="490"/>
      <c r="K16" s="492"/>
      <c r="L16" s="492"/>
      <c r="M16" s="87"/>
      <c r="N16" s="87"/>
      <c r="O16" s="87"/>
      <c r="P16" s="87"/>
    </row>
    <row r="17" spans="1:16" ht="11.1" customHeight="1" x14ac:dyDescent="0.25">
      <c r="B17" s="16">
        <f t="shared" si="0"/>
        <v>4</v>
      </c>
      <c r="C17" s="17">
        <v>43846</v>
      </c>
      <c r="D17" s="22"/>
      <c r="E17" s="22">
        <v>1608.9</v>
      </c>
      <c r="F17" s="232"/>
      <c r="G17" s="232">
        <v>186.8</v>
      </c>
      <c r="H17" s="14"/>
      <c r="I17" s="491">
        <v>112.5</v>
      </c>
      <c r="J17" s="490"/>
      <c r="K17" s="492"/>
      <c r="L17" s="492"/>
      <c r="M17" s="87"/>
      <c r="N17" s="87"/>
      <c r="O17" s="87"/>
      <c r="P17" s="87"/>
    </row>
    <row r="18" spans="1:16" ht="11.1" customHeight="1" x14ac:dyDescent="0.25">
      <c r="B18" s="16">
        <f t="shared" si="0"/>
        <v>5</v>
      </c>
      <c r="C18" s="17">
        <v>43847</v>
      </c>
      <c r="D18" s="22">
        <v>1175.26</v>
      </c>
      <c r="E18" s="22"/>
      <c r="F18" s="232"/>
      <c r="G18" s="232">
        <v>359.6</v>
      </c>
      <c r="H18" s="14"/>
      <c r="I18" s="491">
        <v>174</v>
      </c>
      <c r="J18" s="490"/>
      <c r="K18" s="492"/>
      <c r="L18" s="492"/>
      <c r="M18" s="87"/>
      <c r="N18" s="87"/>
      <c r="O18" s="87"/>
      <c r="P18" s="87"/>
    </row>
    <row r="19" spans="1:16" ht="11.1" customHeight="1" x14ac:dyDescent="0.25">
      <c r="B19" s="16">
        <f t="shared" si="0"/>
        <v>6</v>
      </c>
      <c r="C19" s="17">
        <v>43848</v>
      </c>
      <c r="D19" s="22">
        <v>1137.2</v>
      </c>
      <c r="E19" s="22"/>
      <c r="F19" s="232">
        <v>507.8</v>
      </c>
      <c r="G19" s="232"/>
      <c r="H19" s="14"/>
      <c r="I19" s="491">
        <v>341.8</v>
      </c>
      <c r="J19" s="490"/>
      <c r="K19" s="492"/>
      <c r="L19" s="492"/>
      <c r="M19" s="87"/>
      <c r="N19" s="87"/>
      <c r="O19" s="87"/>
      <c r="P19" s="87"/>
    </row>
    <row r="20" spans="1:16" s="87" customFormat="1" ht="11.1" customHeight="1" x14ac:dyDescent="0.25">
      <c r="A20" s="519"/>
      <c r="B20" s="483">
        <f t="shared" si="0"/>
        <v>7</v>
      </c>
      <c r="C20" s="17">
        <v>43849</v>
      </c>
      <c r="D20" s="22"/>
      <c r="E20" s="22">
        <v>1144.5</v>
      </c>
      <c r="F20" s="232"/>
      <c r="G20" s="232">
        <v>412.1</v>
      </c>
      <c r="H20" s="22"/>
      <c r="I20" s="497">
        <v>162.1</v>
      </c>
      <c r="J20" s="492"/>
      <c r="K20" s="492"/>
      <c r="L20" s="492"/>
    </row>
    <row r="21" spans="1:16" s="87" customFormat="1" ht="11.1" customHeight="1" x14ac:dyDescent="0.25">
      <c r="B21" s="483">
        <f t="shared" si="0"/>
        <v>1</v>
      </c>
      <c r="C21" s="17">
        <v>43850</v>
      </c>
      <c r="D21" s="22"/>
      <c r="E21" s="22">
        <v>675.4</v>
      </c>
      <c r="F21" s="232"/>
      <c r="G21" s="232">
        <v>203.3</v>
      </c>
      <c r="H21" s="232"/>
      <c r="I21" s="497"/>
      <c r="J21" s="492"/>
      <c r="K21" s="492"/>
      <c r="L21" s="492"/>
    </row>
    <row r="22" spans="1:16" s="87" customFormat="1" ht="11.1" customHeight="1" x14ac:dyDescent="0.25">
      <c r="B22" s="483">
        <f>IF(C22="","",WEEKDAY(C22,2))</f>
        <v>2</v>
      </c>
      <c r="C22" s="17">
        <v>43851</v>
      </c>
      <c r="D22" s="22">
        <v>868.86</v>
      </c>
      <c r="E22" s="22"/>
      <c r="F22" s="232"/>
      <c r="G22" s="232">
        <v>569.32000000000005</v>
      </c>
      <c r="H22" s="232"/>
      <c r="I22" s="497">
        <v>148.19999999999999</v>
      </c>
      <c r="J22" s="492"/>
      <c r="K22" s="492"/>
      <c r="L22" s="492"/>
    </row>
    <row r="23" spans="1:16" s="87" customFormat="1" ht="11.1" customHeight="1" x14ac:dyDescent="0.25">
      <c r="B23" s="483">
        <f t="shared" si="0"/>
        <v>3</v>
      </c>
      <c r="C23" s="17">
        <v>43852</v>
      </c>
      <c r="D23" s="22">
        <v>1207.5999999999999</v>
      </c>
      <c r="E23" s="22"/>
      <c r="F23" s="232">
        <v>94.05</v>
      </c>
      <c r="G23" s="232"/>
      <c r="H23" s="520"/>
      <c r="I23" s="497">
        <v>115.4</v>
      </c>
      <c r="J23" s="492"/>
      <c r="K23" s="492"/>
      <c r="L23" s="492"/>
    </row>
    <row r="24" spans="1:16" s="87" customFormat="1" ht="10.5" customHeight="1" x14ac:dyDescent="0.25">
      <c r="B24" s="483">
        <f t="shared" si="0"/>
        <v>4</v>
      </c>
      <c r="C24" s="17">
        <v>43853</v>
      </c>
      <c r="D24" s="22"/>
      <c r="E24" s="22">
        <v>924.9</v>
      </c>
      <c r="F24" s="232"/>
      <c r="G24" s="232">
        <v>236</v>
      </c>
      <c r="H24" s="232"/>
      <c r="I24" s="497">
        <v>71.900000000000006</v>
      </c>
      <c r="J24" s="492"/>
      <c r="K24" s="497"/>
      <c r="L24" s="492"/>
    </row>
    <row r="25" spans="1:16" s="87" customFormat="1" ht="11.1" customHeight="1" x14ac:dyDescent="0.25">
      <c r="B25" s="483">
        <f t="shared" si="0"/>
        <v>5</v>
      </c>
      <c r="C25" s="17">
        <v>43854</v>
      </c>
      <c r="D25" s="22"/>
      <c r="E25" s="22">
        <v>1208.5999999999999</v>
      </c>
      <c r="F25" s="232"/>
      <c r="G25" s="232">
        <v>482.8</v>
      </c>
      <c r="H25" s="232"/>
      <c r="I25" s="497">
        <v>78.5</v>
      </c>
      <c r="J25" s="492"/>
      <c r="K25" s="492"/>
      <c r="L25" s="521"/>
    </row>
    <row r="26" spans="1:16" s="87" customFormat="1" ht="11.1" customHeight="1" x14ac:dyDescent="0.25">
      <c r="B26" s="483">
        <f t="shared" si="0"/>
        <v>6</v>
      </c>
      <c r="C26" s="17">
        <v>43855</v>
      </c>
      <c r="D26" s="22">
        <v>1211</v>
      </c>
      <c r="E26" s="22"/>
      <c r="F26" s="232">
        <v>544.5</v>
      </c>
      <c r="G26" s="522"/>
      <c r="H26" s="232"/>
      <c r="I26" s="497">
        <v>104.3</v>
      </c>
      <c r="J26" s="492"/>
      <c r="K26" s="492"/>
      <c r="L26" s="521"/>
    </row>
    <row r="27" spans="1:16" s="87" customFormat="1" ht="11.1" customHeight="1" x14ac:dyDescent="0.25">
      <c r="B27" s="483">
        <f t="shared" si="0"/>
        <v>7</v>
      </c>
      <c r="C27" s="17">
        <v>43856</v>
      </c>
      <c r="D27" s="22">
        <v>1538.9</v>
      </c>
      <c r="E27" s="22"/>
      <c r="F27" s="232">
        <v>457.85</v>
      </c>
      <c r="G27" s="523"/>
      <c r="H27" s="232"/>
      <c r="I27" s="496">
        <v>319.2</v>
      </c>
      <c r="J27" s="500"/>
      <c r="K27" s="500"/>
      <c r="L27" s="500"/>
      <c r="M27" s="373"/>
      <c r="N27" s="373"/>
      <c r="O27" s="373"/>
      <c r="P27" s="373"/>
    </row>
    <row r="28" spans="1:16" s="87" customFormat="1" ht="10.5" customHeight="1" x14ac:dyDescent="0.25">
      <c r="A28" s="519"/>
      <c r="B28" s="483">
        <f t="shared" si="0"/>
        <v>1</v>
      </c>
      <c r="C28" s="17">
        <v>43857</v>
      </c>
      <c r="D28" s="22"/>
      <c r="E28" s="22">
        <v>905.6</v>
      </c>
      <c r="F28" s="232"/>
      <c r="G28" s="232">
        <v>328.8</v>
      </c>
      <c r="H28" s="232"/>
      <c r="I28" s="496"/>
      <c r="J28" s="500"/>
      <c r="K28" s="500"/>
      <c r="L28" s="500"/>
      <c r="M28" s="373"/>
      <c r="N28" s="373"/>
      <c r="O28" s="373"/>
      <c r="P28" s="373"/>
    </row>
    <row r="29" spans="1:16" s="87" customFormat="1" ht="10.5" customHeight="1" x14ac:dyDescent="0.25">
      <c r="B29" s="483">
        <f t="shared" si="0"/>
        <v>2</v>
      </c>
      <c r="C29" s="17">
        <v>43858</v>
      </c>
      <c r="D29" s="22"/>
      <c r="E29" s="22">
        <v>956.2</v>
      </c>
      <c r="F29" s="232"/>
      <c r="G29" s="232">
        <v>153.5</v>
      </c>
      <c r="H29" s="232"/>
      <c r="I29" s="496">
        <v>58.6</v>
      </c>
      <c r="J29" s="500"/>
      <c r="K29" s="500"/>
      <c r="L29" s="500"/>
      <c r="M29" s="373"/>
      <c r="N29" s="373"/>
      <c r="O29" s="373"/>
      <c r="P29" s="373"/>
    </row>
    <row r="30" spans="1:16" s="87" customFormat="1" ht="11.1" customHeight="1" x14ac:dyDescent="0.25">
      <c r="B30" s="483">
        <f t="shared" si="0"/>
        <v>3</v>
      </c>
      <c r="C30" s="17">
        <v>43859</v>
      </c>
      <c r="D30" s="22">
        <v>1013.65</v>
      </c>
      <c r="E30" s="22"/>
      <c r="F30" s="232">
        <v>192.05</v>
      </c>
      <c r="G30" s="232"/>
      <c r="H30" s="232"/>
      <c r="I30" s="496">
        <v>116.1</v>
      </c>
      <c r="J30" s="496"/>
      <c r="K30" s="500"/>
      <c r="L30" s="500"/>
      <c r="M30" s="373"/>
      <c r="N30" s="373"/>
      <c r="O30" s="373"/>
      <c r="P30" s="373"/>
    </row>
    <row r="31" spans="1:16" s="87" customFormat="1" ht="11.1" customHeight="1" x14ac:dyDescent="0.25">
      <c r="A31" s="519"/>
      <c r="B31" s="483">
        <f t="shared" si="0"/>
        <v>4</v>
      </c>
      <c r="C31" s="17">
        <v>43860</v>
      </c>
      <c r="D31" s="22">
        <v>1171.5999999999999</v>
      </c>
      <c r="E31" s="22"/>
      <c r="F31" s="232">
        <v>227.1</v>
      </c>
      <c r="G31" s="232"/>
      <c r="H31" s="22"/>
      <c r="I31" s="501">
        <v>107.31</v>
      </c>
      <c r="J31" s="501"/>
      <c r="K31" s="501"/>
      <c r="L31" s="501"/>
      <c r="M31" s="373"/>
      <c r="N31" s="373"/>
      <c r="O31" s="373"/>
      <c r="P31" s="373"/>
    </row>
    <row r="32" spans="1:16" s="87" customFormat="1" ht="12" customHeight="1" x14ac:dyDescent="0.25">
      <c r="A32" s="519"/>
      <c r="B32" s="483">
        <f t="shared" si="0"/>
        <v>5</v>
      </c>
      <c r="C32" s="17">
        <v>43861</v>
      </c>
      <c r="D32" s="243"/>
      <c r="E32" s="243">
        <v>774.3</v>
      </c>
      <c r="F32" s="232"/>
      <c r="G32" s="232">
        <v>287.8</v>
      </c>
      <c r="H32" s="53"/>
      <c r="I32" s="501">
        <v>68.58</v>
      </c>
      <c r="J32" s="501"/>
      <c r="K32" s="501"/>
      <c r="L32" s="501"/>
      <c r="M32" s="373"/>
      <c r="N32" s="373"/>
      <c r="O32" s="373"/>
      <c r="P32" s="373"/>
    </row>
    <row r="33" spans="1:16" ht="15.75" customHeight="1" thickBot="1" x14ac:dyDescent="0.3">
      <c r="B33" s="21"/>
      <c r="C33" s="544" t="s">
        <v>229</v>
      </c>
      <c r="D33" s="86">
        <f>COUNT(D2:D32)</f>
        <v>15</v>
      </c>
      <c r="E33" s="86">
        <f>COUNT(E2:E32)</f>
        <v>15</v>
      </c>
      <c r="F33" s="86">
        <f>COUNT(F2:F32)</f>
        <v>12</v>
      </c>
      <c r="G33" s="86">
        <f>COUNT(G2:G32)</f>
        <v>18</v>
      </c>
      <c r="I33" s="501"/>
      <c r="J33" s="501"/>
      <c r="K33" s="501"/>
      <c r="L33" s="501"/>
      <c r="M33" s="373"/>
      <c r="N33" s="373"/>
      <c r="O33" s="373"/>
      <c r="P33" s="373"/>
    </row>
    <row r="34" spans="1:16" ht="12.95" customHeight="1" thickBot="1" x14ac:dyDescent="0.3">
      <c r="B34" s="21"/>
      <c r="C34" s="86" t="s">
        <v>13</v>
      </c>
      <c r="D34" s="244">
        <f>SUM(D2:D32)</f>
        <v>15012.880000000001</v>
      </c>
      <c r="E34" s="244">
        <f>SUM(E2:E32)</f>
        <v>13878.52</v>
      </c>
      <c r="F34" s="244">
        <f>SUM(F2:F32)</f>
        <v>3335.8199999999997</v>
      </c>
      <c r="G34" s="244">
        <f>SUM(G2:G32)</f>
        <v>5087.8200000000006</v>
      </c>
      <c r="H34" s="1"/>
      <c r="I34" s="110" t="s">
        <v>189</v>
      </c>
      <c r="J34" s="298" t="s">
        <v>190</v>
      </c>
      <c r="K34" s="474" t="s">
        <v>221</v>
      </c>
      <c r="L34" s="370"/>
      <c r="M34" s="373"/>
      <c r="N34" s="373"/>
      <c r="O34" s="373"/>
      <c r="P34" s="373"/>
    </row>
    <row r="35" spans="1:16" ht="12.95" customHeight="1" thickBot="1" x14ac:dyDescent="0.3">
      <c r="B35" s="21"/>
      <c r="C35" s="86" t="s">
        <v>22</v>
      </c>
      <c r="D35" s="244">
        <v>13958.07</v>
      </c>
      <c r="E35" s="244">
        <v>12530.45</v>
      </c>
      <c r="F35" s="244">
        <v>3196.72</v>
      </c>
      <c r="G35" s="244">
        <v>4997.92</v>
      </c>
      <c r="H35" s="1"/>
      <c r="I35" s="502">
        <f>SUM(D2:E32)</f>
        <v>28891.4</v>
      </c>
      <c r="J35" s="298">
        <f>SUM(F2:G32)</f>
        <v>8423.6400000000012</v>
      </c>
      <c r="K35" s="475">
        <f>SUM(I2:I32)</f>
        <v>3192.5899999999997</v>
      </c>
      <c r="L35" s="370"/>
      <c r="M35" s="373"/>
      <c r="N35" s="373"/>
      <c r="O35" s="373"/>
      <c r="P35" s="373"/>
    </row>
    <row r="36" spans="1:16" ht="12.95" customHeight="1" x14ac:dyDescent="0.25">
      <c r="B36" s="21"/>
      <c r="C36" s="86" t="s">
        <v>5</v>
      </c>
      <c r="D36" s="89">
        <f>ABS(D34-D35)</f>
        <v>1054.8100000000013</v>
      </c>
      <c r="E36" s="89">
        <f>ABS(E34-E35)</f>
        <v>1348.0699999999997</v>
      </c>
      <c r="F36" s="89">
        <f>ABS(F34-F35)</f>
        <v>139.09999999999991</v>
      </c>
      <c r="G36" s="89">
        <f>ABS(G34-G35)</f>
        <v>89.900000000000546</v>
      </c>
      <c r="H36" s="1"/>
      <c r="I36" s="370"/>
      <c r="J36" s="370"/>
      <c r="K36" s="370"/>
      <c r="L36" s="370"/>
      <c r="M36" s="373"/>
      <c r="N36" s="373"/>
      <c r="O36" s="373"/>
      <c r="P36" s="373"/>
    </row>
    <row r="37" spans="1:16" ht="14.25" customHeight="1" x14ac:dyDescent="0.25">
      <c r="B37" s="21"/>
      <c r="C37" s="544" t="s">
        <v>242</v>
      </c>
      <c r="D37" s="90">
        <f>ROUND(D36*1%,2)</f>
        <v>10.55</v>
      </c>
      <c r="E37" s="90">
        <f>ROUND(E36*1%,2)</f>
        <v>13.48</v>
      </c>
      <c r="F37" s="90">
        <f t="shared" ref="F37" si="1">ROUND(F36*1%,2)</f>
        <v>1.39</v>
      </c>
      <c r="G37" s="516">
        <f>ROUND(G36*1%,2)</f>
        <v>0.9</v>
      </c>
      <c r="H37" s="1"/>
      <c r="I37" s="370"/>
      <c r="J37" s="370"/>
      <c r="K37" s="370"/>
      <c r="L37" s="370"/>
      <c r="M37" s="373"/>
      <c r="N37" s="373"/>
      <c r="O37" s="373"/>
      <c r="P37" s="373"/>
    </row>
    <row r="38" spans="1:16" ht="12" customHeight="1" x14ac:dyDescent="0.25">
      <c r="B38" s="21"/>
      <c r="C38" s="544" t="s">
        <v>243</v>
      </c>
      <c r="D38" s="90">
        <f>ROUND(3%*D35,2)</f>
        <v>418.74</v>
      </c>
      <c r="E38" s="90">
        <f>ROUND(3%*E35,2)</f>
        <v>375.91</v>
      </c>
      <c r="F38" s="90">
        <f t="shared" ref="F38" si="2">ROUND(3%*F35,2)</f>
        <v>95.9</v>
      </c>
      <c r="G38" s="516">
        <f>ROUND(3%*G35,2)</f>
        <v>149.94</v>
      </c>
      <c r="H38" s="1"/>
      <c r="I38" s="373"/>
      <c r="J38" s="148"/>
      <c r="K38" s="373"/>
      <c r="L38" s="370"/>
      <c r="M38" s="373"/>
      <c r="N38" s="373"/>
      <c r="O38" s="373"/>
      <c r="P38" s="373"/>
    </row>
    <row r="39" spans="1:16" ht="12.75" customHeight="1" x14ac:dyDescent="0.25">
      <c r="B39" s="21"/>
      <c r="C39" s="86" t="s">
        <v>7</v>
      </c>
      <c r="D39" s="88">
        <v>50</v>
      </c>
      <c r="E39" s="88">
        <v>50</v>
      </c>
      <c r="F39" s="88"/>
      <c r="G39" s="517"/>
      <c r="H39" s="12"/>
      <c r="I39" s="373"/>
      <c r="J39" s="148"/>
      <c r="K39" s="373"/>
      <c r="L39" s="370"/>
      <c r="M39" s="373"/>
      <c r="N39" s="373"/>
      <c r="O39" s="373"/>
      <c r="P39" s="373"/>
    </row>
    <row r="40" spans="1:16" ht="9.75" customHeight="1" x14ac:dyDescent="0.25">
      <c r="B40" s="21"/>
      <c r="C40" s="545" t="s">
        <v>254</v>
      </c>
      <c r="D40" s="88">
        <v>100</v>
      </c>
      <c r="E40" s="88"/>
      <c r="F40" s="88"/>
      <c r="G40" s="517"/>
      <c r="H40" s="12"/>
      <c r="I40" s="373"/>
      <c r="J40" s="373"/>
      <c r="K40" s="373"/>
      <c r="L40" s="370"/>
      <c r="M40" s="373"/>
      <c r="N40" s="373"/>
      <c r="O40" s="373"/>
      <c r="P40" s="373"/>
    </row>
    <row r="41" spans="1:16" ht="12" customHeight="1" x14ac:dyDescent="0.25">
      <c r="B41" s="21"/>
      <c r="C41" s="86" t="s">
        <v>253</v>
      </c>
      <c r="D41" s="88">
        <f>ROUND(20*D33,2)</f>
        <v>300</v>
      </c>
      <c r="E41" s="88">
        <f>ROUND(20*E33,2)</f>
        <v>300</v>
      </c>
      <c r="F41" s="549">
        <f>ROUND(23*F33,2)</f>
        <v>276</v>
      </c>
      <c r="G41" s="89">
        <f>ROUND(23*G33,2)</f>
        <v>414</v>
      </c>
      <c r="H41" s="8"/>
      <c r="I41" s="129"/>
      <c r="J41" s="148"/>
      <c r="K41" s="148"/>
      <c r="L41" s="370"/>
      <c r="M41" s="373"/>
      <c r="N41" s="373"/>
      <c r="O41" s="373"/>
      <c r="P41" s="373"/>
    </row>
    <row r="42" spans="1:16" ht="9.75" customHeight="1" x14ac:dyDescent="0.25">
      <c r="B42" s="31"/>
      <c r="C42" s="245" t="s">
        <v>94</v>
      </c>
      <c r="D42" s="246">
        <v>298.10000000000002</v>
      </c>
      <c r="E42" s="247">
        <v>160.36000000000001</v>
      </c>
      <c r="F42" s="88"/>
      <c r="G42" s="88"/>
      <c r="I42" s="148"/>
      <c r="J42" s="373"/>
      <c r="K42" s="373"/>
      <c r="L42" s="370"/>
      <c r="M42" s="373"/>
      <c r="N42" s="373"/>
      <c r="O42" s="373"/>
      <c r="P42" s="373"/>
    </row>
    <row r="43" spans="1:16" ht="12" customHeight="1" x14ac:dyDescent="0.25">
      <c r="B43" s="21"/>
      <c r="C43" s="248" t="s">
        <v>26</v>
      </c>
      <c r="D43" s="249"/>
      <c r="E43" s="246">
        <v>150</v>
      </c>
      <c r="F43" s="88"/>
      <c r="G43" s="88">
        <v>300</v>
      </c>
      <c r="I43" s="289"/>
      <c r="J43" s="373"/>
      <c r="K43" s="373"/>
      <c r="L43" s="373"/>
      <c r="M43" s="373"/>
      <c r="N43" s="373"/>
      <c r="O43" s="373"/>
      <c r="P43" s="373"/>
    </row>
    <row r="44" spans="1:16" ht="12" customHeight="1" x14ac:dyDescent="0.25">
      <c r="B44" s="21"/>
      <c r="C44" s="251" t="s">
        <v>77</v>
      </c>
      <c r="D44" s="546">
        <v>482</v>
      </c>
      <c r="E44" s="478">
        <f>E37+E38+E39+E41-E42-E43</f>
        <v>429.03000000000009</v>
      </c>
      <c r="F44" s="546">
        <f>ROUNDUP(F37+F38+F41,0)</f>
        <v>374</v>
      </c>
      <c r="G44" s="478">
        <f>ROUNDUP(G37+G38+G41-G43,0)</f>
        <v>265</v>
      </c>
      <c r="I44" s="373"/>
      <c r="J44" s="373"/>
      <c r="K44" s="373"/>
      <c r="L44" s="373"/>
      <c r="M44" s="373"/>
      <c r="N44" s="373"/>
      <c r="O44" s="373"/>
      <c r="P44" s="373"/>
    </row>
    <row r="45" spans="1:16" ht="12" customHeight="1" x14ac:dyDescent="0.25">
      <c r="B45" s="21"/>
      <c r="C45" s="292" t="s">
        <v>45</v>
      </c>
      <c r="D45" s="293">
        <f>D37+D38+D39+D40+D41</f>
        <v>879.29</v>
      </c>
      <c r="E45" s="293">
        <f>E37+E38+E39+E41</f>
        <v>739.3900000000001</v>
      </c>
      <c r="F45" s="293"/>
      <c r="G45" s="293">
        <f>ROUNDUP(G37+G41+G38,0)</f>
        <v>565</v>
      </c>
      <c r="I45" s="373"/>
      <c r="J45" s="373"/>
      <c r="K45" s="373"/>
      <c r="L45" s="373"/>
      <c r="M45" s="373"/>
      <c r="N45" s="373"/>
      <c r="O45" s="373"/>
      <c r="P45" s="373"/>
    </row>
    <row r="46" spans="1:16" ht="12.95" customHeight="1" x14ac:dyDescent="0.25">
      <c r="B46" s="21"/>
      <c r="C46" s="172"/>
      <c r="D46" s="371"/>
      <c r="E46" s="486"/>
      <c r="F46" s="8">
        <f>E37+E41+E38-E43+E39-E42</f>
        <v>429.03000000000009</v>
      </c>
      <c r="I46" s="129"/>
      <c r="J46" s="373"/>
      <c r="K46" s="373"/>
      <c r="L46" s="373"/>
      <c r="M46" s="373"/>
      <c r="N46" s="373"/>
      <c r="O46" s="373"/>
      <c r="P46" s="373"/>
    </row>
    <row r="47" spans="1:16" ht="12.95" customHeight="1" x14ac:dyDescent="0.25">
      <c r="A47" s="8"/>
      <c r="B47" s="31"/>
      <c r="C47" s="1"/>
      <c r="D47" s="12"/>
      <c r="E47" s="76"/>
      <c r="F47" s="8">
        <f>E37+E38+E39+E41</f>
        <v>739.3900000000001</v>
      </c>
      <c r="G47" s="8"/>
      <c r="H47" s="8"/>
      <c r="I47" s="69"/>
      <c r="J47" s="373"/>
      <c r="K47" s="373"/>
      <c r="L47" s="373"/>
      <c r="M47" s="148"/>
      <c r="N47" s="373"/>
      <c r="O47" s="373"/>
      <c r="P47" s="373"/>
    </row>
    <row r="48" spans="1:16" ht="12.95" customHeight="1" x14ac:dyDescent="0.25">
      <c r="A48" s="8"/>
      <c r="B48" s="31"/>
      <c r="C48" s="1"/>
      <c r="D48" s="12"/>
      <c r="E48" s="11"/>
      <c r="F48" s="8"/>
      <c r="H48" s="8"/>
      <c r="I48" s="73"/>
      <c r="J48" s="373"/>
      <c r="K48" s="373"/>
      <c r="L48" s="373"/>
      <c r="M48" s="148"/>
      <c r="N48" s="373"/>
      <c r="O48" s="373"/>
      <c r="P48" s="373"/>
    </row>
    <row r="49" spans="1:16" ht="12.95" customHeight="1" x14ac:dyDescent="0.25">
      <c r="B49" s="32"/>
      <c r="C49" s="1"/>
      <c r="D49" s="1"/>
      <c r="E49" s="11"/>
      <c r="H49" s="213"/>
      <c r="I49" s="69"/>
      <c r="J49" s="373"/>
      <c r="K49" s="373"/>
      <c r="L49" s="373"/>
      <c r="M49" s="373"/>
      <c r="N49" s="373"/>
      <c r="O49" s="373"/>
      <c r="P49" s="373"/>
    </row>
    <row r="50" spans="1:16" ht="12.95" customHeight="1" x14ac:dyDescent="0.3">
      <c r="B50" s="54"/>
      <c r="C50" s="513" t="s">
        <v>226</v>
      </c>
      <c r="D50" s="513"/>
      <c r="E50" s="513"/>
      <c r="F50" s="513"/>
      <c r="G50" s="513"/>
      <c r="H50" s="213"/>
      <c r="I50" s="69"/>
      <c r="J50" s="373"/>
      <c r="K50" s="373"/>
      <c r="L50" s="373"/>
      <c r="M50" s="373"/>
      <c r="N50" s="373"/>
      <c r="O50" s="373"/>
      <c r="P50" s="373"/>
    </row>
    <row r="51" spans="1:16" ht="12.95" customHeight="1" x14ac:dyDescent="0.3">
      <c r="C51" s="513"/>
      <c r="D51" s="513"/>
      <c r="E51" s="513"/>
      <c r="F51" s="513"/>
      <c r="G51" s="513"/>
      <c r="H51" s="8"/>
      <c r="I51" s="513"/>
      <c r="J51" s="513"/>
      <c r="K51" s="513"/>
      <c r="L51" s="373"/>
      <c r="M51" s="373"/>
      <c r="N51" s="373"/>
      <c r="O51" s="373"/>
      <c r="P51" s="373"/>
    </row>
    <row r="52" spans="1:16" ht="12" customHeight="1" x14ac:dyDescent="0.3">
      <c r="A52" s="1"/>
      <c r="B52" s="1"/>
      <c r="C52" s="513"/>
      <c r="D52" s="513"/>
      <c r="E52" s="513"/>
      <c r="F52" s="513"/>
      <c r="G52" s="513"/>
      <c r="H52" s="213"/>
      <c r="I52" s="513"/>
      <c r="J52" s="513"/>
      <c r="K52" s="513"/>
      <c r="L52" s="373"/>
      <c r="M52" s="373"/>
      <c r="N52" s="373"/>
      <c r="O52" s="373"/>
      <c r="P52" s="373"/>
    </row>
    <row r="53" spans="1:16" ht="18.75" x14ac:dyDescent="0.3">
      <c r="A53" s="1"/>
      <c r="B53" s="1"/>
      <c r="C53" s="1"/>
      <c r="D53" s="1"/>
      <c r="E53" s="11"/>
      <c r="H53" s="213"/>
      <c r="I53" s="513"/>
      <c r="J53" s="513"/>
      <c r="K53" s="513"/>
      <c r="L53" s="373"/>
      <c r="M53" s="373"/>
      <c r="N53" s="373"/>
      <c r="O53" s="373"/>
      <c r="P53" s="373"/>
    </row>
    <row r="54" spans="1:16" x14ac:dyDescent="0.25">
      <c r="A54" s="1"/>
      <c r="B54" s="1"/>
      <c r="C54" s="1"/>
      <c r="D54" s="1"/>
      <c r="E54" s="11"/>
      <c r="I54" s="146"/>
      <c r="J54" s="373"/>
      <c r="K54" s="373"/>
      <c r="L54" s="373"/>
      <c r="M54" s="373"/>
      <c r="N54" s="373"/>
      <c r="O54" s="373"/>
      <c r="P54" s="373"/>
    </row>
    <row r="55" spans="1:16" ht="15" customHeight="1" x14ac:dyDescent="0.3">
      <c r="A55" s="1"/>
      <c r="B55" s="1"/>
      <c r="C55" s="1"/>
      <c r="D55" s="1"/>
      <c r="E55" s="11"/>
      <c r="H55" s="513"/>
      <c r="I55" s="373"/>
      <c r="J55" s="373"/>
      <c r="K55" s="373"/>
      <c r="L55" s="373"/>
      <c r="M55" s="373"/>
      <c r="N55" s="373"/>
      <c r="O55" s="373"/>
      <c r="P55" s="373"/>
    </row>
    <row r="56" spans="1:16" ht="15" customHeight="1" x14ac:dyDescent="0.3">
      <c r="A56" s="1"/>
      <c r="B56" s="1"/>
      <c r="C56" s="1"/>
      <c r="D56" s="1"/>
      <c r="E56" s="11"/>
      <c r="H56" s="513"/>
      <c r="I56" s="373"/>
      <c r="J56" s="373"/>
      <c r="K56" s="373"/>
      <c r="L56" s="373"/>
      <c r="M56" s="373"/>
      <c r="N56" s="373"/>
      <c r="O56" s="373"/>
      <c r="P56" s="373"/>
    </row>
    <row r="57" spans="1:16" ht="15" customHeight="1" x14ac:dyDescent="0.3">
      <c r="A57" s="1"/>
      <c r="B57" s="1"/>
      <c r="C57" s="1"/>
      <c r="D57" s="1"/>
      <c r="E57" s="11"/>
      <c r="H57" s="513"/>
      <c r="I57" s="373"/>
      <c r="J57" s="373"/>
      <c r="K57" s="373"/>
      <c r="L57" s="373"/>
      <c r="M57" s="373"/>
      <c r="N57" s="373"/>
      <c r="O57" s="373"/>
      <c r="P57" s="373"/>
    </row>
    <row r="58" spans="1:16" x14ac:dyDescent="0.25">
      <c r="A58" s="1"/>
      <c r="B58" s="1"/>
      <c r="C58" s="1"/>
      <c r="D58" s="1"/>
      <c r="E58" s="11"/>
      <c r="L58" s="373"/>
      <c r="M58" s="373"/>
      <c r="N58" s="373"/>
      <c r="O58" s="373"/>
      <c r="P58" s="373"/>
    </row>
    <row r="59" spans="1:16" x14ac:dyDescent="0.25">
      <c r="A59" s="1"/>
      <c r="B59" s="1"/>
      <c r="C59" s="1"/>
      <c r="D59" s="1"/>
      <c r="E59" s="11"/>
      <c r="L59" s="373"/>
      <c r="M59" s="373"/>
      <c r="N59" s="373"/>
      <c r="O59" s="373"/>
      <c r="P59" s="373"/>
    </row>
    <row r="60" spans="1:16" x14ac:dyDescent="0.25">
      <c r="A60" s="1"/>
      <c r="B60" s="1"/>
      <c r="C60" s="1"/>
      <c r="D60" s="1"/>
      <c r="E60" s="11"/>
      <c r="L60" s="373"/>
      <c r="M60" s="373"/>
      <c r="N60" s="373"/>
      <c r="O60" s="373"/>
      <c r="P60" s="373"/>
    </row>
    <row r="61" spans="1:16" x14ac:dyDescent="0.25">
      <c r="A61" s="1"/>
      <c r="B61" s="1"/>
      <c r="C61" s="1"/>
      <c r="D61" s="1"/>
      <c r="E61" s="11"/>
      <c r="L61" s="373"/>
      <c r="M61" s="373"/>
      <c r="N61" s="373"/>
      <c r="O61" s="373"/>
      <c r="P61" s="373"/>
    </row>
    <row r="62" spans="1:16" x14ac:dyDescent="0.25">
      <c r="A62" s="1"/>
      <c r="B62" s="1"/>
      <c r="C62" s="1"/>
      <c r="D62" s="1"/>
      <c r="E62" s="11"/>
    </row>
    <row r="63" spans="1:16" x14ac:dyDescent="0.25">
      <c r="A63" s="1"/>
      <c r="B63" s="1"/>
      <c r="C63" s="1"/>
      <c r="D63" s="1"/>
      <c r="E63" s="11"/>
    </row>
    <row r="64" spans="1:16" x14ac:dyDescent="0.25">
      <c r="A64" s="1"/>
      <c r="B64" s="1"/>
      <c r="C64" s="1"/>
      <c r="D64" s="1"/>
      <c r="E64" s="11"/>
    </row>
    <row r="65" spans="1:5" x14ac:dyDescent="0.25">
      <c r="A65" s="1"/>
      <c r="B65" s="1"/>
      <c r="C65" s="1"/>
      <c r="D65" s="1"/>
      <c r="E65" s="11"/>
    </row>
    <row r="66" spans="1:5" x14ac:dyDescent="0.25">
      <c r="A66" s="1"/>
      <c r="B66" s="1"/>
      <c r="C66" s="1"/>
      <c r="D66" s="1"/>
      <c r="E66" s="11"/>
    </row>
    <row r="67" spans="1:5" x14ac:dyDescent="0.25">
      <c r="A67" s="1"/>
      <c r="B67" s="1"/>
      <c r="C67" s="11"/>
      <c r="D67" s="1"/>
      <c r="E67" s="11"/>
    </row>
    <row r="68" spans="1:5" x14ac:dyDescent="0.25">
      <c r="A68" s="1"/>
      <c r="B68" s="1"/>
      <c r="C68" s="1"/>
      <c r="D68" s="1"/>
      <c r="E68" s="11"/>
    </row>
    <row r="69" spans="1:5" x14ac:dyDescent="0.25">
      <c r="A69" s="1"/>
      <c r="B69" s="1"/>
      <c r="C69" s="1"/>
      <c r="D69" s="1"/>
      <c r="E69" s="11"/>
    </row>
    <row r="70" spans="1:5" x14ac:dyDescent="0.25">
      <c r="A70" s="1"/>
      <c r="B70" s="1"/>
      <c r="C70" s="1"/>
      <c r="D70" s="1"/>
      <c r="E70" s="11"/>
    </row>
    <row r="71" spans="1:5" x14ac:dyDescent="0.25">
      <c r="A71" s="1"/>
      <c r="B71" s="1"/>
      <c r="C71" s="1"/>
      <c r="D71" s="1"/>
      <c r="E71" s="11"/>
    </row>
    <row r="72" spans="1:5" x14ac:dyDescent="0.25">
      <c r="A72" s="1"/>
      <c r="B72" s="1"/>
      <c r="C72" s="1"/>
      <c r="D72" s="1"/>
      <c r="E72" s="11"/>
    </row>
    <row r="73" spans="1:5" x14ac:dyDescent="0.25">
      <c r="A73" s="1"/>
      <c r="B73" s="1"/>
      <c r="C73" s="1"/>
      <c r="D73" s="1"/>
      <c r="E73" s="11"/>
    </row>
    <row r="74" spans="1:5" x14ac:dyDescent="0.25">
      <c r="A74" s="1"/>
      <c r="B74" s="1"/>
      <c r="C74" s="1"/>
      <c r="D74" s="1"/>
      <c r="E74" s="11"/>
    </row>
    <row r="75" spans="1:5" x14ac:dyDescent="0.25">
      <c r="A75" s="1"/>
      <c r="B75" s="1"/>
      <c r="C75" s="1"/>
      <c r="D75" s="1"/>
      <c r="E75" s="11"/>
    </row>
    <row r="76" spans="1:5" x14ac:dyDescent="0.25">
      <c r="A76" s="1"/>
      <c r="B76" s="1"/>
      <c r="C76" s="1"/>
      <c r="D76" s="1"/>
      <c r="E76" s="11"/>
    </row>
    <row r="77" spans="1:5" x14ac:dyDescent="0.25">
      <c r="A77" s="1"/>
      <c r="B77" s="1"/>
      <c r="C77" s="1"/>
      <c r="D77" s="1"/>
      <c r="E77" s="11"/>
    </row>
    <row r="78" spans="1:5" x14ac:dyDescent="0.25">
      <c r="A78" s="1"/>
      <c r="B78" s="1"/>
      <c r="C78" s="1"/>
      <c r="D78" s="1"/>
      <c r="E78" s="11"/>
    </row>
    <row r="79" spans="1:5" x14ac:dyDescent="0.25">
      <c r="A79" s="1"/>
      <c r="B79" s="1"/>
      <c r="C79" s="1"/>
      <c r="D79" s="1"/>
      <c r="E79" s="11"/>
    </row>
    <row r="80" spans="1:5" x14ac:dyDescent="0.25">
      <c r="A80" s="1"/>
      <c r="B80" s="1"/>
      <c r="C80" s="1"/>
      <c r="D80" s="1"/>
      <c r="E80" s="11"/>
    </row>
    <row r="81" spans="1:5" x14ac:dyDescent="0.25">
      <c r="A81" s="1"/>
      <c r="B81" s="1"/>
      <c r="C81" s="1"/>
      <c r="D81" s="1"/>
      <c r="E81" s="11"/>
    </row>
    <row r="82" spans="1:5" x14ac:dyDescent="0.25">
      <c r="A82" s="1"/>
      <c r="B82" s="1"/>
      <c r="C82" s="1"/>
      <c r="D82" s="1"/>
      <c r="E82" s="11"/>
    </row>
    <row r="83" spans="1:5" x14ac:dyDescent="0.25">
      <c r="A83" s="1"/>
      <c r="B83" s="1"/>
      <c r="C83" s="1"/>
      <c r="D83" s="1"/>
      <c r="E83" s="11"/>
    </row>
    <row r="84" spans="1:5" x14ac:dyDescent="0.25">
      <c r="A84" s="1"/>
      <c r="B84" s="1"/>
      <c r="C84" s="1"/>
      <c r="D84" s="1"/>
      <c r="E84" s="11"/>
    </row>
    <row r="85" spans="1:5" x14ac:dyDescent="0.25">
      <c r="A85" s="1"/>
      <c r="B85" s="1"/>
      <c r="C85" s="1"/>
      <c r="D85" s="1"/>
      <c r="E85" s="11"/>
    </row>
    <row r="86" spans="1:5" x14ac:dyDescent="0.25">
      <c r="A86" s="1"/>
      <c r="B86" s="1"/>
      <c r="C86" s="1"/>
      <c r="D86" s="1"/>
      <c r="E86" s="11"/>
    </row>
    <row r="87" spans="1:5" x14ac:dyDescent="0.25">
      <c r="A87" s="1"/>
      <c r="B87" s="1"/>
      <c r="C87" s="1"/>
      <c r="D87" s="1"/>
      <c r="E87" s="11"/>
    </row>
    <row r="88" spans="1:5" x14ac:dyDescent="0.25">
      <c r="A88" s="1"/>
      <c r="B88" s="1"/>
      <c r="C88" s="1"/>
      <c r="D88" s="1"/>
      <c r="E88" s="11"/>
    </row>
    <row r="89" spans="1:5" x14ac:dyDescent="0.25">
      <c r="A89" s="1"/>
      <c r="B89" s="1"/>
      <c r="C89" s="1"/>
      <c r="D89" s="1"/>
      <c r="E89" s="2"/>
    </row>
    <row r="90" spans="1:5" x14ac:dyDescent="0.25">
      <c r="A90" s="1"/>
      <c r="B90" s="1"/>
      <c r="C90" s="1"/>
      <c r="D90" s="1"/>
      <c r="E90" s="2"/>
    </row>
    <row r="91" spans="1:5" x14ac:dyDescent="0.25">
      <c r="A91" s="1"/>
      <c r="B91" s="1"/>
      <c r="E91" s="2"/>
    </row>
    <row r="92" spans="1:5" x14ac:dyDescent="0.25">
      <c r="A92" s="1"/>
      <c r="B92" s="1"/>
      <c r="E92" s="2"/>
    </row>
    <row r="93" spans="1:5" x14ac:dyDescent="0.25">
      <c r="A93" s="1"/>
      <c r="B93" s="1"/>
      <c r="E93" s="2"/>
    </row>
    <row r="94" spans="1:5" x14ac:dyDescent="0.25">
      <c r="B94" s="1"/>
      <c r="E94" s="2"/>
    </row>
    <row r="95" spans="1:5" x14ac:dyDescent="0.25">
      <c r="B95" s="1"/>
      <c r="E95" s="2"/>
    </row>
    <row r="96" spans="1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</sheetData>
  <conditionalFormatting sqref="F32:G32 D26:F28 B2:G2 D22:F22 D23:G25 D29:G31 B3:C32 D3:G21">
    <cfRule type="expression" dxfId="5" priority="1">
      <formula>$B2=7</formula>
    </cfRule>
    <cfRule type="expression" dxfId="4" priority="2">
      <formula>$B2=6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20"/>
  <sheetViews>
    <sheetView zoomScale="85" zoomScaleNormal="85" zoomScaleSheetLayoutView="70" zoomScalePageLayoutView="70" workbookViewId="0">
      <selection activeCell="B5" sqref="B5"/>
    </sheetView>
  </sheetViews>
  <sheetFormatPr defaultColWidth="9.140625" defaultRowHeight="15" x14ac:dyDescent="0.25"/>
  <cols>
    <col min="1" max="1" width="11.5703125" style="35" customWidth="1"/>
    <col min="2" max="2" width="23.7109375" style="35" customWidth="1"/>
    <col min="3" max="3" width="11.28515625" style="35" customWidth="1"/>
    <col min="4" max="4" width="9.140625" style="35"/>
    <col min="5" max="5" width="11.28515625" style="35" customWidth="1"/>
    <col min="6" max="6" width="18.7109375" style="35" customWidth="1"/>
    <col min="7" max="7" width="14.7109375" style="35" customWidth="1"/>
    <col min="8" max="8" width="10.7109375" style="35" customWidth="1"/>
    <col min="9" max="9" width="10.28515625" style="35" customWidth="1"/>
    <col min="10" max="10" width="11" style="35" customWidth="1"/>
    <col min="11" max="11" width="11.42578125" style="35" customWidth="1"/>
    <col min="12" max="12" width="12.140625" style="35" customWidth="1"/>
    <col min="13" max="13" width="13.85546875" style="35" customWidth="1"/>
    <col min="14" max="14" width="8.5703125" style="35" customWidth="1"/>
    <col min="15" max="15" width="8.28515625" style="1" customWidth="1"/>
    <col min="16" max="16" width="15.5703125" style="35" customWidth="1"/>
    <col min="17" max="18" width="11.140625" style="35" customWidth="1"/>
    <col min="19" max="19" width="9.140625" style="35"/>
    <col min="20" max="20" width="10.140625" style="35" customWidth="1"/>
    <col min="21" max="16384" width="9.140625" style="35"/>
  </cols>
  <sheetData>
    <row r="1" spans="1:20" x14ac:dyDescent="0.25">
      <c r="A1" s="742" t="s">
        <v>281</v>
      </c>
      <c r="B1" s="742"/>
      <c r="C1" s="742"/>
      <c r="D1" s="742"/>
      <c r="E1" s="742"/>
      <c r="F1" s="742"/>
      <c r="G1" s="742"/>
      <c r="H1" s="742"/>
      <c r="I1" s="742"/>
      <c r="J1" s="742"/>
      <c r="K1" s="742"/>
      <c r="L1" s="742"/>
      <c r="M1" s="742"/>
    </row>
    <row r="2" spans="1:20" ht="15.75" thickBot="1" x14ac:dyDescent="0.3">
      <c r="A2" s="743"/>
      <c r="B2" s="743"/>
      <c r="C2" s="743"/>
      <c r="D2" s="743"/>
      <c r="E2" s="743"/>
      <c r="F2" s="743"/>
      <c r="G2" s="743"/>
      <c r="H2" s="743"/>
      <c r="I2" s="743"/>
      <c r="J2" s="743"/>
      <c r="K2" s="743"/>
      <c r="L2" s="743"/>
      <c r="M2" s="743"/>
    </row>
    <row r="3" spans="1:20" ht="15.75" thickTop="1" x14ac:dyDescent="0.25">
      <c r="A3" s="739" t="s">
        <v>28</v>
      </c>
      <c r="B3" s="682"/>
      <c r="C3" s="682"/>
      <c r="D3" s="682"/>
      <c r="E3" s="682"/>
      <c r="F3" s="682"/>
      <c r="G3" s="683"/>
      <c r="H3" s="734" t="s">
        <v>255</v>
      </c>
      <c r="I3" s="735"/>
      <c r="J3" s="735"/>
      <c r="K3" s="735"/>
      <c r="L3" s="735"/>
      <c r="M3" s="736"/>
      <c r="N3" s="555"/>
      <c r="O3" s="694" t="s">
        <v>60</v>
      </c>
      <c r="P3" s="694"/>
    </row>
    <row r="4" spans="1:20" ht="21.75" customHeight="1" x14ac:dyDescent="0.25">
      <c r="A4" s="330" t="s">
        <v>2</v>
      </c>
      <c r="B4" s="554" t="s">
        <v>34</v>
      </c>
      <c r="C4" s="36" t="s">
        <v>35</v>
      </c>
      <c r="D4" s="36" t="s">
        <v>38</v>
      </c>
      <c r="E4" s="36" t="s">
        <v>42</v>
      </c>
      <c r="F4" s="554" t="s">
        <v>36</v>
      </c>
      <c r="G4" s="101" t="s">
        <v>173</v>
      </c>
      <c r="H4" s="732"/>
      <c r="I4" s="733"/>
      <c r="J4" s="550" t="s">
        <v>35</v>
      </c>
      <c r="K4" s="550" t="s">
        <v>38</v>
      </c>
      <c r="L4" s="550" t="s">
        <v>42</v>
      </c>
      <c r="M4" s="101" t="s">
        <v>44</v>
      </c>
      <c r="N4" s="373"/>
      <c r="O4" s="561" t="s">
        <v>2</v>
      </c>
      <c r="P4" s="561" t="s">
        <v>34</v>
      </c>
      <c r="Q4" s="154" t="s">
        <v>38</v>
      </c>
      <c r="R4" s="154" t="s">
        <v>42</v>
      </c>
      <c r="S4" s="561" t="s">
        <v>100</v>
      </c>
      <c r="T4" s="373"/>
    </row>
    <row r="5" spans="1:20" x14ac:dyDescent="0.25">
      <c r="A5" s="331">
        <v>43866</v>
      </c>
      <c r="B5" s="164" t="s">
        <v>263</v>
      </c>
      <c r="C5" s="99">
        <v>294</v>
      </c>
      <c r="D5" s="99">
        <v>294</v>
      </c>
      <c r="E5" s="163" t="str">
        <f>IF(C5-D5=0,"",C5-D5)</f>
        <v/>
      </c>
      <c r="F5" s="165" t="str">
        <f t="shared" ref="F5" si="0">IF(C5=0,"",IF(C5-D5=0,"оплачено","ОЖИДАЕТСЯ оплата"))</f>
        <v>оплачено</v>
      </c>
      <c r="G5" s="469"/>
      <c r="H5" s="737" t="s">
        <v>39</v>
      </c>
      <c r="I5" s="676"/>
      <c r="J5" s="601">
        <v>1633.61</v>
      </c>
      <c r="K5" s="556">
        <v>1633.61</v>
      </c>
      <c r="L5" s="163">
        <f t="shared" ref="L5" si="1">J5-K5</f>
        <v>0</v>
      </c>
      <c r="M5" s="102">
        <v>43886</v>
      </c>
      <c r="N5" s="147"/>
      <c r="O5" s="274"/>
      <c r="P5" s="561"/>
      <c r="Q5" s="561"/>
      <c r="R5" s="561"/>
      <c r="S5" s="164"/>
      <c r="T5" s="373"/>
    </row>
    <row r="6" spans="1:20" s="87" customFormat="1" ht="16.5" customHeight="1" x14ac:dyDescent="0.25">
      <c r="A6" s="331">
        <v>43867</v>
      </c>
      <c r="B6" s="164" t="s">
        <v>223</v>
      </c>
      <c r="C6" s="99">
        <v>325.49</v>
      </c>
      <c r="D6" s="99">
        <v>325.49</v>
      </c>
      <c r="E6" s="163" t="str">
        <f t="shared" ref="E6:E20" si="2">IF(C6-D6=0,"",C6-D6)</f>
        <v/>
      </c>
      <c r="F6" s="165" t="str">
        <f t="shared" ref="F6:F20" si="3">IF(C6=0,"",IF(C6-D6=0,"оплачено","ОЖИДАЕТСЯ оплата"))</f>
        <v>оплачено</v>
      </c>
      <c r="G6" s="469"/>
      <c r="H6" s="755" t="s">
        <v>40</v>
      </c>
      <c r="I6" s="756"/>
      <c r="J6" s="531">
        <v>899.78</v>
      </c>
      <c r="K6" s="602">
        <f>394.39+260+245.39</f>
        <v>899.78</v>
      </c>
      <c r="L6" s="530">
        <f>J6-K6</f>
        <v>0</v>
      </c>
      <c r="M6" s="532">
        <v>43887</v>
      </c>
      <c r="N6" s="147"/>
      <c r="O6" s="274"/>
      <c r="P6" s="561"/>
      <c r="Q6" s="561"/>
      <c r="R6" s="561"/>
      <c r="S6" s="561"/>
    </row>
    <row r="7" spans="1:20" s="87" customFormat="1" x14ac:dyDescent="0.25">
      <c r="A7" s="331">
        <v>43872</v>
      </c>
      <c r="B7" s="164" t="s">
        <v>155</v>
      </c>
      <c r="C7" s="99">
        <v>108.65</v>
      </c>
      <c r="D7" s="99">
        <v>108.65</v>
      </c>
      <c r="E7" s="163" t="str">
        <f t="shared" si="2"/>
        <v/>
      </c>
      <c r="F7" s="165" t="str">
        <f t="shared" si="3"/>
        <v>оплачено</v>
      </c>
      <c r="G7" s="469"/>
      <c r="H7" s="347"/>
      <c r="I7" s="373"/>
      <c r="J7" s="577">
        <f>SUM(J5:J6)</f>
        <v>2533.39</v>
      </c>
      <c r="K7" s="373"/>
      <c r="L7" s="85"/>
      <c r="M7" s="320"/>
      <c r="N7" s="373"/>
      <c r="O7" s="274"/>
      <c r="P7" s="561"/>
      <c r="Q7" s="561"/>
      <c r="R7" s="561"/>
      <c r="S7" s="561"/>
    </row>
    <row r="8" spans="1:20" s="87" customFormat="1" x14ac:dyDescent="0.25">
      <c r="A8" s="331">
        <v>43872</v>
      </c>
      <c r="B8" s="164" t="s">
        <v>205</v>
      </c>
      <c r="C8" s="281">
        <v>285.2</v>
      </c>
      <c r="D8" s="281">
        <v>285.2</v>
      </c>
      <c r="E8" s="163" t="str">
        <f t="shared" si="2"/>
        <v/>
      </c>
      <c r="F8" s="165" t="str">
        <f t="shared" si="3"/>
        <v>оплачено</v>
      </c>
      <c r="G8" s="469"/>
      <c r="H8" s="347"/>
      <c r="I8" s="373"/>
      <c r="J8" s="373"/>
      <c r="K8" s="373"/>
      <c r="L8" s="373"/>
      <c r="M8" s="320"/>
      <c r="N8" s="373"/>
      <c r="O8" s="274"/>
      <c r="P8" s="561"/>
      <c r="Q8" s="561"/>
      <c r="R8" s="561"/>
      <c r="S8" s="561"/>
    </row>
    <row r="9" spans="1:20" s="87" customFormat="1" x14ac:dyDescent="0.25">
      <c r="A9" s="331">
        <v>43873</v>
      </c>
      <c r="B9" s="164" t="s">
        <v>266</v>
      </c>
      <c r="C9" s="281">
        <v>331.86</v>
      </c>
      <c r="D9" s="281">
        <v>331.86</v>
      </c>
      <c r="E9" s="163" t="str">
        <f t="shared" si="2"/>
        <v/>
      </c>
      <c r="F9" s="165" t="str">
        <f t="shared" si="3"/>
        <v>оплачено</v>
      </c>
      <c r="G9" s="469"/>
      <c r="H9" s="347"/>
      <c r="I9" s="373"/>
      <c r="J9" s="373"/>
      <c r="K9" s="373"/>
      <c r="L9" s="373"/>
      <c r="M9" s="320"/>
      <c r="N9" s="373"/>
      <c r="O9" s="274"/>
      <c r="P9" s="561"/>
      <c r="Q9" s="561"/>
      <c r="R9" s="561"/>
      <c r="S9" s="561"/>
    </row>
    <row r="10" spans="1:20" s="87" customFormat="1" ht="15" customHeight="1" x14ac:dyDescent="0.25">
      <c r="A10" s="331">
        <v>43871</v>
      </c>
      <c r="B10" s="164" t="s">
        <v>265</v>
      </c>
      <c r="C10" s="281">
        <v>280.52999999999997</v>
      </c>
      <c r="D10" s="281">
        <v>280.52999999999997</v>
      </c>
      <c r="E10" s="163" t="str">
        <f t="shared" si="2"/>
        <v/>
      </c>
      <c r="F10" s="165" t="str">
        <f t="shared" si="3"/>
        <v>оплачено</v>
      </c>
      <c r="G10" s="469"/>
      <c r="H10" s="347"/>
      <c r="I10" s="373"/>
      <c r="J10" s="373"/>
      <c r="K10" s="373"/>
      <c r="L10" s="373"/>
      <c r="M10" s="320"/>
      <c r="N10" s="559"/>
      <c r="O10" s="274"/>
      <c r="P10" s="561"/>
      <c r="Q10" s="561"/>
      <c r="R10" s="561"/>
      <c r="S10" s="561"/>
    </row>
    <row r="11" spans="1:20" ht="18.75" customHeight="1" x14ac:dyDescent="0.25">
      <c r="A11" s="331" t="s">
        <v>221</v>
      </c>
      <c r="B11" s="164" t="s">
        <v>224</v>
      </c>
      <c r="C11" s="281">
        <v>342.57</v>
      </c>
      <c r="D11" s="281">
        <f>330+12.57</f>
        <v>342.57</v>
      </c>
      <c r="E11" s="163" t="str">
        <f t="shared" si="2"/>
        <v/>
      </c>
      <c r="F11" s="165" t="str">
        <f t="shared" si="3"/>
        <v>оплачено</v>
      </c>
      <c r="G11" s="469"/>
      <c r="H11" s="43"/>
      <c r="I11" s="1"/>
      <c r="J11" s="373"/>
      <c r="K11" s="1"/>
      <c r="L11" s="1"/>
      <c r="M11" s="44"/>
      <c r="N11" s="559"/>
      <c r="O11" s="273"/>
      <c r="P11" s="373"/>
      <c r="Q11" s="373"/>
      <c r="R11" s="373"/>
      <c r="S11" s="373"/>
      <c r="T11" s="373"/>
    </row>
    <row r="12" spans="1:20" ht="15.75" customHeight="1" x14ac:dyDescent="0.25">
      <c r="A12" s="331" t="s">
        <v>221</v>
      </c>
      <c r="B12" s="164" t="s">
        <v>155</v>
      </c>
      <c r="C12" s="281">
        <v>116.37</v>
      </c>
      <c r="D12" s="281">
        <v>116.37</v>
      </c>
      <c r="E12" s="163" t="str">
        <f t="shared" si="2"/>
        <v/>
      </c>
      <c r="F12" s="165" t="str">
        <f t="shared" si="3"/>
        <v>оплачено</v>
      </c>
      <c r="G12" s="469"/>
      <c r="H12" s="43"/>
      <c r="I12" s="1"/>
      <c r="J12" s="373"/>
      <c r="K12" s="1"/>
      <c r="L12" s="1"/>
      <c r="M12" s="44"/>
      <c r="N12" s="559"/>
      <c r="O12" s="467"/>
      <c r="P12" s="468"/>
      <c r="Q12" s="373"/>
      <c r="R12" s="373"/>
      <c r="S12" s="373"/>
      <c r="T12" s="373"/>
    </row>
    <row r="13" spans="1:20" ht="14.25" customHeight="1" x14ac:dyDescent="0.25">
      <c r="A13" s="331"/>
      <c r="B13" s="164"/>
      <c r="C13" s="281"/>
      <c r="D13" s="281"/>
      <c r="E13" s="163" t="str">
        <f t="shared" si="2"/>
        <v/>
      </c>
      <c r="F13" s="165" t="str">
        <f t="shared" si="3"/>
        <v/>
      </c>
      <c r="G13" s="469"/>
      <c r="H13" s="43"/>
      <c r="I13" s="1"/>
      <c r="J13" s="373"/>
      <c r="K13" s="1"/>
      <c r="L13" s="1"/>
      <c r="M13" s="44"/>
      <c r="N13" s="559"/>
      <c r="O13" s="128"/>
      <c r="P13" s="468"/>
      <c r="Q13" s="373"/>
      <c r="R13" s="373"/>
      <c r="S13" s="373"/>
      <c r="T13" s="373"/>
    </row>
    <row r="14" spans="1:20" ht="17.25" customHeight="1" x14ac:dyDescent="0.25">
      <c r="A14" s="331"/>
      <c r="B14" s="164"/>
      <c r="C14" s="281"/>
      <c r="D14" s="281"/>
      <c r="E14" s="163" t="str">
        <f t="shared" si="2"/>
        <v/>
      </c>
      <c r="F14" s="165" t="str">
        <f t="shared" si="3"/>
        <v/>
      </c>
      <c r="G14" s="469"/>
      <c r="H14" s="43"/>
      <c r="I14" s="1"/>
      <c r="J14" s="373"/>
      <c r="K14" s="1"/>
      <c r="L14" s="1"/>
      <c r="M14" s="44"/>
      <c r="N14" s="559"/>
      <c r="O14" s="467"/>
      <c r="P14" s="373"/>
      <c r="Q14" s="373"/>
      <c r="R14" s="373"/>
      <c r="S14" s="373"/>
      <c r="T14" s="373"/>
    </row>
    <row r="15" spans="1:20" ht="14.25" customHeight="1" x14ac:dyDescent="0.25">
      <c r="A15" s="331"/>
      <c r="B15" s="164"/>
      <c r="C15" s="281"/>
      <c r="D15" s="164"/>
      <c r="E15" s="163" t="str">
        <f t="shared" si="2"/>
        <v/>
      </c>
      <c r="F15" s="165" t="str">
        <f t="shared" si="3"/>
        <v/>
      </c>
      <c r="G15" s="469"/>
      <c r="H15" s="43"/>
      <c r="I15" s="1"/>
      <c r="J15" s="373"/>
      <c r="K15" s="1"/>
      <c r="L15" s="1"/>
      <c r="M15" s="44"/>
      <c r="N15" s="559"/>
      <c r="O15" s="128"/>
      <c r="P15" s="468"/>
      <c r="Q15" s="373"/>
      <c r="R15" s="373"/>
      <c r="S15" s="373"/>
      <c r="T15" s="373"/>
    </row>
    <row r="16" spans="1:20" x14ac:dyDescent="0.25">
      <c r="A16" s="331"/>
      <c r="B16" s="164"/>
      <c r="C16" s="281"/>
      <c r="D16" s="164"/>
      <c r="E16" s="163" t="str">
        <f t="shared" si="2"/>
        <v/>
      </c>
      <c r="F16" s="165" t="str">
        <f t="shared" si="3"/>
        <v/>
      </c>
      <c r="G16" s="469"/>
      <c r="H16" s="43"/>
      <c r="I16" s="1"/>
      <c r="J16" s="373"/>
      <c r="K16" s="1"/>
      <c r="L16" s="1"/>
      <c r="M16" s="44"/>
      <c r="N16" s="301"/>
      <c r="O16" s="467"/>
      <c r="P16" s="765"/>
      <c r="Q16" s="765"/>
      <c r="R16" s="373"/>
      <c r="S16" s="87"/>
      <c r="T16" s="87"/>
    </row>
    <row r="17" spans="1:22" x14ac:dyDescent="0.25">
      <c r="A17" s="333"/>
      <c r="B17" s="164"/>
      <c r="C17" s="164"/>
      <c r="D17" s="164"/>
      <c r="E17" s="163" t="str">
        <f t="shared" si="2"/>
        <v/>
      </c>
      <c r="F17" s="165" t="str">
        <f t="shared" si="3"/>
        <v/>
      </c>
      <c r="G17" s="469"/>
      <c r="H17" s="43"/>
      <c r="I17" s="1"/>
      <c r="J17" s="373"/>
      <c r="K17" s="1"/>
      <c r="L17" s="1"/>
      <c r="M17" s="44"/>
      <c r="N17" s="301"/>
      <c r="O17" s="468"/>
      <c r="P17" s="468"/>
      <c r="Q17" s="373"/>
      <c r="R17" s="373"/>
      <c r="S17" s="87"/>
      <c r="T17" s="87"/>
    </row>
    <row r="18" spans="1:22" ht="15.75" customHeight="1" x14ac:dyDescent="0.25">
      <c r="A18" s="334"/>
      <c r="B18" s="164"/>
      <c r="C18" s="164"/>
      <c r="D18" s="164"/>
      <c r="E18" s="163" t="str">
        <f t="shared" si="2"/>
        <v/>
      </c>
      <c r="F18" s="165" t="str">
        <f t="shared" si="3"/>
        <v/>
      </c>
      <c r="G18" s="469"/>
      <c r="H18" s="43"/>
      <c r="I18" s="1"/>
      <c r="J18" s="373"/>
      <c r="K18" s="1"/>
      <c r="L18" s="1"/>
      <c r="M18" s="44"/>
      <c r="N18" s="301"/>
      <c r="O18" s="153"/>
      <c r="P18" s="468"/>
      <c r="Q18" s="373"/>
      <c r="R18" s="373"/>
      <c r="S18" s="87"/>
      <c r="T18" s="87"/>
    </row>
    <row r="19" spans="1:22" x14ac:dyDescent="0.25">
      <c r="A19" s="334"/>
      <c r="B19" s="164"/>
      <c r="C19" s="164"/>
      <c r="D19" s="164"/>
      <c r="E19" s="163" t="str">
        <f t="shared" si="2"/>
        <v/>
      </c>
      <c r="F19" s="165" t="str">
        <f t="shared" si="3"/>
        <v/>
      </c>
      <c r="G19" s="469"/>
      <c r="H19" s="43"/>
      <c r="I19" s="1"/>
      <c r="J19" s="373"/>
      <c r="K19" s="1"/>
      <c r="L19" s="1"/>
      <c r="M19" s="44"/>
      <c r="N19" s="301"/>
      <c r="O19" s="128"/>
      <c r="P19" s="468"/>
      <c r="Q19" s="373"/>
      <c r="R19" s="373"/>
      <c r="S19" s="87"/>
      <c r="T19" s="87"/>
    </row>
    <row r="20" spans="1:22" x14ac:dyDescent="0.25">
      <c r="A20" s="333"/>
      <c r="B20" s="164"/>
      <c r="C20" s="164"/>
      <c r="D20" s="164"/>
      <c r="E20" s="163" t="str">
        <f t="shared" si="2"/>
        <v/>
      </c>
      <c r="F20" s="165" t="str">
        <f t="shared" si="3"/>
        <v/>
      </c>
      <c r="G20" s="469"/>
      <c r="H20" s="43"/>
      <c r="I20" s="1"/>
      <c r="J20" s="373"/>
      <c r="K20" s="1"/>
      <c r="L20" s="1"/>
      <c r="M20" s="44"/>
      <c r="N20" s="153"/>
      <c r="O20" s="128"/>
      <c r="P20" s="468"/>
      <c r="Q20" s="373"/>
      <c r="R20" s="373"/>
      <c r="S20" s="87"/>
      <c r="T20" s="87"/>
    </row>
    <row r="21" spans="1:22" ht="15.75" thickBot="1" x14ac:dyDescent="0.3">
      <c r="A21" s="763" t="s">
        <v>278</v>
      </c>
      <c r="B21" s="764"/>
      <c r="C21" s="365">
        <f>SUM(C5:C20)</f>
        <v>2084.6699999999996</v>
      </c>
      <c r="D21" s="365"/>
      <c r="E21" s="163">
        <f>SUM(E5:E20)</f>
        <v>0</v>
      </c>
      <c r="F21" s="165"/>
      <c r="G21" s="470"/>
      <c r="H21" s="43"/>
      <c r="I21" s="1"/>
      <c r="J21" s="373"/>
      <c r="K21" s="1"/>
      <c r="L21" s="1"/>
      <c r="M21" s="44"/>
      <c r="N21" s="1"/>
      <c r="O21" s="128"/>
      <c r="P21" s="468"/>
      <c r="Q21" s="373"/>
      <c r="R21" s="373"/>
      <c r="S21" s="87"/>
      <c r="T21" s="87"/>
    </row>
    <row r="22" spans="1:22" ht="15.75" thickTop="1" x14ac:dyDescent="0.25">
      <c r="A22" s="358"/>
      <c r="B22" s="359"/>
      <c r="C22" s="360"/>
      <c r="D22" s="360"/>
      <c r="E22" s="361"/>
      <c r="F22" s="359"/>
      <c r="G22" s="392"/>
      <c r="H22" s="723" t="s">
        <v>16</v>
      </c>
      <c r="I22" s="725" t="s">
        <v>17</v>
      </c>
      <c r="J22" s="725" t="s">
        <v>21</v>
      </c>
      <c r="K22" s="725"/>
      <c r="L22" s="726" t="s">
        <v>93</v>
      </c>
      <c r="M22" s="727" t="s">
        <v>95</v>
      </c>
      <c r="N22" s="1"/>
      <c r="O22" s="128"/>
      <c r="P22" s="468"/>
      <c r="Q22" s="373"/>
      <c r="R22" s="373"/>
      <c r="S22" s="87"/>
      <c r="T22" s="87"/>
      <c r="V22" s="1"/>
    </row>
    <row r="23" spans="1:22" ht="24" x14ac:dyDescent="0.25">
      <c r="A23" s="362"/>
      <c r="B23" s="207"/>
      <c r="C23" s="207"/>
      <c r="D23" s="207"/>
      <c r="E23" s="222"/>
      <c r="F23" s="207"/>
      <c r="G23" s="207"/>
      <c r="H23" s="724"/>
      <c r="I23" s="685"/>
      <c r="J23" s="551" t="s">
        <v>21</v>
      </c>
      <c r="K23" s="551" t="s">
        <v>25</v>
      </c>
      <c r="L23" s="686"/>
      <c r="M23" s="687"/>
      <c r="N23" s="1"/>
      <c r="P23" s="373"/>
      <c r="Q23" s="373"/>
      <c r="R23" s="373"/>
      <c r="S23" s="87"/>
      <c r="T23" s="87"/>
      <c r="V23" s="1"/>
    </row>
    <row r="24" spans="1:22" x14ac:dyDescent="0.25">
      <c r="A24" s="345"/>
      <c r="B24" s="205"/>
      <c r="C24" s="294"/>
      <c r="D24" s="238"/>
      <c r="E24" s="85"/>
      <c r="F24" s="205"/>
      <c r="G24" s="205"/>
      <c r="H24" s="354" t="s">
        <v>18</v>
      </c>
      <c r="I24" s="95">
        <v>32809.9</v>
      </c>
      <c r="J24" s="95">
        <v>1675.7199999999998</v>
      </c>
      <c r="K24" s="303">
        <v>1047.01</v>
      </c>
      <c r="L24" s="97">
        <v>52152</v>
      </c>
      <c r="M24" s="105">
        <f>82159.79-I24-J24-K24+L24</f>
        <v>98779.159999999989</v>
      </c>
      <c r="N24" s="1"/>
      <c r="P24" s="85"/>
      <c r="Q24" s="373"/>
      <c r="R24" s="373"/>
      <c r="S24" s="87"/>
      <c r="T24" s="87"/>
      <c r="V24" s="1"/>
    </row>
    <row r="25" spans="1:22" ht="15.75" customHeight="1" x14ac:dyDescent="0.25">
      <c r="A25" s="346"/>
      <c r="B25" s="205"/>
      <c r="C25" s="205"/>
      <c r="D25" s="279"/>
      <c r="E25" s="373"/>
      <c r="F25" s="85"/>
      <c r="G25" s="373"/>
      <c r="H25" s="354" t="s">
        <v>19</v>
      </c>
      <c r="I25" s="95">
        <v>35259.58</v>
      </c>
      <c r="J25" s="95">
        <v>1363.3000000000002</v>
      </c>
      <c r="K25" s="95">
        <v>1176.05</v>
      </c>
      <c r="L25" s="97">
        <v>40465.950000000004</v>
      </c>
      <c r="M25" s="105">
        <f>M24-I25-J25-K25+L25</f>
        <v>101446.18</v>
      </c>
      <c r="N25" s="1"/>
      <c r="O25" s="373"/>
      <c r="P25" s="373"/>
      <c r="Q25" s="87"/>
      <c r="R25" s="373"/>
      <c r="S25" s="87"/>
      <c r="T25" s="87"/>
      <c r="V25" s="1"/>
    </row>
    <row r="26" spans="1:22" x14ac:dyDescent="0.25">
      <c r="A26" s="346"/>
      <c r="B26" s="373"/>
      <c r="C26" s="205"/>
      <c r="D26" s="279"/>
      <c r="E26" s="373"/>
      <c r="F26" s="373"/>
      <c r="G26" s="373"/>
      <c r="H26" s="354" t="s">
        <v>20</v>
      </c>
      <c r="I26" s="304">
        <v>34690.219999999994</v>
      </c>
      <c r="J26" s="95">
        <v>1209.3000000000002</v>
      </c>
      <c r="K26" s="305">
        <v>1213.33</v>
      </c>
      <c r="L26" s="305">
        <v>19306</v>
      </c>
      <c r="M26" s="105">
        <f t="shared" ref="M26:M28" si="4">M25-I26-J26-K26+L26</f>
        <v>83639.329999999987</v>
      </c>
      <c r="N26" s="1"/>
      <c r="P26" s="85"/>
      <c r="Q26" s="373"/>
      <c r="R26" s="373"/>
      <c r="S26" s="87"/>
      <c r="T26" s="87"/>
      <c r="V26" s="1"/>
    </row>
    <row r="27" spans="1:22" x14ac:dyDescent="0.25">
      <c r="A27" s="346"/>
      <c r="B27" s="1"/>
      <c r="C27" s="290"/>
      <c r="D27" s="279"/>
      <c r="E27" s="373"/>
      <c r="F27" s="373"/>
      <c r="G27" s="85"/>
      <c r="H27" s="354" t="s">
        <v>148</v>
      </c>
      <c r="I27" s="305">
        <v>30955.479999999996</v>
      </c>
      <c r="J27" s="306">
        <v>3184.46</v>
      </c>
      <c r="K27" s="306">
        <v>1035.6600000000001</v>
      </c>
      <c r="L27" s="305">
        <v>59195.5</v>
      </c>
      <c r="M27" s="105">
        <f t="shared" si="4"/>
        <v>107659.22999999998</v>
      </c>
      <c r="N27" s="373"/>
      <c r="P27" s="373"/>
      <c r="Q27" s="373"/>
      <c r="R27" s="373"/>
      <c r="S27" s="87"/>
      <c r="T27" s="87"/>
      <c r="V27" s="373"/>
    </row>
    <row r="28" spans="1:22" x14ac:dyDescent="0.25">
      <c r="A28" s="346"/>
      <c r="B28" s="205"/>
      <c r="C28" s="1"/>
      <c r="D28" s="279"/>
      <c r="E28" s="373"/>
      <c r="F28" s="373"/>
      <c r="G28" s="373"/>
      <c r="H28" s="355" t="s">
        <v>162</v>
      </c>
      <c r="I28" s="306">
        <v>31239.439999999995</v>
      </c>
      <c r="J28" s="305">
        <v>2443.4</v>
      </c>
      <c r="K28" s="306">
        <v>1496.52</v>
      </c>
      <c r="L28" s="305">
        <v>40132</v>
      </c>
      <c r="M28" s="105">
        <f t="shared" si="4"/>
        <v>112611.86999999998</v>
      </c>
      <c r="N28" s="373"/>
      <c r="P28" s="373"/>
      <c r="Q28" s="373"/>
      <c r="R28" s="373"/>
      <c r="S28" s="87"/>
      <c r="T28" s="87"/>
      <c r="V28" s="373"/>
    </row>
    <row r="29" spans="1:22" x14ac:dyDescent="0.25">
      <c r="A29" s="346"/>
      <c r="B29" s="205"/>
      <c r="C29" s="1"/>
      <c r="D29" s="279"/>
      <c r="E29" s="373"/>
      <c r="F29" s="373"/>
      <c r="G29" s="373"/>
      <c r="H29" s="395" t="s">
        <v>163</v>
      </c>
      <c r="I29" s="396">
        <v>28986.99</v>
      </c>
      <c r="J29" s="449">
        <v>6271.4999999999991</v>
      </c>
      <c r="K29" s="450">
        <v>1046.56</v>
      </c>
      <c r="L29" s="450">
        <v>22678.1</v>
      </c>
      <c r="M29" s="105">
        <f>M28-I29-J29-K29+L29</f>
        <v>98984.919999999984</v>
      </c>
      <c r="N29" s="373"/>
      <c r="P29" s="373"/>
      <c r="Q29" s="373"/>
      <c r="R29" s="373"/>
      <c r="S29" s="87"/>
      <c r="T29" s="87"/>
      <c r="V29" s="373"/>
    </row>
    <row r="30" spans="1:22" x14ac:dyDescent="0.25">
      <c r="A30" s="346"/>
      <c r="B30" s="205"/>
      <c r="C30" s="1"/>
      <c r="D30" s="279"/>
      <c r="E30" s="373"/>
      <c r="F30" s="373"/>
      <c r="G30" s="373"/>
      <c r="H30" s="395" t="s">
        <v>192</v>
      </c>
      <c r="I30" s="396">
        <v>31654.69</v>
      </c>
      <c r="J30" s="449">
        <v>7124.02</v>
      </c>
      <c r="K30" s="450">
        <v>1268.5600000000002</v>
      </c>
      <c r="L30" s="450">
        <v>32888</v>
      </c>
      <c r="M30" s="105">
        <f>M29-I30-J30-K30+L30</f>
        <v>91825.64999999998</v>
      </c>
      <c r="N30" s="373"/>
      <c r="P30" s="373"/>
      <c r="Q30" s="373"/>
      <c r="R30" s="373"/>
      <c r="S30" s="87"/>
      <c r="T30" s="87"/>
      <c r="V30" s="373"/>
    </row>
    <row r="31" spans="1:22" x14ac:dyDescent="0.25">
      <c r="A31" s="346"/>
      <c r="B31" s="205"/>
      <c r="C31" s="1"/>
      <c r="D31" s="279"/>
      <c r="E31" s="373"/>
      <c r="F31" s="373"/>
      <c r="G31" s="373"/>
      <c r="H31" s="395" t="s">
        <v>199</v>
      </c>
      <c r="I31" s="396">
        <v>28891.4</v>
      </c>
      <c r="J31" s="449">
        <v>8339.34</v>
      </c>
      <c r="K31" s="450">
        <v>1310.53</v>
      </c>
      <c r="L31" s="450">
        <v>36419</v>
      </c>
      <c r="M31" s="105">
        <f>M30-I31-J31-K31+L31</f>
        <v>89703.379999999976</v>
      </c>
      <c r="N31" s="373"/>
      <c r="P31" s="85"/>
      <c r="Q31" s="373"/>
      <c r="R31" s="373"/>
      <c r="S31" s="87"/>
      <c r="T31" s="87"/>
      <c r="V31" s="373"/>
    </row>
    <row r="32" spans="1:22" ht="12.75" customHeight="1" thickBot="1" x14ac:dyDescent="0.3">
      <c r="A32" s="346"/>
      <c r="B32" s="205"/>
      <c r="C32" s="1"/>
      <c r="D32" s="279"/>
      <c r="E32" s="373"/>
      <c r="F32" s="373"/>
      <c r="G32" s="373"/>
      <c r="H32" s="395" t="s">
        <v>209</v>
      </c>
      <c r="I32" s="396">
        <v>28339.37</v>
      </c>
      <c r="J32" s="449">
        <v>1758.9</v>
      </c>
      <c r="K32" s="450">
        <v>1141.96</v>
      </c>
      <c r="L32" s="450">
        <v>35862.5</v>
      </c>
      <c r="M32" s="105">
        <f>M31-I32-J32-K32+L32</f>
        <v>94325.64999999998</v>
      </c>
      <c r="N32" s="373"/>
      <c r="P32" s="373"/>
      <c r="Q32" s="87"/>
      <c r="R32" s="373"/>
      <c r="S32" s="87"/>
      <c r="T32" s="87"/>
      <c r="U32" s="373"/>
      <c r="V32" s="373"/>
    </row>
    <row r="33" spans="1:21" ht="12.75" customHeight="1" thickTop="1" x14ac:dyDescent="0.25">
      <c r="A33" s="346"/>
      <c r="B33" s="205"/>
      <c r="C33" s="1"/>
      <c r="D33" s="279"/>
      <c r="E33" s="85"/>
      <c r="F33" s="373"/>
      <c r="G33" s="373"/>
      <c r="H33" s="710" t="s">
        <v>36</v>
      </c>
      <c r="I33" s="712" t="s">
        <v>178</v>
      </c>
      <c r="J33" s="713"/>
      <c r="K33" s="714"/>
      <c r="L33" s="718" t="s">
        <v>159</v>
      </c>
      <c r="M33" s="719"/>
      <c r="N33" s="1"/>
      <c r="P33" s="85"/>
      <c r="Q33" s="373"/>
      <c r="R33" s="373"/>
      <c r="S33" s="87"/>
      <c r="T33" s="87"/>
      <c r="U33" s="373"/>
    </row>
    <row r="34" spans="1:21" ht="13.5" customHeight="1" x14ac:dyDescent="0.25">
      <c r="A34" s="346"/>
      <c r="B34" s="205"/>
      <c r="C34" s="290"/>
      <c r="D34" s="279"/>
      <c r="E34" s="290"/>
      <c r="F34" s="373"/>
      <c r="G34" s="394"/>
      <c r="H34" s="711"/>
      <c r="I34" s="715"/>
      <c r="J34" s="716"/>
      <c r="K34" s="717"/>
      <c r="L34" s="720"/>
      <c r="M34" s="721"/>
      <c r="N34" s="1"/>
      <c r="P34" s="373"/>
      <c r="Q34" s="373"/>
      <c r="R34" s="373"/>
      <c r="S34" s="87"/>
      <c r="T34" s="87"/>
      <c r="U34" s="373"/>
    </row>
    <row r="35" spans="1:21" ht="15.75" customHeight="1" x14ac:dyDescent="0.25">
      <c r="A35" s="346"/>
      <c r="B35" s="205"/>
      <c r="C35" s="205"/>
      <c r="D35" s="279"/>
      <c r="E35" s="205"/>
      <c r="F35" s="373"/>
      <c r="G35" s="394"/>
      <c r="H35" s="393" t="s">
        <v>259</v>
      </c>
      <c r="I35" s="757" t="s">
        <v>47</v>
      </c>
      <c r="J35" s="757"/>
      <c r="K35" s="560">
        <v>328.13</v>
      </c>
      <c r="L35" s="288">
        <v>43876</v>
      </c>
      <c r="M35" s="44" t="s">
        <v>207</v>
      </c>
      <c r="N35" s="153"/>
      <c r="P35" s="373"/>
      <c r="Q35" s="373"/>
      <c r="R35" s="373"/>
      <c r="S35" s="87"/>
      <c r="T35" s="87"/>
      <c r="U35" s="373"/>
    </row>
    <row r="36" spans="1:21" x14ac:dyDescent="0.25">
      <c r="A36" s="346"/>
      <c r="B36" s="373"/>
      <c r="C36" s="280"/>
      <c r="D36" s="279"/>
      <c r="E36" s="280"/>
      <c r="F36" s="373"/>
      <c r="G36" s="373"/>
      <c r="H36" s="393" t="s">
        <v>259</v>
      </c>
      <c r="I36" s="758" t="s">
        <v>51</v>
      </c>
      <c r="J36" s="758"/>
      <c r="K36" s="561">
        <v>71.83</v>
      </c>
      <c r="L36" s="288">
        <v>43876</v>
      </c>
      <c r="M36" s="44" t="s">
        <v>207</v>
      </c>
      <c r="N36" s="1"/>
      <c r="P36" s="558"/>
      <c r="Q36" s="557"/>
      <c r="R36" s="557"/>
      <c r="S36" s="373"/>
      <c r="T36" s="300"/>
      <c r="U36" s="373"/>
    </row>
    <row r="37" spans="1:21" x14ac:dyDescent="0.25">
      <c r="A37" s="347"/>
      <c r="B37" s="373"/>
      <c r="C37" s="373"/>
      <c r="D37" s="279"/>
      <c r="E37" s="205"/>
      <c r="F37" s="373"/>
      <c r="G37" s="373"/>
      <c r="H37" s="393" t="s">
        <v>259</v>
      </c>
      <c r="I37" s="758" t="s">
        <v>52</v>
      </c>
      <c r="J37" s="758"/>
      <c r="K37" s="561">
        <v>5.63</v>
      </c>
      <c r="L37" s="288">
        <v>43876</v>
      </c>
      <c r="M37" s="44" t="s">
        <v>207</v>
      </c>
      <c r="N37" s="1"/>
      <c r="P37" s="533"/>
      <c r="Q37" s="557"/>
      <c r="R37" s="557"/>
      <c r="S37" s="373"/>
      <c r="T37" s="300"/>
      <c r="U37" s="373"/>
    </row>
    <row r="38" spans="1:21" x14ac:dyDescent="0.25">
      <c r="A38" s="347"/>
      <c r="B38" s="373"/>
      <c r="C38" s="373"/>
      <c r="D38" s="279"/>
      <c r="E38" s="373"/>
      <c r="F38" s="373"/>
      <c r="G38" s="373"/>
      <c r="H38" s="393" t="s">
        <v>259</v>
      </c>
      <c r="I38" s="758" t="s">
        <v>49</v>
      </c>
      <c r="J38" s="758"/>
      <c r="K38" s="561">
        <v>257</v>
      </c>
      <c r="L38" s="288">
        <v>43881</v>
      </c>
      <c r="M38" s="44" t="s">
        <v>256</v>
      </c>
      <c r="N38" s="153"/>
      <c r="P38" s="454"/>
      <c r="Q38" s="557"/>
      <c r="R38" s="557"/>
      <c r="S38" s="373"/>
      <c r="T38" s="300"/>
      <c r="U38" s="373"/>
    </row>
    <row r="39" spans="1:21" x14ac:dyDescent="0.25">
      <c r="A39" s="347"/>
      <c r="B39" s="373"/>
      <c r="C39" s="373"/>
      <c r="D39" s="279"/>
      <c r="E39" s="373"/>
      <c r="F39" s="373"/>
      <c r="G39" s="373"/>
      <c r="H39" s="393" t="s">
        <v>259</v>
      </c>
      <c r="I39" s="759" t="s">
        <v>59</v>
      </c>
      <c r="J39" s="759"/>
      <c r="K39" s="480">
        <v>846.17</v>
      </c>
      <c r="L39" s="308" t="s">
        <v>177</v>
      </c>
      <c r="M39" s="44" t="s">
        <v>207</v>
      </c>
      <c r="N39" s="1"/>
      <c r="P39" s="454"/>
      <c r="Q39" s="557"/>
      <c r="R39" s="557"/>
      <c r="S39" s="373"/>
      <c r="T39" s="373"/>
      <c r="U39" s="373"/>
    </row>
    <row r="40" spans="1:21" x14ac:dyDescent="0.25">
      <c r="A40" s="347"/>
      <c r="B40" s="205"/>
      <c r="C40" s="205"/>
      <c r="D40" s="279"/>
      <c r="E40" s="205"/>
      <c r="F40" s="373"/>
      <c r="G40" s="373"/>
      <c r="H40" s="393" t="s">
        <v>259</v>
      </c>
      <c r="I40" s="760" t="s">
        <v>68</v>
      </c>
      <c r="J40" s="761"/>
      <c r="K40" s="561">
        <v>333.58</v>
      </c>
      <c r="L40" s="288">
        <v>43881</v>
      </c>
      <c r="M40" s="44" t="s">
        <v>207</v>
      </c>
      <c r="N40" s="1"/>
      <c r="P40" s="373"/>
      <c r="Q40" s="557"/>
      <c r="R40" s="557"/>
      <c r="S40" s="373"/>
      <c r="T40" s="300"/>
      <c r="U40" s="373"/>
    </row>
    <row r="41" spans="1:21" x14ac:dyDescent="0.25">
      <c r="A41" s="347"/>
      <c r="B41" s="205"/>
      <c r="C41" s="373"/>
      <c r="D41" s="279"/>
      <c r="E41" s="205"/>
      <c r="F41" s="373"/>
      <c r="G41" s="373"/>
      <c r="H41" s="393" t="s">
        <v>259</v>
      </c>
      <c r="I41" s="562" t="s">
        <v>174</v>
      </c>
      <c r="J41" s="563"/>
      <c r="K41" s="5">
        <v>518.58999999999992</v>
      </c>
      <c r="L41" s="288">
        <v>43876</v>
      </c>
      <c r="M41" s="44" t="s">
        <v>207</v>
      </c>
      <c r="N41" s="12"/>
      <c r="P41" s="373"/>
      <c r="Q41" s="372"/>
      <c r="R41" s="372"/>
      <c r="S41" s="373"/>
      <c r="T41" s="300"/>
      <c r="U41" s="373"/>
    </row>
    <row r="42" spans="1:21" x14ac:dyDescent="0.25">
      <c r="A42" s="347"/>
      <c r="B42" s="205"/>
      <c r="C42" s="373"/>
      <c r="D42" s="279"/>
      <c r="E42" s="205"/>
      <c r="F42" s="373"/>
      <c r="G42" s="373"/>
      <c r="H42" s="393" t="s">
        <v>267</v>
      </c>
      <c r="I42" s="562" t="s">
        <v>176</v>
      </c>
      <c r="J42" s="563"/>
      <c r="K42" s="561"/>
      <c r="L42" s="288">
        <v>43881</v>
      </c>
      <c r="M42" s="44" t="s">
        <v>207</v>
      </c>
      <c r="N42" s="1"/>
      <c r="P42" s="373">
        <v>1575.5586000000001</v>
      </c>
      <c r="Q42" s="372"/>
      <c r="R42" s="372"/>
      <c r="S42" s="373"/>
      <c r="T42" s="300"/>
      <c r="U42" s="373"/>
    </row>
    <row r="43" spans="1:21" x14ac:dyDescent="0.25">
      <c r="A43" s="347"/>
      <c r="B43" s="205"/>
      <c r="C43" s="373"/>
      <c r="D43" s="279"/>
      <c r="E43" s="238"/>
      <c r="F43" s="373"/>
      <c r="G43" s="373"/>
      <c r="H43" s="393" t="s">
        <v>259</v>
      </c>
      <c r="I43" s="760" t="s">
        <v>81</v>
      </c>
      <c r="J43" s="761"/>
      <c r="K43" s="561">
        <v>1542</v>
      </c>
      <c r="L43" s="288">
        <v>43876</v>
      </c>
      <c r="M43" s="44" t="s">
        <v>207</v>
      </c>
      <c r="N43" s="1"/>
      <c r="P43" s="373">
        <f>ROUND(P42,2)</f>
        <v>1575.56</v>
      </c>
      <c r="Q43" s="557"/>
      <c r="R43" s="557"/>
      <c r="S43" s="373"/>
      <c r="T43" s="300"/>
      <c r="U43" s="373"/>
    </row>
    <row r="44" spans="1:21" x14ac:dyDescent="0.25">
      <c r="A44" s="347"/>
      <c r="B44" s="205"/>
      <c r="C44" s="373"/>
      <c r="D44" s="279"/>
      <c r="E44" s="238"/>
      <c r="F44" s="373"/>
      <c r="G44" s="373"/>
      <c r="H44" s="393" t="s">
        <v>259</v>
      </c>
      <c r="I44" s="760" t="s">
        <v>181</v>
      </c>
      <c r="J44" s="761"/>
      <c r="K44" s="561">
        <v>10</v>
      </c>
      <c r="L44" s="288">
        <v>43876</v>
      </c>
      <c r="M44" s="44" t="s">
        <v>207</v>
      </c>
      <c r="N44" s="1"/>
      <c r="P44" s="373" t="s">
        <v>289</v>
      </c>
      <c r="Q44" s="372"/>
      <c r="R44" s="373"/>
      <c r="S44" s="373"/>
      <c r="T44" s="300"/>
      <c r="U44" s="373"/>
    </row>
    <row r="45" spans="1:21" x14ac:dyDescent="0.25">
      <c r="A45" s="347"/>
      <c r="B45" s="205"/>
      <c r="C45" s="373"/>
      <c r="D45" s="279"/>
      <c r="E45" s="238"/>
      <c r="F45" s="373"/>
      <c r="G45" s="373"/>
      <c r="H45" s="393" t="s">
        <v>259</v>
      </c>
      <c r="I45" s="677" t="s">
        <v>61</v>
      </c>
      <c r="J45" s="677"/>
      <c r="K45" s="561">
        <f>J7</f>
        <v>2533.39</v>
      </c>
      <c r="L45" s="288">
        <v>43881</v>
      </c>
      <c r="M45" s="44" t="s">
        <v>207</v>
      </c>
      <c r="N45" s="1"/>
      <c r="P45" s="373"/>
      <c r="Q45" s="372"/>
      <c r="R45" s="372"/>
      <c r="S45" s="373"/>
      <c r="T45" s="300"/>
      <c r="U45" s="373"/>
    </row>
    <row r="46" spans="1:21" ht="15.75" thickBot="1" x14ac:dyDescent="0.3">
      <c r="A46" s="348"/>
      <c r="B46" s="337"/>
      <c r="C46" s="338"/>
      <c r="D46" s="349"/>
      <c r="E46" s="337"/>
      <c r="F46" s="338"/>
      <c r="G46" s="338"/>
      <c r="H46" s="353"/>
      <c r="I46" s="368" t="s">
        <v>179</v>
      </c>
      <c r="J46" s="368">
        <f>SUM(K35:K45)</f>
        <v>6446.32</v>
      </c>
      <c r="K46" s="730" t="s">
        <v>180</v>
      </c>
      <c r="L46" s="730"/>
      <c r="M46" s="542">
        <v>0</v>
      </c>
      <c r="N46" s="1"/>
      <c r="P46" s="373"/>
      <c r="Q46" s="373"/>
      <c r="R46" s="373"/>
      <c r="S46" s="373"/>
      <c r="T46" s="373"/>
      <c r="U46" s="373"/>
    </row>
    <row r="47" spans="1:21" ht="15.75" thickTop="1" x14ac:dyDescent="0.25">
      <c r="A47" s="373"/>
      <c r="B47" s="373"/>
      <c r="C47" s="373"/>
      <c r="D47" s="373"/>
      <c r="E47" s="373"/>
      <c r="F47" s="373"/>
      <c r="G47" s="373"/>
      <c r="H47" s="744"/>
      <c r="I47" s="744"/>
      <c r="J47" s="744"/>
      <c r="K47" s="744"/>
      <c r="L47" s="373"/>
      <c r="M47" s="460"/>
      <c r="N47" s="1"/>
      <c r="P47" s="373"/>
      <c r="Q47" s="373"/>
      <c r="R47" s="373"/>
      <c r="S47" s="373"/>
      <c r="T47" s="373"/>
      <c r="U47" s="373"/>
    </row>
    <row r="48" spans="1:21" ht="15" customHeight="1" x14ac:dyDescent="0.25">
      <c r="A48" s="742" t="s">
        <v>280</v>
      </c>
      <c r="B48" s="742"/>
      <c r="C48" s="742"/>
      <c r="D48" s="742"/>
      <c r="E48" s="742"/>
      <c r="F48" s="742"/>
      <c r="G48" s="742"/>
      <c r="H48" s="742"/>
      <c r="I48" s="742"/>
      <c r="J48" s="742"/>
      <c r="K48" s="742"/>
      <c r="L48" s="742"/>
      <c r="M48" s="742"/>
      <c r="N48" s="1"/>
      <c r="P48" s="1"/>
      <c r="Q48" s="373"/>
      <c r="R48" s="373"/>
      <c r="S48" s="373"/>
      <c r="T48" s="373"/>
    </row>
    <row r="49" spans="1:20" ht="15.75" customHeight="1" thickBot="1" x14ac:dyDescent="0.3">
      <c r="A49" s="743"/>
      <c r="B49" s="743"/>
      <c r="C49" s="743"/>
      <c r="D49" s="743"/>
      <c r="E49" s="743"/>
      <c r="F49" s="743"/>
      <c r="G49" s="743"/>
      <c r="H49" s="743"/>
      <c r="I49" s="743"/>
      <c r="J49" s="743"/>
      <c r="K49" s="743"/>
      <c r="L49" s="743"/>
      <c r="M49" s="743"/>
      <c r="N49" s="1"/>
      <c r="P49" s="1"/>
      <c r="Q49" s="373"/>
      <c r="R49" s="372"/>
      <c r="S49" s="557"/>
      <c r="T49" s="373"/>
    </row>
    <row r="50" spans="1:20" ht="15.75" thickTop="1" x14ac:dyDescent="0.25">
      <c r="A50" s="739" t="s">
        <v>28</v>
      </c>
      <c r="B50" s="682"/>
      <c r="C50" s="682"/>
      <c r="D50" s="682"/>
      <c r="E50" s="682"/>
      <c r="F50" s="682"/>
      <c r="G50" s="683"/>
      <c r="H50" s="740" t="s">
        <v>279</v>
      </c>
      <c r="I50" s="738"/>
      <c r="J50" s="738"/>
      <c r="K50" s="738"/>
      <c r="L50" s="738"/>
      <c r="M50" s="741"/>
      <c r="N50" s="1"/>
      <c r="P50" s="1"/>
      <c r="Q50" s="459"/>
      <c r="R50" s="205"/>
      <c r="S50" s="280"/>
      <c r="T50" s="373"/>
    </row>
    <row r="51" spans="1:20" x14ac:dyDescent="0.25">
      <c r="A51" s="330" t="s">
        <v>2</v>
      </c>
      <c r="B51" s="554" t="s">
        <v>34</v>
      </c>
      <c r="C51" s="36" t="s">
        <v>35</v>
      </c>
      <c r="D51" s="36" t="s">
        <v>38</v>
      </c>
      <c r="E51" s="36" t="s">
        <v>42</v>
      </c>
      <c r="F51" s="554" t="s">
        <v>36</v>
      </c>
      <c r="G51" s="101" t="s">
        <v>173</v>
      </c>
      <c r="H51" s="43"/>
      <c r="I51" s="550" t="s">
        <v>35</v>
      </c>
      <c r="J51" s="550" t="s">
        <v>38</v>
      </c>
      <c r="K51" s="550" t="s">
        <v>42</v>
      </c>
      <c r="L51" s="269" t="s">
        <v>44</v>
      </c>
      <c r="M51" s="461"/>
      <c r="N51" s="1"/>
      <c r="P51" s="1"/>
      <c r="Q51" s="459"/>
      <c r="R51" s="205"/>
      <c r="S51" s="280"/>
      <c r="T51" s="373"/>
    </row>
    <row r="52" spans="1:20" x14ac:dyDescent="0.25">
      <c r="A52" s="331" t="s">
        <v>260</v>
      </c>
      <c r="B52" s="164" t="s">
        <v>262</v>
      </c>
      <c r="C52" s="99" t="s">
        <v>261</v>
      </c>
      <c r="D52" s="99"/>
      <c r="E52" s="163"/>
      <c r="F52" s="165"/>
      <c r="G52" s="469"/>
      <c r="H52" s="43"/>
      <c r="I52" s="595">
        <v>529.24</v>
      </c>
      <c r="J52" s="598">
        <v>529.24</v>
      </c>
      <c r="K52" s="163">
        <f t="shared" ref="K52" si="5">I52-J52</f>
        <v>0</v>
      </c>
      <c r="L52" s="3">
        <v>43886</v>
      </c>
      <c r="M52" s="451"/>
      <c r="N52" s="1"/>
      <c r="P52" s="1"/>
      <c r="Q52" s="373"/>
      <c r="R52" s="373"/>
      <c r="S52" s="373"/>
      <c r="T52" s="373"/>
    </row>
    <row r="53" spans="1:20" x14ac:dyDescent="0.25">
      <c r="A53" s="331">
        <v>43868</v>
      </c>
      <c r="B53" s="164" t="s">
        <v>264</v>
      </c>
      <c r="C53" s="99">
        <v>519.79999999999995</v>
      </c>
      <c r="D53" s="99">
        <v>519.79999999999995</v>
      </c>
      <c r="E53" s="163" t="str">
        <f>IF(C53-D53=0,"",C53-D53)</f>
        <v/>
      </c>
      <c r="F53" s="165" t="str">
        <f t="shared" ref="F53" si="6">IF(C53=0,"",IF(C53-D53=0,"оплачено","ОЖИДАЕТСЯ оплата"))</f>
        <v>оплачено</v>
      </c>
      <c r="G53" s="469"/>
      <c r="H53" s="43"/>
      <c r="I53" s="299"/>
      <c r="J53" s="299"/>
      <c r="K53" s="462"/>
      <c r="L53" s="147"/>
      <c r="M53" s="451"/>
      <c r="N53" s="1"/>
      <c r="P53" s="1"/>
      <c r="Q53" s="373"/>
      <c r="R53" s="373"/>
      <c r="S53" s="373"/>
      <c r="T53" s="373"/>
    </row>
    <row r="54" spans="1:20" x14ac:dyDescent="0.25">
      <c r="A54" s="331">
        <v>43871</v>
      </c>
      <c r="B54" s="164" t="s">
        <v>265</v>
      </c>
      <c r="C54" s="281">
        <v>172.49</v>
      </c>
      <c r="D54" s="281">
        <v>172.49</v>
      </c>
      <c r="E54" s="163" t="str">
        <f t="shared" ref="E54:E67" si="7">IF(C54-D54=0,"",C54-D54)</f>
        <v/>
      </c>
      <c r="F54" s="165" t="str">
        <f t="shared" ref="F54:F67" si="8">IF(C54=0,"",IF(C54-D54=0,"оплачено","ОЖИДАЕТСЯ оплата"))</f>
        <v>оплачено</v>
      </c>
      <c r="G54" s="469"/>
      <c r="H54" s="43"/>
      <c r="I54" s="1"/>
      <c r="J54" s="373"/>
      <c r="K54" s="1"/>
      <c r="L54" s="1"/>
      <c r="M54" s="44"/>
      <c r="N54" s="1"/>
      <c r="O54" s="373"/>
      <c r="P54" s="1"/>
    </row>
    <row r="55" spans="1:20" x14ac:dyDescent="0.25">
      <c r="A55" s="331">
        <v>43872</v>
      </c>
      <c r="B55" s="164" t="s">
        <v>205</v>
      </c>
      <c r="C55" s="99">
        <v>107.47</v>
      </c>
      <c r="D55" s="99">
        <v>107.47</v>
      </c>
      <c r="E55" s="163" t="str">
        <f t="shared" si="7"/>
        <v/>
      </c>
      <c r="F55" s="165" t="str">
        <f t="shared" si="8"/>
        <v>оплачено</v>
      </c>
      <c r="G55" s="469"/>
      <c r="H55" s="43"/>
      <c r="I55" s="1"/>
      <c r="J55" s="373"/>
      <c r="K55" s="1"/>
      <c r="L55" s="1"/>
      <c r="M55" s="44"/>
      <c r="N55" s="1"/>
      <c r="P55" s="1"/>
    </row>
    <row r="56" spans="1:20" x14ac:dyDescent="0.25">
      <c r="A56" s="331">
        <v>43873</v>
      </c>
      <c r="B56" s="164" t="s">
        <v>224</v>
      </c>
      <c r="C56" s="99">
        <v>259.39</v>
      </c>
      <c r="D56" s="99">
        <v>259.39</v>
      </c>
      <c r="E56" s="163" t="str">
        <f t="shared" si="7"/>
        <v/>
      </c>
      <c r="F56" s="165" t="str">
        <f t="shared" si="8"/>
        <v>оплачено</v>
      </c>
      <c r="G56" s="469"/>
      <c r="H56" s="43"/>
      <c r="I56" s="1"/>
      <c r="J56" s="373"/>
      <c r="K56" s="1"/>
      <c r="L56" s="1"/>
      <c r="M56" s="44"/>
      <c r="N56" s="1"/>
      <c r="P56" s="1"/>
    </row>
    <row r="57" spans="1:20" x14ac:dyDescent="0.25">
      <c r="A57" s="331">
        <v>43874</v>
      </c>
      <c r="B57" s="164" t="s">
        <v>264</v>
      </c>
      <c r="C57" s="281">
        <v>53</v>
      </c>
      <c r="D57" s="281">
        <v>53</v>
      </c>
      <c r="E57" s="163" t="str">
        <f t="shared" si="7"/>
        <v/>
      </c>
      <c r="F57" s="165" t="str">
        <f t="shared" si="8"/>
        <v>оплачено</v>
      </c>
      <c r="G57" s="469"/>
      <c r="H57" s="43"/>
      <c r="I57" s="1"/>
      <c r="J57" s="373"/>
      <c r="K57" s="1"/>
      <c r="L57" s="1"/>
      <c r="M57" s="44"/>
      <c r="N57" s="1"/>
      <c r="P57" s="1"/>
    </row>
    <row r="58" spans="1:20" x14ac:dyDescent="0.25">
      <c r="A58" s="331">
        <v>43880</v>
      </c>
      <c r="B58" s="164" t="s">
        <v>205</v>
      </c>
      <c r="C58" s="281">
        <v>249.96</v>
      </c>
      <c r="D58" s="281">
        <v>249.96</v>
      </c>
      <c r="E58" s="163" t="str">
        <f t="shared" si="7"/>
        <v/>
      </c>
      <c r="F58" s="165" t="str">
        <f t="shared" si="8"/>
        <v>оплачено</v>
      </c>
      <c r="G58" s="469"/>
      <c r="H58" s="43"/>
      <c r="I58" s="1"/>
      <c r="J58" s="373"/>
      <c r="K58" s="1"/>
      <c r="L58" s="1"/>
      <c r="M58" s="44"/>
      <c r="N58" s="1"/>
      <c r="P58" s="1"/>
    </row>
    <row r="59" spans="1:20" x14ac:dyDescent="0.25">
      <c r="A59" s="331">
        <v>43882</v>
      </c>
      <c r="B59" s="164" t="s">
        <v>264</v>
      </c>
      <c r="C59" s="281">
        <v>129.15</v>
      </c>
      <c r="D59" s="281">
        <v>129.15</v>
      </c>
      <c r="E59" s="163" t="str">
        <f t="shared" si="7"/>
        <v/>
      </c>
      <c r="F59" s="165" t="str">
        <f>IF(C59=0,"",IF(C59-D59=0,"оплачено","ОЖИДАЕТСЯ оплата"))</f>
        <v>оплачено</v>
      </c>
      <c r="G59" s="165"/>
      <c r="H59" s="43"/>
      <c r="I59" s="1"/>
      <c r="J59" s="373"/>
      <c r="K59" s="1"/>
      <c r="L59" s="1"/>
      <c r="M59" s="44"/>
      <c r="N59" s="1"/>
      <c r="O59" s="373"/>
      <c r="P59" s="1"/>
    </row>
    <row r="60" spans="1:20" x14ac:dyDescent="0.25">
      <c r="A60" s="331">
        <v>43887</v>
      </c>
      <c r="B60" s="164" t="s">
        <v>212</v>
      </c>
      <c r="C60" s="281">
        <v>266.66000000000003</v>
      </c>
      <c r="D60" s="281">
        <v>266.66000000000003</v>
      </c>
      <c r="E60" s="163" t="str">
        <f t="shared" si="7"/>
        <v/>
      </c>
      <c r="F60" s="165" t="str">
        <f t="shared" si="8"/>
        <v>оплачено</v>
      </c>
      <c r="G60" s="165"/>
      <c r="H60" s="43"/>
      <c r="I60" s="1"/>
      <c r="J60" s="373"/>
      <c r="K60" s="1"/>
      <c r="L60" s="1"/>
      <c r="M60" s="44"/>
      <c r="N60" s="1"/>
      <c r="O60" s="373"/>
      <c r="P60" s="1"/>
    </row>
    <row r="61" spans="1:20" x14ac:dyDescent="0.25">
      <c r="A61" s="331"/>
      <c r="B61" s="164"/>
      <c r="C61" s="281"/>
      <c r="D61" s="164"/>
      <c r="E61" s="163" t="str">
        <f t="shared" si="7"/>
        <v/>
      </c>
      <c r="F61" s="165" t="str">
        <f t="shared" si="8"/>
        <v/>
      </c>
      <c r="G61" s="165"/>
      <c r="H61" s="43"/>
      <c r="I61" s="1"/>
      <c r="J61" s="373"/>
      <c r="K61" s="1"/>
      <c r="L61" s="1"/>
      <c r="M61" s="44"/>
      <c r="N61" s="1"/>
      <c r="O61" s="373"/>
      <c r="P61" s="1"/>
    </row>
    <row r="62" spans="1:20" x14ac:dyDescent="0.25">
      <c r="A62" s="331"/>
      <c r="B62" s="164"/>
      <c r="C62" s="281"/>
      <c r="D62" s="164"/>
      <c r="E62" s="163" t="str">
        <f t="shared" si="7"/>
        <v/>
      </c>
      <c r="F62" s="165" t="str">
        <f t="shared" si="8"/>
        <v/>
      </c>
      <c r="G62" s="165" t="str">
        <f t="shared" ref="G62:G67" si="9">IF(C62=0,"",IF(C62-D62=0,"","нет накладной"))</f>
        <v/>
      </c>
      <c r="H62" s="43"/>
      <c r="I62" s="1"/>
      <c r="J62" s="373"/>
      <c r="K62" s="1"/>
      <c r="L62" s="1"/>
      <c r="M62" s="44"/>
      <c r="N62" s="1"/>
      <c r="O62" s="373"/>
      <c r="P62" s="1"/>
    </row>
    <row r="63" spans="1:20" x14ac:dyDescent="0.25">
      <c r="A63" s="331"/>
      <c r="B63" s="164"/>
      <c r="C63" s="281"/>
      <c r="D63" s="281"/>
      <c r="E63" s="163" t="str">
        <f t="shared" si="7"/>
        <v/>
      </c>
      <c r="F63" s="165" t="str">
        <f t="shared" si="8"/>
        <v/>
      </c>
      <c r="G63" s="165" t="str">
        <f t="shared" si="9"/>
        <v/>
      </c>
      <c r="H63" s="43"/>
      <c r="I63" s="1"/>
      <c r="J63" s="373"/>
      <c r="K63" s="1"/>
      <c r="L63" s="1"/>
      <c r="M63" s="44"/>
      <c r="N63" s="1"/>
      <c r="O63" s="373"/>
      <c r="P63" s="1"/>
    </row>
    <row r="64" spans="1:20" x14ac:dyDescent="0.25">
      <c r="A64" s="333"/>
      <c r="B64" s="164"/>
      <c r="C64" s="164"/>
      <c r="D64" s="164"/>
      <c r="E64" s="163" t="str">
        <f t="shared" si="7"/>
        <v/>
      </c>
      <c r="F64" s="165" t="str">
        <f t="shared" si="8"/>
        <v/>
      </c>
      <c r="G64" s="165" t="str">
        <f t="shared" si="9"/>
        <v/>
      </c>
      <c r="H64" s="43"/>
      <c r="I64" s="1"/>
      <c r="J64" s="373"/>
      <c r="K64" s="1"/>
      <c r="L64" s="1"/>
      <c r="M64" s="44"/>
      <c r="N64" s="1"/>
      <c r="O64" s="373"/>
      <c r="P64" s="1"/>
    </row>
    <row r="65" spans="1:23" x14ac:dyDescent="0.25">
      <c r="A65" s="334"/>
      <c r="B65" s="164"/>
      <c r="C65" s="164"/>
      <c r="D65" s="164"/>
      <c r="E65" s="163" t="str">
        <f t="shared" si="7"/>
        <v/>
      </c>
      <c r="F65" s="165" t="str">
        <f t="shared" si="8"/>
        <v/>
      </c>
      <c r="G65" s="165" t="str">
        <f t="shared" si="9"/>
        <v/>
      </c>
      <c r="H65" s="43"/>
      <c r="I65" s="1"/>
      <c r="J65" s="373"/>
      <c r="K65" s="1"/>
      <c r="L65" s="1"/>
      <c r="M65" s="44"/>
      <c r="N65" s="1"/>
      <c r="O65" s="373"/>
      <c r="P65" s="1"/>
    </row>
    <row r="66" spans="1:23" x14ac:dyDescent="0.25">
      <c r="A66" s="334"/>
      <c r="B66" s="164"/>
      <c r="C66" s="164"/>
      <c r="D66" s="164"/>
      <c r="E66" s="163" t="str">
        <f t="shared" si="7"/>
        <v/>
      </c>
      <c r="F66" s="165" t="str">
        <f t="shared" si="8"/>
        <v/>
      </c>
      <c r="G66" s="165" t="str">
        <f t="shared" si="9"/>
        <v/>
      </c>
      <c r="H66" s="43"/>
      <c r="I66" s="1"/>
      <c r="J66" s="373"/>
      <c r="K66" s="1"/>
      <c r="L66" s="1"/>
      <c r="M66" s="44"/>
      <c r="N66" s="1"/>
      <c r="O66" s="373"/>
      <c r="P66" s="373"/>
    </row>
    <row r="67" spans="1:23" x14ac:dyDescent="0.25">
      <c r="A67" s="333"/>
      <c r="B67" s="164"/>
      <c r="C67" s="164"/>
      <c r="D67" s="164"/>
      <c r="E67" s="163" t="str">
        <f t="shared" si="7"/>
        <v/>
      </c>
      <c r="F67" s="165" t="str">
        <f t="shared" si="8"/>
        <v/>
      </c>
      <c r="G67" s="165" t="str">
        <f t="shared" si="9"/>
        <v/>
      </c>
      <c r="H67" s="43"/>
      <c r="I67" s="1"/>
      <c r="J67" s="373"/>
      <c r="K67" s="1"/>
      <c r="L67" s="1"/>
      <c r="M67" s="44"/>
      <c r="N67" s="1"/>
      <c r="O67" s="373"/>
      <c r="P67" s="373"/>
    </row>
    <row r="68" spans="1:23" ht="15.75" thickBot="1" x14ac:dyDescent="0.3">
      <c r="A68" s="763" t="s">
        <v>278</v>
      </c>
      <c r="B68" s="764"/>
      <c r="C68" s="365">
        <f>SUM(C53:C67)</f>
        <v>1757.9200000000003</v>
      </c>
      <c r="D68" s="365"/>
      <c r="E68" s="163">
        <f>SUM(E52:E67)</f>
        <v>0</v>
      </c>
      <c r="F68" s="165"/>
      <c r="G68" s="470"/>
      <c r="H68" s="43"/>
      <c r="I68" s="1"/>
      <c r="J68" s="373"/>
      <c r="K68" s="1"/>
      <c r="L68" s="1"/>
      <c r="M68" s="44"/>
      <c r="N68" s="1"/>
      <c r="O68" s="373"/>
      <c r="P68" s="373"/>
    </row>
    <row r="69" spans="1:23" ht="15.75" thickTop="1" x14ac:dyDescent="0.25">
      <c r="A69" s="358"/>
      <c r="B69" s="359"/>
      <c r="C69" s="360"/>
      <c r="D69" s="360"/>
      <c r="E69" s="361"/>
      <c r="F69" s="359"/>
      <c r="G69" s="392"/>
      <c r="H69" s="723" t="s">
        <v>16</v>
      </c>
      <c r="I69" s="725" t="s">
        <v>17</v>
      </c>
      <c r="J69" s="725" t="s">
        <v>21</v>
      </c>
      <c r="K69" s="725"/>
      <c r="L69" s="726" t="s">
        <v>93</v>
      </c>
      <c r="M69" s="727" t="s">
        <v>95</v>
      </c>
      <c r="N69" s="1"/>
      <c r="O69" s="373"/>
      <c r="P69" s="457"/>
    </row>
    <row r="70" spans="1:23" ht="24" x14ac:dyDescent="0.25">
      <c r="A70" s="362"/>
      <c r="B70" s="207"/>
      <c r="C70" s="207"/>
      <c r="D70" s="207"/>
      <c r="E70" s="222"/>
      <c r="F70" s="207"/>
      <c r="G70" s="207"/>
      <c r="H70" s="724"/>
      <c r="I70" s="685"/>
      <c r="J70" s="551" t="s">
        <v>21</v>
      </c>
      <c r="K70" s="551" t="s">
        <v>25</v>
      </c>
      <c r="L70" s="686"/>
      <c r="M70" s="687"/>
      <c r="N70" s="1"/>
      <c r="O70" s="373"/>
      <c r="P70" s="457"/>
    </row>
    <row r="71" spans="1:23" x14ac:dyDescent="0.25">
      <c r="A71" s="345"/>
      <c r="B71" s="205"/>
      <c r="C71" s="294"/>
      <c r="D71" s="238"/>
      <c r="E71" s="85"/>
      <c r="F71" s="205"/>
      <c r="G71" s="205"/>
      <c r="H71" s="354" t="s">
        <v>163</v>
      </c>
      <c r="I71" s="95">
        <v>2420.3999999999996</v>
      </c>
      <c r="J71" s="95">
        <v>115.5</v>
      </c>
      <c r="K71" s="555">
        <v>132.61000000000001</v>
      </c>
      <c r="L71" s="97">
        <v>22665.5</v>
      </c>
      <c r="M71" s="105">
        <f>L71-I71-J71-K71</f>
        <v>19996.989999999998</v>
      </c>
      <c r="N71" s="1"/>
      <c r="O71" s="468"/>
      <c r="P71" s="454"/>
      <c r="Q71" s="87"/>
      <c r="R71" s="87"/>
    </row>
    <row r="72" spans="1:23" x14ac:dyDescent="0.25">
      <c r="A72" s="346"/>
      <c r="B72" s="205"/>
      <c r="C72" s="205"/>
      <c r="D72" s="279"/>
      <c r="E72" s="373"/>
      <c r="F72" s="85"/>
      <c r="G72" s="373"/>
      <c r="H72" s="354" t="s">
        <v>192</v>
      </c>
      <c r="I72" s="95">
        <v>7629.69</v>
      </c>
      <c r="J72" s="95">
        <v>352.29</v>
      </c>
      <c r="K72" s="95">
        <v>193.85000000000002</v>
      </c>
      <c r="L72" s="97">
        <v>10342</v>
      </c>
      <c r="M72" s="105">
        <f>M71-I72-J72-K72+L72</f>
        <v>22163.159999999996</v>
      </c>
      <c r="N72" s="1"/>
      <c r="O72" s="468"/>
      <c r="P72" s="454"/>
      <c r="Q72" s="87"/>
      <c r="R72" s="87"/>
    </row>
    <row r="73" spans="1:23" x14ac:dyDescent="0.25">
      <c r="A73" s="346"/>
      <c r="B73" s="373"/>
      <c r="C73" s="205"/>
      <c r="D73" s="279"/>
      <c r="E73" s="373"/>
      <c r="F73" s="373"/>
      <c r="G73" s="373"/>
      <c r="H73" s="354" t="s">
        <v>199</v>
      </c>
      <c r="I73" s="304">
        <v>8423.6400000000012</v>
      </c>
      <c r="J73" s="95">
        <v>921.3</v>
      </c>
      <c r="K73" s="305">
        <v>312.46000000000004</v>
      </c>
      <c r="L73" s="305">
        <v>16668</v>
      </c>
      <c r="M73" s="105">
        <f>M72-I73-J73-K73+L73</f>
        <v>29173.759999999995</v>
      </c>
      <c r="N73" s="1"/>
      <c r="O73" s="468"/>
      <c r="P73" s="455"/>
      <c r="Q73" s="87"/>
      <c r="R73" s="87"/>
    </row>
    <row r="74" spans="1:23" x14ac:dyDescent="0.25">
      <c r="A74" s="346"/>
      <c r="B74" s="1"/>
      <c r="C74" s="290"/>
      <c r="D74" s="279"/>
      <c r="E74" s="373"/>
      <c r="F74" s="373"/>
      <c r="G74" s="85"/>
      <c r="H74" s="354" t="s">
        <v>209</v>
      </c>
      <c r="I74" s="305">
        <v>8639.7199999999993</v>
      </c>
      <c r="J74" s="306">
        <v>749.49</v>
      </c>
      <c r="K74" s="624">
        <v>435.1</v>
      </c>
      <c r="L74" s="305">
        <v>17824.919999999998</v>
      </c>
      <c r="M74" s="105">
        <f>M73-I74-J74-K74+L74</f>
        <v>37174.369999999995</v>
      </c>
      <c r="N74" s="1"/>
      <c r="O74" s="468"/>
      <c r="P74" s="455"/>
      <c r="Q74" s="87"/>
      <c r="R74" s="87"/>
    </row>
    <row r="75" spans="1:23" x14ac:dyDescent="0.25">
      <c r="A75" s="346"/>
      <c r="B75" s="205"/>
      <c r="C75" s="1"/>
      <c r="D75" s="279"/>
      <c r="E75" s="373"/>
      <c r="F75" s="373"/>
      <c r="G75" s="373"/>
      <c r="H75" s="355" t="s">
        <v>210</v>
      </c>
      <c r="I75" s="306"/>
      <c r="J75" s="305"/>
      <c r="K75" s="306"/>
      <c r="L75" s="305"/>
      <c r="M75" s="105"/>
      <c r="N75" s="1"/>
      <c r="O75" s="148"/>
      <c r="P75" s="455"/>
      <c r="R75" s="87"/>
    </row>
    <row r="76" spans="1:23" ht="15.75" thickBot="1" x14ac:dyDescent="0.3">
      <c r="A76" s="346"/>
      <c r="B76" s="205"/>
      <c r="C76" s="1"/>
      <c r="D76" s="279"/>
      <c r="E76" s="373"/>
      <c r="F76" s="373"/>
      <c r="G76" s="373"/>
      <c r="H76" s="395" t="s">
        <v>211</v>
      </c>
      <c r="I76" s="396"/>
      <c r="J76" s="449"/>
      <c r="K76" s="397"/>
      <c r="L76" s="450"/>
      <c r="M76" s="398"/>
      <c r="N76" s="1"/>
      <c r="O76" s="373"/>
      <c r="P76" s="455"/>
      <c r="Q76" s="87"/>
      <c r="R76" s="87"/>
    </row>
    <row r="77" spans="1:23" ht="15.75" thickTop="1" x14ac:dyDescent="0.25">
      <c r="A77" s="346"/>
      <c r="B77" s="205"/>
      <c r="C77" s="1"/>
      <c r="D77" s="279"/>
      <c r="E77" s="85"/>
      <c r="F77" s="373"/>
      <c r="G77" s="373"/>
      <c r="H77" s="710" t="s">
        <v>36</v>
      </c>
      <c r="I77" s="712" t="s">
        <v>178</v>
      </c>
      <c r="J77" s="713"/>
      <c r="K77" s="714"/>
      <c r="L77" s="718" t="s">
        <v>159</v>
      </c>
      <c r="M77" s="719"/>
      <c r="N77" s="1"/>
      <c r="O77" s="373"/>
      <c r="P77" s="455"/>
      <c r="Q77" s="87"/>
      <c r="R77" s="87"/>
    </row>
    <row r="78" spans="1:23" x14ac:dyDescent="0.25">
      <c r="A78" s="346"/>
      <c r="B78" s="205"/>
      <c r="C78" s="290"/>
      <c r="D78" s="279"/>
      <c r="E78" s="290"/>
      <c r="F78" s="373"/>
      <c r="G78" s="394"/>
      <c r="H78" s="711"/>
      <c r="I78" s="715"/>
      <c r="J78" s="716"/>
      <c r="K78" s="717"/>
      <c r="L78" s="720"/>
      <c r="M78" s="721"/>
      <c r="N78" s="1"/>
      <c r="O78" s="373"/>
      <c r="P78" s="455"/>
      <c r="Q78" s="373"/>
      <c r="R78" s="373"/>
      <c r="S78" s="1"/>
      <c r="T78" s="1"/>
      <c r="U78" s="1"/>
      <c r="V78" s="1"/>
      <c r="W78" s="1"/>
    </row>
    <row r="79" spans="1:23" x14ac:dyDescent="0.25">
      <c r="A79" s="346"/>
      <c r="B79" s="205"/>
      <c r="C79" s="205"/>
      <c r="D79" s="279"/>
      <c r="E79" s="205"/>
      <c r="F79" s="373"/>
      <c r="G79" s="394"/>
      <c r="H79" s="393" t="s">
        <v>259</v>
      </c>
      <c r="I79" s="722" t="s">
        <v>47</v>
      </c>
      <c r="J79" s="722"/>
      <c r="K79" s="603">
        <v>131.25</v>
      </c>
      <c r="L79" s="288">
        <v>46</v>
      </c>
      <c r="M79" s="44" t="s">
        <v>207</v>
      </c>
      <c r="P79" s="455"/>
      <c r="Q79" s="529"/>
      <c r="R79" s="373"/>
      <c r="S79" s="1"/>
      <c r="T79" s="1"/>
      <c r="U79" s="1"/>
      <c r="V79" s="1"/>
      <c r="W79" s="1"/>
    </row>
    <row r="80" spans="1:23" x14ac:dyDescent="0.25">
      <c r="A80" s="346"/>
      <c r="B80" s="373"/>
      <c r="C80" s="280"/>
      <c r="D80" s="279"/>
      <c r="E80" s="280"/>
      <c r="F80" s="373"/>
      <c r="G80" s="373"/>
      <c r="H80" s="596" t="s">
        <v>259</v>
      </c>
      <c r="I80" s="680" t="s">
        <v>51</v>
      </c>
      <c r="J80" s="680"/>
      <c r="K80" s="604">
        <v>21.35</v>
      </c>
      <c r="L80" s="288">
        <v>46</v>
      </c>
      <c r="M80" s="44" t="s">
        <v>207</v>
      </c>
      <c r="P80" s="455"/>
      <c r="Q80" s="87"/>
      <c r="R80" s="87"/>
      <c r="S80" s="1"/>
      <c r="T80" s="1"/>
      <c r="U80" s="1"/>
      <c r="V80" s="1"/>
      <c r="W80" s="1"/>
    </row>
    <row r="81" spans="1:23" x14ac:dyDescent="0.25">
      <c r="A81" s="347"/>
      <c r="B81" s="373"/>
      <c r="C81" s="373"/>
      <c r="D81" s="279"/>
      <c r="E81" s="205"/>
      <c r="F81" s="373"/>
      <c r="G81" s="373"/>
      <c r="H81" s="596" t="s">
        <v>259</v>
      </c>
      <c r="I81" s="680" t="s">
        <v>52</v>
      </c>
      <c r="J81" s="680"/>
      <c r="K81" s="604">
        <v>2.25</v>
      </c>
      <c r="L81" s="288">
        <v>46</v>
      </c>
      <c r="M81" s="44" t="s">
        <v>207</v>
      </c>
      <c r="R81" s="557"/>
      <c r="S81" s="1"/>
      <c r="T81" s="288"/>
      <c r="U81" s="1"/>
      <c r="V81" s="1"/>
      <c r="W81" s="1"/>
    </row>
    <row r="82" spans="1:23" x14ac:dyDescent="0.25">
      <c r="A82" s="347"/>
      <c r="B82" s="373"/>
      <c r="C82" s="373"/>
      <c r="D82" s="279"/>
      <c r="E82" s="373"/>
      <c r="F82" s="373"/>
      <c r="G82" s="373"/>
      <c r="H82" s="596" t="s">
        <v>259</v>
      </c>
      <c r="I82" s="680" t="s">
        <v>49</v>
      </c>
      <c r="J82" s="680"/>
      <c r="K82" s="604">
        <v>89</v>
      </c>
      <c r="L82" s="288">
        <v>46</v>
      </c>
      <c r="M82" s="44" t="s">
        <v>256</v>
      </c>
      <c r="S82" s="1"/>
      <c r="T82" s="288"/>
      <c r="U82" s="1"/>
      <c r="V82" s="1"/>
      <c r="W82" s="1"/>
    </row>
    <row r="83" spans="1:23" x14ac:dyDescent="0.25">
      <c r="A83" s="347"/>
      <c r="B83" s="373"/>
      <c r="C83" s="373"/>
      <c r="D83" s="279"/>
      <c r="E83" s="373"/>
      <c r="F83" s="373"/>
      <c r="G83" s="373"/>
      <c r="H83" s="596" t="s">
        <v>259</v>
      </c>
      <c r="I83" s="767" t="s">
        <v>59</v>
      </c>
      <c r="J83" s="767"/>
      <c r="K83" s="480">
        <v>234.83</v>
      </c>
      <c r="L83" s="308" t="s">
        <v>177</v>
      </c>
      <c r="M83" s="44" t="s">
        <v>207</v>
      </c>
      <c r="P83" s="625"/>
      <c r="Q83" s="540"/>
      <c r="R83" s="557"/>
      <c r="S83" s="1"/>
      <c r="T83" s="288"/>
      <c r="U83" s="1"/>
      <c r="V83" s="1"/>
      <c r="W83" s="1"/>
    </row>
    <row r="84" spans="1:23" x14ac:dyDescent="0.25">
      <c r="A84" s="347"/>
      <c r="B84" s="205"/>
      <c r="C84" s="205"/>
      <c r="D84" s="279"/>
      <c r="E84" s="205"/>
      <c r="F84" s="373"/>
      <c r="G84" s="373"/>
      <c r="H84" s="596" t="s">
        <v>259</v>
      </c>
      <c r="I84" s="760" t="s">
        <v>68</v>
      </c>
      <c r="J84" s="761"/>
      <c r="K84" s="604">
        <v>56.96</v>
      </c>
      <c r="L84" s="288">
        <v>51</v>
      </c>
      <c r="M84" s="44" t="s">
        <v>207</v>
      </c>
      <c r="P84" s="369"/>
      <c r="Q84" s="557"/>
      <c r="R84" s="557"/>
      <c r="S84" s="1"/>
      <c r="T84" s="288"/>
      <c r="U84" s="1"/>
      <c r="V84" s="1"/>
      <c r="W84" s="1"/>
    </row>
    <row r="85" spans="1:23" x14ac:dyDescent="0.25">
      <c r="A85" s="347"/>
      <c r="B85" s="205"/>
      <c r="C85" s="373"/>
      <c r="D85" s="279"/>
      <c r="E85" s="205"/>
      <c r="F85" s="373"/>
      <c r="G85" s="373"/>
      <c r="H85" s="596" t="s">
        <v>259</v>
      </c>
      <c r="I85" s="678" t="s">
        <v>174</v>
      </c>
      <c r="J85" s="679"/>
      <c r="K85" s="604">
        <v>257.08999999999997</v>
      </c>
      <c r="L85" s="288">
        <v>46</v>
      </c>
      <c r="M85" s="44" t="s">
        <v>207</v>
      </c>
      <c r="P85" s="369"/>
      <c r="Q85" s="557"/>
      <c r="R85" s="557"/>
      <c r="S85" s="1"/>
      <c r="T85" s="1"/>
      <c r="U85" s="1"/>
      <c r="V85" s="1"/>
      <c r="W85" s="1"/>
    </row>
    <row r="86" spans="1:23" x14ac:dyDescent="0.25">
      <c r="A86" s="347"/>
      <c r="B86" s="205"/>
      <c r="C86" s="373"/>
      <c r="D86" s="279"/>
      <c r="E86" s="205"/>
      <c r="F86" s="373"/>
      <c r="G86" s="373"/>
      <c r="H86" s="357" t="s">
        <v>267</v>
      </c>
      <c r="I86" s="552" t="s">
        <v>176</v>
      </c>
      <c r="J86" s="553"/>
      <c r="K86" s="604"/>
      <c r="L86" s="288">
        <v>51</v>
      </c>
      <c r="M86" s="44" t="s">
        <v>207</v>
      </c>
      <c r="P86" s="369"/>
      <c r="Q86" s="557"/>
      <c r="R86" s="540"/>
      <c r="S86" s="1"/>
      <c r="T86" s="288"/>
      <c r="U86" s="1"/>
      <c r="V86" s="1"/>
      <c r="W86" s="1"/>
    </row>
    <row r="87" spans="1:23" x14ac:dyDescent="0.25">
      <c r="A87" s="347"/>
      <c r="B87" s="205"/>
      <c r="C87" s="373"/>
      <c r="D87" s="279"/>
      <c r="E87" s="238"/>
      <c r="F87" s="373"/>
      <c r="G87" s="373"/>
      <c r="H87" s="596" t="s">
        <v>259</v>
      </c>
      <c r="I87" s="678" t="s">
        <v>81</v>
      </c>
      <c r="J87" s="679"/>
      <c r="K87" s="604">
        <v>588.48</v>
      </c>
      <c r="L87" s="288">
        <v>43871</v>
      </c>
      <c r="M87" s="44" t="s">
        <v>207</v>
      </c>
      <c r="P87" s="373"/>
      <c r="Q87" s="373"/>
      <c r="R87" s="372"/>
      <c r="S87" s="1"/>
      <c r="T87" s="288"/>
      <c r="U87" s="373"/>
      <c r="V87" s="1"/>
      <c r="W87" s="1"/>
    </row>
    <row r="88" spans="1:23" x14ac:dyDescent="0.25">
      <c r="A88" s="347"/>
      <c r="B88" s="205"/>
      <c r="C88" s="373"/>
      <c r="D88" s="279"/>
      <c r="E88" s="238"/>
      <c r="F88" s="373"/>
      <c r="G88" s="373"/>
      <c r="H88" s="596" t="s">
        <v>259</v>
      </c>
      <c r="I88" s="678" t="s">
        <v>53</v>
      </c>
      <c r="J88" s="679"/>
      <c r="K88" s="477">
        <v>10</v>
      </c>
      <c r="L88" s="288">
        <v>46</v>
      </c>
      <c r="M88" s="44" t="s">
        <v>207</v>
      </c>
      <c r="P88" s="455"/>
      <c r="Q88" s="87"/>
      <c r="R88" s="87"/>
      <c r="S88" s="1"/>
      <c r="T88" s="288"/>
      <c r="U88" s="373"/>
      <c r="V88" s="1"/>
      <c r="W88" s="1"/>
    </row>
    <row r="89" spans="1:23" x14ac:dyDescent="0.25">
      <c r="A89" s="347"/>
      <c r="B89" s="205"/>
      <c r="C89" s="373"/>
      <c r="D89" s="279"/>
      <c r="E89" s="238"/>
      <c r="F89" s="373"/>
      <c r="G89" s="373"/>
      <c r="H89" s="596" t="s">
        <v>259</v>
      </c>
      <c r="I89" s="766" t="s">
        <v>61</v>
      </c>
      <c r="J89" s="766"/>
      <c r="K89" s="598">
        <v>529.24</v>
      </c>
      <c r="L89" s="288">
        <v>51</v>
      </c>
      <c r="M89" s="44" t="s">
        <v>207</v>
      </c>
      <c r="S89" s="373"/>
      <c r="T89" s="288"/>
      <c r="U89" s="1"/>
      <c r="V89" s="1"/>
      <c r="W89" s="1"/>
    </row>
    <row r="90" spans="1:23" ht="15.75" thickBot="1" x14ac:dyDescent="0.3">
      <c r="A90" s="348"/>
      <c r="B90" s="337"/>
      <c r="C90" s="338"/>
      <c r="D90" s="349"/>
      <c r="E90" s="337"/>
      <c r="F90" s="338"/>
      <c r="G90" s="338"/>
      <c r="H90" s="353"/>
      <c r="I90" s="368" t="s">
        <v>179</v>
      </c>
      <c r="J90" s="368">
        <f>SUM(K79:K89)</f>
        <v>1920.45</v>
      </c>
      <c r="K90" s="730" t="s">
        <v>180</v>
      </c>
      <c r="L90" s="730"/>
      <c r="M90" s="605">
        <v>0</v>
      </c>
      <c r="P90" s="373"/>
      <c r="Q90" s="372"/>
      <c r="R90" s="372"/>
      <c r="S90" s="373"/>
      <c r="T90" s="288"/>
      <c r="U90" s="1"/>
      <c r="V90" s="1"/>
      <c r="W90" s="1"/>
    </row>
    <row r="91" spans="1:23" ht="15.75" thickTop="1" x14ac:dyDescent="0.25">
      <c r="C91" s="566"/>
      <c r="D91" s="566"/>
      <c r="P91" s="373"/>
      <c r="Q91" s="564"/>
      <c r="R91" s="372"/>
      <c r="S91" s="373"/>
      <c r="T91" s="288"/>
      <c r="U91" s="1"/>
      <c r="V91" s="1"/>
      <c r="W91" s="1"/>
    </row>
    <row r="92" spans="1:23" x14ac:dyDescent="0.25">
      <c r="C92" s="465"/>
      <c r="P92" s="128"/>
      <c r="Q92" s="1"/>
      <c r="R92" s="1"/>
      <c r="S92" s="1"/>
      <c r="T92" s="1"/>
      <c r="U92" s="1"/>
      <c r="V92" s="1"/>
      <c r="W92" s="1"/>
    </row>
    <row r="93" spans="1:23" x14ac:dyDescent="0.25">
      <c r="C93" s="465"/>
      <c r="P93" s="128"/>
      <c r="Q93" s="1"/>
      <c r="R93" s="1"/>
      <c r="S93" s="1"/>
      <c r="T93" s="1"/>
      <c r="U93" s="1"/>
      <c r="V93" s="1"/>
      <c r="W93" s="1"/>
    </row>
    <row r="94" spans="1:23" x14ac:dyDescent="0.25">
      <c r="C94" s="465"/>
      <c r="E94" s="87"/>
      <c r="P94" s="195"/>
      <c r="R94" s="1"/>
      <c r="S94" s="1"/>
      <c r="T94" s="1"/>
      <c r="U94" s="1"/>
      <c r="V94" s="1"/>
      <c r="W94" s="1"/>
    </row>
    <row r="95" spans="1:23" x14ac:dyDescent="0.25">
      <c r="C95" s="465"/>
      <c r="P95" s="128"/>
      <c r="Q95" s="1"/>
      <c r="R95" s="1"/>
      <c r="S95" s="1"/>
      <c r="T95" s="1"/>
      <c r="U95" s="1"/>
      <c r="V95" s="1"/>
      <c r="W95" s="1"/>
    </row>
    <row r="96" spans="1:23" x14ac:dyDescent="0.25">
      <c r="C96" s="465"/>
      <c r="K96" s="565"/>
      <c r="P96" s="468"/>
      <c r="Q96" s="1"/>
      <c r="R96" s="1"/>
      <c r="S96" s="1"/>
      <c r="T96" s="1"/>
      <c r="U96" s="1"/>
      <c r="V96" s="1"/>
      <c r="W96" s="1"/>
    </row>
    <row r="97" spans="3:23" x14ac:dyDescent="0.25">
      <c r="C97" s="465"/>
      <c r="P97" s="468"/>
      <c r="Q97" s="1"/>
      <c r="R97" s="1"/>
      <c r="S97" s="1"/>
      <c r="T97" s="1"/>
      <c r="U97" s="1"/>
      <c r="V97" s="1"/>
      <c r="W97" s="1"/>
    </row>
    <row r="98" spans="3:23" x14ac:dyDescent="0.25">
      <c r="C98" s="465"/>
      <c r="M98" s="565"/>
      <c r="P98" s="468"/>
    </row>
    <row r="99" spans="3:23" x14ac:dyDescent="0.25">
      <c r="C99" s="465"/>
      <c r="P99" s="468"/>
    </row>
    <row r="100" spans="3:23" x14ac:dyDescent="0.25">
      <c r="C100" s="465"/>
      <c r="M100" s="1"/>
      <c r="P100" s="468"/>
    </row>
    <row r="101" spans="3:23" x14ac:dyDescent="0.25">
      <c r="C101" s="465"/>
      <c r="M101" s="1"/>
      <c r="P101" s="468"/>
    </row>
    <row r="102" spans="3:23" x14ac:dyDescent="0.25">
      <c r="C102" s="465"/>
      <c r="M102" s="1"/>
      <c r="P102" s="468"/>
    </row>
    <row r="103" spans="3:23" x14ac:dyDescent="0.25">
      <c r="C103" s="465"/>
      <c r="M103" s="373"/>
      <c r="P103" s="468"/>
    </row>
    <row r="104" spans="3:23" x14ac:dyDescent="0.25">
      <c r="C104" s="465"/>
      <c r="M104" s="373"/>
      <c r="P104" s="468"/>
    </row>
    <row r="105" spans="3:23" x14ac:dyDescent="0.25">
      <c r="C105" s="465"/>
      <c r="M105" s="1"/>
      <c r="P105" s="468"/>
    </row>
    <row r="106" spans="3:23" x14ac:dyDescent="0.25">
      <c r="C106" s="465"/>
      <c r="M106" s="1"/>
      <c r="P106" s="468"/>
    </row>
    <row r="107" spans="3:23" x14ac:dyDescent="0.25">
      <c r="C107" s="465"/>
      <c r="M107" s="1"/>
      <c r="P107" s="468"/>
    </row>
    <row r="108" spans="3:23" x14ac:dyDescent="0.25">
      <c r="C108" s="465"/>
      <c r="M108" s="1"/>
      <c r="P108" s="468"/>
    </row>
    <row r="109" spans="3:23" x14ac:dyDescent="0.25">
      <c r="C109" s="465"/>
      <c r="P109" s="468"/>
    </row>
    <row r="110" spans="3:23" x14ac:dyDescent="0.25">
      <c r="C110" s="465"/>
      <c r="P110" s="468"/>
    </row>
    <row r="111" spans="3:23" x14ac:dyDescent="0.25">
      <c r="C111" s="465"/>
      <c r="P111" s="468"/>
    </row>
    <row r="112" spans="3:23" x14ac:dyDescent="0.25">
      <c r="C112" s="465"/>
      <c r="P112" s="468"/>
    </row>
    <row r="113" spans="3:16" x14ac:dyDescent="0.25">
      <c r="C113" s="465"/>
      <c r="P113" s="468"/>
    </row>
    <row r="114" spans="3:16" x14ac:dyDescent="0.25">
      <c r="C114" s="465"/>
      <c r="P114" s="468"/>
    </row>
    <row r="115" spans="3:16" x14ac:dyDescent="0.25">
      <c r="C115" s="465"/>
      <c r="P115" s="468"/>
    </row>
    <row r="116" spans="3:16" x14ac:dyDescent="0.25">
      <c r="C116" s="465"/>
      <c r="P116" s="468"/>
    </row>
    <row r="117" spans="3:16" x14ac:dyDescent="0.25">
      <c r="C117" s="465"/>
      <c r="P117" s="468"/>
    </row>
    <row r="118" spans="3:16" x14ac:dyDescent="0.25">
      <c r="C118" s="465"/>
      <c r="P118" s="468"/>
    </row>
    <row r="119" spans="3:16" x14ac:dyDescent="0.25">
      <c r="C119" s="465"/>
    </row>
    <row r="120" spans="3:16" x14ac:dyDescent="0.25">
      <c r="C120" s="465"/>
    </row>
  </sheetData>
  <mergeCells count="51">
    <mergeCell ref="I89:J89"/>
    <mergeCell ref="K90:L90"/>
    <mergeCell ref="I81:J81"/>
    <mergeCell ref="I82:J82"/>
    <mergeCell ref="I83:J83"/>
    <mergeCell ref="I84:J84"/>
    <mergeCell ref="I87:J87"/>
    <mergeCell ref="I88:J88"/>
    <mergeCell ref="I85:J85"/>
    <mergeCell ref="H47:K47"/>
    <mergeCell ref="A48:M49"/>
    <mergeCell ref="I40:J40"/>
    <mergeCell ref="I43:J43"/>
    <mergeCell ref="I44:J44"/>
    <mergeCell ref="I45:J45"/>
    <mergeCell ref="K46:L46"/>
    <mergeCell ref="I80:J80"/>
    <mergeCell ref="A50:G50"/>
    <mergeCell ref="H50:M50"/>
    <mergeCell ref="H69:H70"/>
    <mergeCell ref="I69:I70"/>
    <mergeCell ref="J69:K69"/>
    <mergeCell ref="L69:L70"/>
    <mergeCell ref="M69:M70"/>
    <mergeCell ref="H77:H78"/>
    <mergeCell ref="I77:K78"/>
    <mergeCell ref="L77:M78"/>
    <mergeCell ref="I79:J79"/>
    <mergeCell ref="A68:B68"/>
    <mergeCell ref="O3:P3"/>
    <mergeCell ref="H4:I4"/>
    <mergeCell ref="H5:I5"/>
    <mergeCell ref="H6:I6"/>
    <mergeCell ref="H33:H34"/>
    <mergeCell ref="I33:K34"/>
    <mergeCell ref="L33:M34"/>
    <mergeCell ref="P16:Q16"/>
    <mergeCell ref="H3:M3"/>
    <mergeCell ref="H22:H23"/>
    <mergeCell ref="I22:I23"/>
    <mergeCell ref="J22:K22"/>
    <mergeCell ref="L22:L23"/>
    <mergeCell ref="M22:M23"/>
    <mergeCell ref="A1:M2"/>
    <mergeCell ref="I37:J37"/>
    <mergeCell ref="I38:J38"/>
    <mergeCell ref="I39:J39"/>
    <mergeCell ref="I35:J35"/>
    <mergeCell ref="I36:J36"/>
    <mergeCell ref="A3:G3"/>
    <mergeCell ref="A21:B21"/>
  </mergeCells>
  <printOptions horizontalCentered="1" verticalCentered="1"/>
  <pageMargins left="0.23622047244094491" right="0.23622047244094491" top="0.23622047244094491" bottom="0.23622047244094491" header="0.23622047244094491" footer="0.23622047244094491"/>
  <pageSetup paperSize="9" scale="84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26"/>
  <sheetViews>
    <sheetView zoomScale="130" zoomScaleNormal="130" zoomScaleSheetLayoutView="70" zoomScalePageLayoutView="70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J12" sqref="J12"/>
    </sheetView>
  </sheetViews>
  <sheetFormatPr defaultColWidth="9.140625" defaultRowHeight="15" x14ac:dyDescent="0.25"/>
  <cols>
    <col min="1" max="1" width="6.42578125" style="35" customWidth="1"/>
    <col min="2" max="2" width="6" style="35" customWidth="1"/>
    <col min="3" max="3" width="13.7109375" style="35" customWidth="1"/>
    <col min="4" max="4" width="7.140625" style="35" customWidth="1"/>
    <col min="5" max="5" width="9.42578125" style="35" customWidth="1"/>
    <col min="6" max="6" width="10.7109375" style="35" customWidth="1"/>
    <col min="7" max="7" width="13.7109375" style="35" customWidth="1"/>
    <col min="8" max="8" width="10.42578125" style="35" customWidth="1"/>
    <col min="9" max="9" width="9.140625" style="35" customWidth="1"/>
    <col min="10" max="11" width="9.140625" style="35"/>
    <col min="12" max="12" width="10" style="35" customWidth="1"/>
    <col min="13" max="16384" width="9.140625" style="35"/>
  </cols>
  <sheetData>
    <row r="1" spans="1:16" ht="13.5" customHeight="1" x14ac:dyDescent="0.25">
      <c r="B1" s="14" t="s">
        <v>10</v>
      </c>
      <c r="C1" s="14" t="s">
        <v>2</v>
      </c>
      <c r="D1" s="14" t="s">
        <v>46</v>
      </c>
      <c r="E1" s="14" t="s">
        <v>1</v>
      </c>
      <c r="F1" s="14" t="s">
        <v>12</v>
      </c>
      <c r="G1" s="14" t="s">
        <v>184</v>
      </c>
      <c r="H1" s="15" t="s">
        <v>191</v>
      </c>
      <c r="I1" s="490" t="s">
        <v>249</v>
      </c>
      <c r="J1" s="490"/>
      <c r="K1" s="490"/>
      <c r="L1" s="490"/>
    </row>
    <row r="2" spans="1:16" ht="11.1" customHeight="1" x14ac:dyDescent="0.25">
      <c r="B2" s="16">
        <f>IF(C2="","",WEEKDAY(C2,2))</f>
        <v>6</v>
      </c>
      <c r="C2" s="17">
        <v>43862</v>
      </c>
      <c r="D2" s="22"/>
      <c r="E2" s="22">
        <v>1210.95</v>
      </c>
      <c r="F2" s="232"/>
      <c r="G2" s="232">
        <v>588.9</v>
      </c>
      <c r="H2" s="86"/>
      <c r="I2" s="491">
        <v>221.15</v>
      </c>
      <c r="J2" s="490"/>
      <c r="K2" s="490"/>
      <c r="L2" s="490"/>
    </row>
    <row r="3" spans="1:16" ht="11.1" customHeight="1" x14ac:dyDescent="0.25">
      <c r="B3" s="16">
        <f t="shared" ref="B3:B32" si="0">IF(C3="","",WEEKDAY(C3,2))</f>
        <v>7</v>
      </c>
      <c r="C3" s="17">
        <v>43863</v>
      </c>
      <c r="D3" s="22">
        <v>1524.8</v>
      </c>
      <c r="E3" s="22"/>
      <c r="F3" s="232"/>
      <c r="G3" s="22">
        <v>520.79999999999995</v>
      </c>
      <c r="H3" s="232"/>
      <c r="I3" s="491">
        <v>137</v>
      </c>
      <c r="J3" s="490"/>
      <c r="K3" s="490"/>
      <c r="L3" s="490"/>
    </row>
    <row r="4" spans="1:16" ht="11.1" customHeight="1" x14ac:dyDescent="0.25">
      <c r="B4" s="16">
        <f t="shared" si="0"/>
        <v>1</v>
      </c>
      <c r="C4" s="17">
        <v>43864</v>
      </c>
      <c r="D4" s="22">
        <v>474.2</v>
      </c>
      <c r="F4" s="232">
        <v>238.6</v>
      </c>
      <c r="G4" s="232"/>
      <c r="H4" s="232"/>
      <c r="I4" s="491"/>
      <c r="J4" s="490"/>
      <c r="K4" s="490"/>
      <c r="L4" s="490"/>
    </row>
    <row r="5" spans="1:16" ht="11.1" customHeight="1" x14ac:dyDescent="0.25">
      <c r="B5" s="16">
        <f t="shared" si="0"/>
        <v>2</v>
      </c>
      <c r="C5" s="17">
        <v>43865</v>
      </c>
      <c r="D5" s="22"/>
      <c r="E5" s="22">
        <v>805.6</v>
      </c>
      <c r="F5" s="232">
        <v>234.1</v>
      </c>
      <c r="G5" s="232"/>
      <c r="H5" s="86"/>
      <c r="I5" s="491">
        <v>139.55000000000001</v>
      </c>
      <c r="J5" s="490"/>
      <c r="K5" s="490"/>
      <c r="L5" s="490"/>
    </row>
    <row r="6" spans="1:16" ht="11.1" customHeight="1" x14ac:dyDescent="0.25">
      <c r="B6" s="16">
        <f t="shared" si="0"/>
        <v>3</v>
      </c>
      <c r="C6" s="17">
        <v>43866</v>
      </c>
      <c r="D6" s="22"/>
      <c r="E6" s="22">
        <v>892.4</v>
      </c>
      <c r="F6" s="232"/>
      <c r="G6" s="232">
        <v>237</v>
      </c>
      <c r="H6" s="86"/>
      <c r="I6" s="491">
        <v>228.6</v>
      </c>
      <c r="J6" s="490"/>
      <c r="K6" s="490"/>
      <c r="L6" s="490"/>
    </row>
    <row r="7" spans="1:16" ht="11.1" customHeight="1" x14ac:dyDescent="0.25">
      <c r="B7" s="16">
        <f t="shared" si="0"/>
        <v>4</v>
      </c>
      <c r="C7" s="17">
        <v>43867</v>
      </c>
      <c r="D7" s="22">
        <v>598.79999999999995</v>
      </c>
      <c r="E7" s="22"/>
      <c r="F7" s="232"/>
      <c r="G7" s="232">
        <v>321.89999999999998</v>
      </c>
      <c r="H7" s="86"/>
      <c r="I7" s="491">
        <v>65</v>
      </c>
      <c r="J7" s="490"/>
      <c r="K7" s="490"/>
      <c r="L7" s="490"/>
    </row>
    <row r="8" spans="1:16" ht="11.1" customHeight="1" x14ac:dyDescent="0.25">
      <c r="B8" s="16">
        <f t="shared" si="0"/>
        <v>5</v>
      </c>
      <c r="C8" s="17">
        <v>43868</v>
      </c>
      <c r="D8" s="22"/>
      <c r="E8" s="22">
        <v>1356.8</v>
      </c>
      <c r="F8" s="232">
        <v>158</v>
      </c>
      <c r="G8" s="232"/>
      <c r="H8" s="86"/>
      <c r="I8" s="491">
        <v>89</v>
      </c>
      <c r="J8" s="490"/>
      <c r="K8" s="490"/>
      <c r="L8" s="490"/>
    </row>
    <row r="9" spans="1:16" ht="11.1" customHeight="1" x14ac:dyDescent="0.25">
      <c r="B9" s="16">
        <f>IF(C9="","",WEEKDAY(C9,2))</f>
        <v>6</v>
      </c>
      <c r="C9" s="17">
        <v>43869</v>
      </c>
      <c r="D9" s="22">
        <v>766.05</v>
      </c>
      <c r="E9" s="22"/>
      <c r="F9" s="232"/>
      <c r="G9" s="232"/>
      <c r="H9" s="18">
        <v>460.72</v>
      </c>
      <c r="I9" s="491">
        <v>151.94999999999999</v>
      </c>
      <c r="J9" s="490"/>
      <c r="K9" s="490"/>
      <c r="L9" s="490"/>
    </row>
    <row r="10" spans="1:16" ht="11.1" customHeight="1" x14ac:dyDescent="0.25">
      <c r="B10" s="16">
        <f t="shared" si="0"/>
        <v>7</v>
      </c>
      <c r="C10" s="17">
        <v>43870</v>
      </c>
      <c r="D10" s="22">
        <v>962.5</v>
      </c>
      <c r="E10" s="22"/>
      <c r="F10" s="232"/>
      <c r="G10" s="232">
        <v>252.3</v>
      </c>
      <c r="H10" s="448"/>
      <c r="I10" s="491">
        <v>130.19999999999999</v>
      </c>
      <c r="J10" s="490"/>
      <c r="K10" s="490"/>
      <c r="L10" s="490"/>
    </row>
    <row r="11" spans="1:16" ht="11.1" customHeight="1" x14ac:dyDescent="0.25">
      <c r="B11" s="16">
        <f t="shared" si="0"/>
        <v>1</v>
      </c>
      <c r="C11" s="17">
        <v>43871</v>
      </c>
      <c r="D11" s="22"/>
      <c r="E11" s="22">
        <v>503</v>
      </c>
      <c r="F11" s="232"/>
      <c r="G11" s="232">
        <v>106.7</v>
      </c>
      <c r="H11" s="232"/>
      <c r="I11" s="491"/>
      <c r="J11" s="491"/>
      <c r="K11" s="492"/>
      <c r="L11" s="492"/>
      <c r="M11" s="87"/>
      <c r="N11" s="87"/>
      <c r="O11" s="87"/>
      <c r="P11" s="87"/>
    </row>
    <row r="12" spans="1:16" ht="11.1" customHeight="1" x14ac:dyDescent="0.25">
      <c r="B12" s="16">
        <f t="shared" si="0"/>
        <v>2</v>
      </c>
      <c r="C12" s="17">
        <v>43872</v>
      </c>
      <c r="D12" s="22"/>
      <c r="E12" s="22">
        <v>888.75</v>
      </c>
      <c r="F12" s="232"/>
      <c r="G12" s="232">
        <v>118.9</v>
      </c>
      <c r="H12" s="232"/>
      <c r="I12" s="491">
        <v>74</v>
      </c>
      <c r="J12" s="490"/>
      <c r="K12" s="492"/>
      <c r="L12" s="492"/>
      <c r="M12" s="87"/>
      <c r="N12" s="87"/>
      <c r="O12" s="87"/>
      <c r="P12" s="87"/>
    </row>
    <row r="13" spans="1:16" ht="11.1" customHeight="1" x14ac:dyDescent="0.25">
      <c r="B13" s="16">
        <f t="shared" si="0"/>
        <v>3</v>
      </c>
      <c r="C13" s="17">
        <v>43873</v>
      </c>
      <c r="D13" s="22">
        <v>531.54999999999995</v>
      </c>
      <c r="E13" s="22"/>
      <c r="F13" s="232"/>
      <c r="G13" s="232">
        <v>351.1</v>
      </c>
      <c r="H13" s="232"/>
      <c r="I13" s="491">
        <v>259.5</v>
      </c>
      <c r="J13" s="490"/>
      <c r="K13" s="492"/>
      <c r="L13" s="492"/>
      <c r="M13" s="87"/>
      <c r="N13" s="87"/>
      <c r="O13" s="87"/>
      <c r="P13" s="87"/>
    </row>
    <row r="14" spans="1:16" ht="11.1" customHeight="1" x14ac:dyDescent="0.25">
      <c r="B14" s="16">
        <f t="shared" si="0"/>
        <v>4</v>
      </c>
      <c r="C14" s="17">
        <v>43874</v>
      </c>
      <c r="D14" s="22">
        <v>1132.6500000000001</v>
      </c>
      <c r="E14" s="22"/>
      <c r="F14" s="232"/>
      <c r="G14" s="232"/>
      <c r="H14" s="232">
        <v>329.8</v>
      </c>
      <c r="I14" s="491">
        <v>126.9</v>
      </c>
      <c r="J14" s="490"/>
      <c r="K14" s="492"/>
      <c r="L14" s="492"/>
      <c r="M14" s="87"/>
      <c r="N14" s="87"/>
      <c r="O14" s="87"/>
      <c r="P14" s="87"/>
    </row>
    <row r="15" spans="1:16" ht="11.25" customHeight="1" x14ac:dyDescent="0.25">
      <c r="A15" s="87"/>
      <c r="B15" s="16">
        <f t="shared" si="0"/>
        <v>5</v>
      </c>
      <c r="C15" s="17">
        <v>43875</v>
      </c>
      <c r="D15" s="22"/>
      <c r="E15" s="22">
        <v>1579.05</v>
      </c>
      <c r="F15" s="232"/>
      <c r="G15" s="232">
        <v>93.5</v>
      </c>
      <c r="I15" s="14">
        <v>122.6</v>
      </c>
      <c r="J15" s="490"/>
      <c r="K15" s="492"/>
      <c r="L15" s="492"/>
      <c r="M15" s="87"/>
      <c r="N15" s="87"/>
      <c r="O15" s="87"/>
      <c r="P15" s="87"/>
    </row>
    <row r="16" spans="1:16" ht="12.75" customHeight="1" x14ac:dyDescent="0.25">
      <c r="B16" s="16">
        <f t="shared" si="0"/>
        <v>6</v>
      </c>
      <c r="C16" s="17">
        <v>43876</v>
      </c>
      <c r="D16" s="22"/>
      <c r="E16" s="22">
        <v>1423.85</v>
      </c>
      <c r="F16" s="232"/>
      <c r="G16" s="232">
        <v>612.70000000000005</v>
      </c>
      <c r="H16" s="14"/>
      <c r="I16" s="491">
        <v>105.43</v>
      </c>
      <c r="J16" s="490"/>
      <c r="K16" s="492"/>
      <c r="L16" s="492"/>
      <c r="M16" s="87"/>
      <c r="N16" s="87"/>
      <c r="O16" s="87"/>
      <c r="P16" s="87"/>
    </row>
    <row r="17" spans="1:16" ht="11.1" customHeight="1" x14ac:dyDescent="0.25">
      <c r="B17" s="16">
        <f t="shared" si="0"/>
        <v>7</v>
      </c>
      <c r="C17" s="17">
        <v>43877</v>
      </c>
      <c r="D17" s="22">
        <v>932.44</v>
      </c>
      <c r="E17" s="22"/>
      <c r="F17" s="232"/>
      <c r="G17" s="232">
        <v>305.89999999999998</v>
      </c>
      <c r="H17" s="14"/>
      <c r="I17" s="491">
        <v>71.2</v>
      </c>
      <c r="J17" s="490"/>
      <c r="K17" s="492"/>
      <c r="L17" s="492"/>
      <c r="M17" s="87"/>
      <c r="N17" s="87"/>
      <c r="O17" s="87"/>
      <c r="P17" s="87"/>
    </row>
    <row r="18" spans="1:16" ht="11.1" customHeight="1" x14ac:dyDescent="0.25">
      <c r="B18" s="16">
        <f t="shared" si="0"/>
        <v>1</v>
      </c>
      <c r="C18" s="17">
        <v>43878</v>
      </c>
      <c r="D18" s="22">
        <v>1135.8</v>
      </c>
      <c r="E18" s="22"/>
      <c r="F18" s="232"/>
      <c r="G18" s="232"/>
      <c r="H18" s="239">
        <v>160</v>
      </c>
      <c r="I18" s="491"/>
      <c r="J18" s="490"/>
      <c r="K18" s="492"/>
      <c r="L18" s="492"/>
      <c r="M18" s="87"/>
      <c r="N18" s="87"/>
      <c r="O18" s="87"/>
      <c r="P18" s="87"/>
    </row>
    <row r="19" spans="1:16" ht="11.1" customHeight="1" x14ac:dyDescent="0.25">
      <c r="B19" s="16">
        <f t="shared" si="0"/>
        <v>2</v>
      </c>
      <c r="C19" s="17">
        <v>43879</v>
      </c>
      <c r="D19" s="22"/>
      <c r="E19" s="22">
        <v>711.8</v>
      </c>
      <c r="F19" s="232">
        <v>279.8</v>
      </c>
      <c r="G19" s="232"/>
      <c r="H19" s="14"/>
      <c r="I19" s="491">
        <v>181.1</v>
      </c>
      <c r="J19" s="490"/>
      <c r="K19" s="492"/>
      <c r="L19" s="492"/>
      <c r="M19" s="87"/>
      <c r="N19" s="87"/>
      <c r="O19" s="87"/>
      <c r="P19" s="87"/>
    </row>
    <row r="20" spans="1:16" s="87" customFormat="1" ht="11.1" customHeight="1" x14ac:dyDescent="0.25">
      <c r="A20" s="519"/>
      <c r="B20" s="483">
        <f t="shared" si="0"/>
        <v>3</v>
      </c>
      <c r="C20" s="17">
        <v>43880</v>
      </c>
      <c r="D20" s="22"/>
      <c r="E20" s="22">
        <v>1393.2</v>
      </c>
      <c r="F20" s="232">
        <v>148</v>
      </c>
      <c r="G20" s="232"/>
      <c r="H20" s="22"/>
      <c r="I20" s="497">
        <v>198.7</v>
      </c>
      <c r="J20" s="492"/>
      <c r="K20" s="492"/>
      <c r="L20" s="492"/>
    </row>
    <row r="21" spans="1:16" s="87" customFormat="1" ht="11.1" customHeight="1" x14ac:dyDescent="0.25">
      <c r="B21" s="483">
        <f t="shared" si="0"/>
        <v>4</v>
      </c>
      <c r="C21" s="17">
        <v>43881</v>
      </c>
      <c r="D21" s="22">
        <v>994.55</v>
      </c>
      <c r="E21" s="22"/>
      <c r="F21" s="232"/>
      <c r="G21" s="232">
        <v>326.5</v>
      </c>
      <c r="H21" s="232"/>
      <c r="I21" s="497">
        <v>113.45</v>
      </c>
      <c r="J21" s="492"/>
      <c r="K21" s="497"/>
      <c r="L21" s="492"/>
    </row>
    <row r="22" spans="1:16" s="87" customFormat="1" ht="11.1" customHeight="1" x14ac:dyDescent="0.25">
      <c r="B22" s="483">
        <f>IF(C22="","",WEEKDAY(C22,2))</f>
        <v>5</v>
      </c>
      <c r="C22" s="17">
        <v>43882</v>
      </c>
      <c r="D22" s="22">
        <v>987.85</v>
      </c>
      <c r="E22" s="22"/>
      <c r="F22" s="232"/>
      <c r="G22" s="232">
        <v>256.10000000000002</v>
      </c>
      <c r="H22" s="232"/>
      <c r="I22" s="497">
        <v>141.65</v>
      </c>
      <c r="J22" s="492"/>
      <c r="K22" s="492"/>
      <c r="L22" s="492"/>
    </row>
    <row r="23" spans="1:16" s="87" customFormat="1" ht="11.1" customHeight="1" x14ac:dyDescent="0.25">
      <c r="B23" s="483">
        <f t="shared" si="0"/>
        <v>6</v>
      </c>
      <c r="C23" s="17">
        <v>43883</v>
      </c>
      <c r="D23" s="22"/>
      <c r="E23" s="22">
        <v>930.6</v>
      </c>
      <c r="F23" s="232">
        <v>281.10000000000002</v>
      </c>
      <c r="G23" s="232"/>
      <c r="H23" s="520"/>
      <c r="I23" s="497">
        <v>42.15</v>
      </c>
      <c r="J23" s="492"/>
      <c r="K23" s="492"/>
      <c r="L23" s="492"/>
    </row>
    <row r="24" spans="1:16" s="87" customFormat="1" ht="10.5" customHeight="1" x14ac:dyDescent="0.25">
      <c r="B24" s="483">
        <f t="shared" si="0"/>
        <v>7</v>
      </c>
      <c r="C24" s="17">
        <v>43884</v>
      </c>
      <c r="D24" s="22"/>
      <c r="E24" s="22">
        <v>695.42</v>
      </c>
      <c r="F24" s="232"/>
      <c r="G24" s="232">
        <v>298.2</v>
      </c>
      <c r="H24" s="232"/>
      <c r="I24" s="497">
        <v>25.5</v>
      </c>
      <c r="J24" s="492"/>
      <c r="K24" s="492"/>
      <c r="L24" s="492"/>
    </row>
    <row r="25" spans="1:16" s="87" customFormat="1" ht="11.1" customHeight="1" x14ac:dyDescent="0.25">
      <c r="B25" s="483">
        <f t="shared" si="0"/>
        <v>1</v>
      </c>
      <c r="C25" s="17">
        <v>43885</v>
      </c>
      <c r="D25" s="22"/>
      <c r="E25" s="22">
        <v>667.1</v>
      </c>
      <c r="F25" s="232"/>
      <c r="G25" s="232">
        <v>128.19999999999999</v>
      </c>
      <c r="H25" s="232"/>
      <c r="I25" s="497"/>
      <c r="J25" s="492"/>
      <c r="K25" s="492"/>
      <c r="L25" s="521"/>
    </row>
    <row r="26" spans="1:16" s="87" customFormat="1" ht="11.1" customHeight="1" x14ac:dyDescent="0.25">
      <c r="B26" s="483">
        <f t="shared" si="0"/>
        <v>2</v>
      </c>
      <c r="C26" s="17">
        <v>43886</v>
      </c>
      <c r="D26" s="22"/>
      <c r="E26" s="22"/>
      <c r="F26" s="22">
        <v>785.7</v>
      </c>
      <c r="G26" s="578">
        <v>213.3</v>
      </c>
      <c r="H26" s="232"/>
      <c r="I26" s="497">
        <v>208.45</v>
      </c>
      <c r="J26" s="492"/>
      <c r="K26" s="492"/>
      <c r="L26" s="521"/>
    </row>
    <row r="27" spans="1:16" s="87" customFormat="1" ht="11.1" customHeight="1" x14ac:dyDescent="0.25">
      <c r="B27" s="483">
        <f t="shared" si="0"/>
        <v>3</v>
      </c>
      <c r="C27" s="17">
        <v>43887</v>
      </c>
      <c r="D27" s="22"/>
      <c r="E27" s="22">
        <v>1096.75</v>
      </c>
      <c r="F27" s="232">
        <v>207</v>
      </c>
      <c r="G27" s="561"/>
      <c r="H27" s="232"/>
      <c r="I27" s="496">
        <v>103.1</v>
      </c>
      <c r="J27" s="500"/>
      <c r="K27" s="500"/>
      <c r="L27" s="500"/>
      <c r="M27" s="373"/>
      <c r="N27" s="373"/>
      <c r="O27" s="373"/>
      <c r="P27" s="373"/>
    </row>
    <row r="28" spans="1:16" s="87" customFormat="1" ht="10.5" customHeight="1" x14ac:dyDescent="0.25">
      <c r="A28" s="519"/>
      <c r="B28" s="483">
        <f t="shared" si="0"/>
        <v>4</v>
      </c>
      <c r="C28" s="17">
        <v>43888</v>
      </c>
      <c r="D28" s="22"/>
      <c r="E28" s="22">
        <v>726.31</v>
      </c>
      <c r="F28" s="232">
        <v>326.5</v>
      </c>
      <c r="G28" s="232"/>
      <c r="H28" s="232"/>
      <c r="I28" s="496">
        <v>173.9</v>
      </c>
      <c r="J28" s="500"/>
      <c r="K28" s="500"/>
      <c r="L28" s="500"/>
      <c r="M28" s="373"/>
      <c r="N28" s="373"/>
      <c r="O28" s="373"/>
      <c r="P28" s="373"/>
    </row>
    <row r="29" spans="1:16" s="87" customFormat="1" ht="10.5" customHeight="1" x14ac:dyDescent="0.25">
      <c r="B29" s="483">
        <f t="shared" si="0"/>
        <v>5</v>
      </c>
      <c r="C29" s="17">
        <v>43889</v>
      </c>
      <c r="D29" s="22">
        <v>1409</v>
      </c>
      <c r="E29" s="22"/>
      <c r="F29" s="232"/>
      <c r="G29" s="232">
        <v>710.4</v>
      </c>
      <c r="H29" s="232"/>
      <c r="I29" s="496">
        <v>88.5</v>
      </c>
      <c r="J29" s="500"/>
      <c r="K29" s="500"/>
      <c r="L29" s="500"/>
      <c r="M29" s="373"/>
      <c r="N29" s="373"/>
      <c r="O29" s="373"/>
      <c r="P29" s="373"/>
    </row>
    <row r="30" spans="1:16" s="87" customFormat="1" ht="11.1" customHeight="1" x14ac:dyDescent="0.25">
      <c r="B30" s="483">
        <f t="shared" si="0"/>
        <v>6</v>
      </c>
      <c r="C30" s="17">
        <v>43890</v>
      </c>
      <c r="D30" s="22">
        <v>1221.9000000000001</v>
      </c>
      <c r="E30" s="22"/>
      <c r="F30" s="232"/>
      <c r="G30" s="232">
        <v>587</v>
      </c>
      <c r="H30" s="232"/>
      <c r="I30" s="496">
        <v>137.19999999999999</v>
      </c>
      <c r="J30" s="496"/>
      <c r="K30" s="500"/>
      <c r="L30" s="500"/>
      <c r="M30" s="373"/>
      <c r="N30" s="373"/>
      <c r="O30" s="373"/>
      <c r="P30" s="373"/>
    </row>
    <row r="31" spans="1:16" s="87" customFormat="1" ht="11.1" customHeight="1" x14ac:dyDescent="0.25">
      <c r="A31" s="519"/>
      <c r="B31" s="309" t="str">
        <f t="shared" si="0"/>
        <v/>
      </c>
      <c r="C31" s="116"/>
      <c r="D31" s="488"/>
      <c r="E31" s="488"/>
      <c r="F31" s="311"/>
      <c r="G31" s="311"/>
      <c r="H31" s="488"/>
      <c r="I31" s="501"/>
      <c r="J31" s="501"/>
      <c r="K31" s="501"/>
      <c r="L31" s="501"/>
      <c r="M31" s="373"/>
      <c r="N31" s="373"/>
      <c r="O31" s="373"/>
      <c r="P31" s="373"/>
    </row>
    <row r="32" spans="1:16" s="87" customFormat="1" ht="12" customHeight="1" x14ac:dyDescent="0.25">
      <c r="A32" s="519"/>
      <c r="B32" s="309" t="str">
        <f t="shared" si="0"/>
        <v/>
      </c>
      <c r="C32" s="116"/>
      <c r="D32" s="242"/>
      <c r="E32" s="242"/>
      <c r="F32" s="311"/>
      <c r="G32" s="311"/>
      <c r="H32" s="373"/>
      <c r="I32" s="501"/>
      <c r="J32" s="501"/>
      <c r="K32" s="501"/>
      <c r="L32" s="501"/>
      <c r="M32" s="373"/>
      <c r="N32" s="373"/>
      <c r="O32" s="373"/>
      <c r="P32" s="373"/>
    </row>
    <row r="33" spans="1:19" ht="12.95" customHeight="1" thickBot="1" x14ac:dyDescent="0.3">
      <c r="B33" s="21"/>
      <c r="C33" s="544" t="s">
        <v>229</v>
      </c>
      <c r="D33" s="86">
        <f>COUNT(D2:D32)</f>
        <v>13</v>
      </c>
      <c r="E33" s="86">
        <f>COUNT(E2:E32)</f>
        <v>15</v>
      </c>
      <c r="F33" s="86">
        <f>COUNT(F2:F32)</f>
        <v>9</v>
      </c>
      <c r="G33" s="86">
        <f>COUNT(G2:G32)</f>
        <v>18</v>
      </c>
      <c r="I33" s="501"/>
      <c r="J33" s="501"/>
      <c r="K33" s="501"/>
      <c r="L33" s="501"/>
      <c r="M33" s="373"/>
      <c r="N33" s="373"/>
      <c r="O33" s="373"/>
      <c r="P33" s="373"/>
    </row>
    <row r="34" spans="1:19" ht="12.75" customHeight="1" thickBot="1" x14ac:dyDescent="0.3">
      <c r="B34" s="21"/>
      <c r="C34" s="86" t="s">
        <v>13</v>
      </c>
      <c r="D34" s="244">
        <f>SUM(D2:D32)</f>
        <v>12672.090000000002</v>
      </c>
      <c r="E34" s="244">
        <f>SUM(E2:E32)</f>
        <v>14881.58</v>
      </c>
      <c r="F34" s="244">
        <f>SUM(F2:F32)</f>
        <v>2658.8</v>
      </c>
      <c r="G34" s="244">
        <f t="shared" ref="G34" si="1">SUM(G2:G32)</f>
        <v>6029.4</v>
      </c>
      <c r="H34" s="1"/>
      <c r="I34" s="259" t="s">
        <v>189</v>
      </c>
      <c r="J34" s="298" t="s">
        <v>190</v>
      </c>
      <c r="K34" s="474" t="s">
        <v>221</v>
      </c>
      <c r="L34" s="370"/>
      <c r="M34" s="373"/>
      <c r="N34" s="373"/>
      <c r="O34" s="373"/>
      <c r="P34" s="373"/>
    </row>
    <row r="35" spans="1:19" ht="14.1" customHeight="1" thickBot="1" x14ac:dyDescent="0.3">
      <c r="B35" s="21"/>
      <c r="C35" s="86" t="s">
        <v>22</v>
      </c>
      <c r="D35" s="244">
        <v>11738.09</v>
      </c>
      <c r="E35" s="244">
        <v>12650.3</v>
      </c>
      <c r="F35" s="244">
        <v>2431.5</v>
      </c>
      <c r="G35" s="244">
        <v>5643.5</v>
      </c>
      <c r="H35" s="1"/>
      <c r="I35" s="298">
        <f>SUM(D2:E32)+F26</f>
        <v>28339.369999999995</v>
      </c>
      <c r="J35" s="298">
        <f>SUM(F2:G25)+H9+H14+H18+SUM(F27:G30)</f>
        <v>8639.7200000000012</v>
      </c>
      <c r="K35" s="475">
        <f>SUM(I2:I32)</f>
        <v>3335.7799999999997</v>
      </c>
      <c r="L35" s="370"/>
      <c r="M35" s="373"/>
      <c r="N35" s="373"/>
      <c r="O35" s="373"/>
      <c r="P35" s="373"/>
    </row>
    <row r="36" spans="1:19" ht="14.1" customHeight="1" x14ac:dyDescent="0.25">
      <c r="B36" s="21"/>
      <c r="C36" s="86" t="s">
        <v>5</v>
      </c>
      <c r="D36" s="89">
        <f>ABS(D34-D35)</f>
        <v>934.00000000000182</v>
      </c>
      <c r="E36" s="89">
        <f>ABS(E34-E35)</f>
        <v>2231.2800000000007</v>
      </c>
      <c r="F36" s="89">
        <f>ABS(F34-F35)</f>
        <v>227.30000000000018</v>
      </c>
      <c r="G36" s="89">
        <f>ABS(G34-G35)</f>
        <v>385.89999999999964</v>
      </c>
      <c r="H36" s="1"/>
      <c r="I36" s="370"/>
      <c r="J36" s="370"/>
      <c r="K36" s="370"/>
      <c r="L36" s="370"/>
      <c r="M36" s="373"/>
      <c r="N36" s="373"/>
      <c r="O36" s="373"/>
      <c r="P36" s="373"/>
    </row>
    <row r="37" spans="1:19" ht="14.1" customHeight="1" x14ac:dyDescent="0.25">
      <c r="B37" s="21"/>
      <c r="C37" s="544" t="s">
        <v>242</v>
      </c>
      <c r="D37" s="90">
        <f>ROUND(D36*1%,2)</f>
        <v>9.34</v>
      </c>
      <c r="E37" s="90">
        <f>ROUND(E36*1%,2)</f>
        <v>22.31</v>
      </c>
      <c r="F37" s="90">
        <f t="shared" ref="F37:G37" si="2">ROUND(F36*1%,2)</f>
        <v>2.27</v>
      </c>
      <c r="G37" s="90">
        <f t="shared" si="2"/>
        <v>3.86</v>
      </c>
      <c r="H37" s="1"/>
      <c r="I37" s="370"/>
      <c r="J37" s="370"/>
      <c r="K37" s="370"/>
      <c r="L37" s="370"/>
      <c r="M37" s="373"/>
      <c r="N37" s="373"/>
      <c r="O37" s="373"/>
      <c r="P37" s="373"/>
    </row>
    <row r="38" spans="1:19" ht="14.1" customHeight="1" x14ac:dyDescent="0.25">
      <c r="B38" s="21"/>
      <c r="C38" s="544" t="s">
        <v>243</v>
      </c>
      <c r="D38" s="90">
        <f>ROUND(3%*D35,2)</f>
        <v>352.14</v>
      </c>
      <c r="E38" s="90">
        <f>ROUND(3%*E35,2)</f>
        <v>379.51</v>
      </c>
      <c r="F38" s="90">
        <f t="shared" ref="F38:G38" si="3">ROUND(3%*F35,2)</f>
        <v>72.95</v>
      </c>
      <c r="G38" s="90">
        <f t="shared" si="3"/>
        <v>169.31</v>
      </c>
      <c r="H38" s="1"/>
      <c r="I38" s="148"/>
      <c r="J38" s="148"/>
      <c r="K38" s="373"/>
      <c r="L38" s="370"/>
      <c r="M38" s="373"/>
      <c r="N38" s="373"/>
      <c r="O38" s="373"/>
      <c r="P38" s="373"/>
    </row>
    <row r="39" spans="1:19" ht="14.1" customHeight="1" x14ac:dyDescent="0.25">
      <c r="B39" s="21"/>
      <c r="C39" s="86" t="s">
        <v>7</v>
      </c>
      <c r="D39" s="88">
        <v>150</v>
      </c>
      <c r="E39" s="88">
        <v>50</v>
      </c>
      <c r="F39" s="88"/>
      <c r="G39" s="517"/>
      <c r="H39" s="12"/>
      <c r="I39" s="373"/>
      <c r="J39" s="373"/>
      <c r="K39" s="373"/>
      <c r="L39" s="370"/>
      <c r="M39" s="373"/>
      <c r="N39" s="373"/>
      <c r="O39" s="373"/>
      <c r="P39" s="373"/>
    </row>
    <row r="40" spans="1:19" ht="14.1" customHeight="1" x14ac:dyDescent="0.25">
      <c r="B40" s="21"/>
      <c r="C40" s="86" t="s">
        <v>253</v>
      </c>
      <c r="D40" s="88">
        <f>ROUND(20*D33,2)</f>
        <v>260</v>
      </c>
      <c r="E40" s="88">
        <f>ROUND(20*E33,2)</f>
        <v>300</v>
      </c>
      <c r="F40" s="549">
        <f>ROUND(23*F33,2)</f>
        <v>207</v>
      </c>
      <c r="G40" s="89">
        <f>ROUND(23*G33,2)</f>
        <v>414</v>
      </c>
      <c r="H40" s="8"/>
      <c r="I40" s="129"/>
      <c r="J40" s="148"/>
      <c r="K40" s="148"/>
      <c r="L40" s="370"/>
      <c r="M40" s="373"/>
      <c r="N40" s="373"/>
      <c r="O40" s="373"/>
      <c r="P40" s="373"/>
    </row>
    <row r="41" spans="1:19" ht="14.1" customHeight="1" x14ac:dyDescent="0.25">
      <c r="B41" s="31"/>
      <c r="C41" s="245" t="s">
        <v>94</v>
      </c>
      <c r="D41" s="246">
        <v>337.71</v>
      </c>
      <c r="E41" s="247">
        <v>180.88</v>
      </c>
      <c r="F41" s="88"/>
      <c r="G41" s="88">
        <v>257.08999999999997</v>
      </c>
      <c r="I41" s="148"/>
      <c r="J41" s="373"/>
      <c r="K41" s="373"/>
      <c r="L41" s="370"/>
      <c r="M41" s="373"/>
      <c r="N41" s="373"/>
      <c r="O41" s="373"/>
      <c r="P41" s="373"/>
    </row>
    <row r="42" spans="1:19" ht="14.1" customHeight="1" x14ac:dyDescent="0.25">
      <c r="B42" s="21"/>
      <c r="C42" s="248" t="s">
        <v>26</v>
      </c>
      <c r="D42" s="249"/>
      <c r="E42" s="246">
        <v>100</v>
      </c>
      <c r="F42" s="88"/>
      <c r="G42" s="88"/>
      <c r="I42" s="289"/>
      <c r="J42" s="373"/>
      <c r="K42" s="373"/>
      <c r="L42" s="373"/>
      <c r="M42" s="373"/>
      <c r="N42" s="373"/>
      <c r="O42" s="373"/>
      <c r="P42" s="373"/>
    </row>
    <row r="43" spans="1:19" ht="14.1" customHeight="1" x14ac:dyDescent="0.25">
      <c r="B43" s="21"/>
      <c r="C43" s="251" t="s">
        <v>77</v>
      </c>
      <c r="D43" s="478">
        <f>D37+D38+D39+D40-D41</f>
        <v>433.77000000000004</v>
      </c>
      <c r="E43" s="478">
        <f>E37+E38+E39+E40-E41-E42</f>
        <v>470.93999999999994</v>
      </c>
      <c r="F43" s="478">
        <f>F37+F38+F40</f>
        <v>282.22000000000003</v>
      </c>
      <c r="G43" s="478">
        <f>G37+G38+G39+G40-G41-G42</f>
        <v>330.0800000000001</v>
      </c>
      <c r="I43" s="373"/>
      <c r="J43" s="373"/>
      <c r="K43" s="373"/>
      <c r="L43" s="373"/>
      <c r="M43" s="373"/>
      <c r="N43" s="373"/>
      <c r="O43" s="373"/>
      <c r="P43" s="373"/>
    </row>
    <row r="44" spans="1:19" ht="14.1" customHeight="1" x14ac:dyDescent="0.25">
      <c r="B44" s="21"/>
      <c r="C44" s="292" t="s">
        <v>45</v>
      </c>
      <c r="D44" s="293">
        <f>D37+D38+D39+D40</f>
        <v>771.48</v>
      </c>
      <c r="E44" s="293">
        <f>E37+E38+E39+E40</f>
        <v>751.81999999999994</v>
      </c>
      <c r="F44" s="293">
        <f>F37+F38+F39+F40</f>
        <v>282.22000000000003</v>
      </c>
      <c r="G44" s="293">
        <f>G37+G38+G39+G40</f>
        <v>587.17000000000007</v>
      </c>
      <c r="I44" s="486"/>
      <c r="J44" s="373"/>
      <c r="K44" s="373"/>
      <c r="L44" s="373"/>
      <c r="M44" s="373"/>
      <c r="N44" s="373"/>
      <c r="O44" s="373"/>
      <c r="P44" s="373"/>
    </row>
    <row r="45" spans="1:19" ht="12.95" customHeight="1" x14ac:dyDescent="0.25">
      <c r="B45" s="21"/>
      <c r="C45" s="172"/>
      <c r="D45" s="371"/>
      <c r="E45" s="486"/>
      <c r="F45" s="8"/>
      <c r="G45" s="8"/>
      <c r="I45" s="129"/>
      <c r="J45" s="587"/>
      <c r="K45" s="219"/>
      <c r="L45" s="219"/>
      <c r="M45" s="219"/>
      <c r="N45" s="219"/>
      <c r="O45" s="219"/>
      <c r="P45" s="219"/>
      <c r="Q45" s="7"/>
      <c r="R45" s="7"/>
      <c r="S45" s="588"/>
    </row>
    <row r="46" spans="1:19" ht="12.95" customHeight="1" x14ac:dyDescent="0.25">
      <c r="A46" s="8"/>
      <c r="B46" s="31"/>
      <c r="C46" s="1"/>
      <c r="D46" s="12"/>
      <c r="E46" s="76"/>
      <c r="F46" s="8"/>
      <c r="G46" s="8"/>
      <c r="H46" s="8"/>
      <c r="I46" s="69"/>
      <c r="J46" s="589"/>
      <c r="K46" s="373"/>
      <c r="L46" s="373"/>
      <c r="M46" s="148"/>
      <c r="N46" s="373"/>
      <c r="O46" s="373"/>
      <c r="P46" s="373"/>
      <c r="Q46" s="1"/>
      <c r="R46" s="1"/>
      <c r="S46" s="590"/>
    </row>
    <row r="47" spans="1:19" ht="12.95" customHeight="1" x14ac:dyDescent="0.25">
      <c r="A47" s="8"/>
      <c r="B47" s="31"/>
      <c r="C47" s="1"/>
      <c r="D47" s="12"/>
      <c r="E47" s="128"/>
      <c r="F47" s="8"/>
      <c r="H47" s="8"/>
      <c r="I47" s="73"/>
      <c r="J47" s="589"/>
      <c r="K47" s="373"/>
      <c r="L47" s="373"/>
      <c r="M47" s="148"/>
      <c r="N47" s="373"/>
      <c r="O47" s="373"/>
      <c r="P47" s="373"/>
      <c r="Q47" s="1"/>
      <c r="R47" s="1"/>
      <c r="S47" s="590"/>
    </row>
    <row r="48" spans="1:19" ht="12.95" customHeight="1" x14ac:dyDescent="0.25">
      <c r="B48" s="32"/>
      <c r="C48" s="1"/>
      <c r="D48" s="1"/>
      <c r="E48" s="11"/>
      <c r="H48" s="213"/>
      <c r="I48" s="69"/>
      <c r="J48" s="589"/>
      <c r="K48" s="373"/>
      <c r="L48" s="373"/>
      <c r="M48" s="373"/>
      <c r="N48" s="373"/>
      <c r="O48" s="373"/>
      <c r="P48" s="373"/>
      <c r="Q48" s="1"/>
      <c r="R48" s="1"/>
      <c r="S48" s="590"/>
    </row>
    <row r="49" spans="1:19" s="87" customFormat="1" ht="12.95" customHeight="1" x14ac:dyDescent="0.3">
      <c r="B49" s="584"/>
      <c r="C49" s="585"/>
      <c r="D49" s="585"/>
      <c r="E49" s="585"/>
      <c r="F49" s="585"/>
      <c r="G49" s="585"/>
      <c r="H49" s="586"/>
      <c r="I49" s="450"/>
      <c r="J49" s="589"/>
      <c r="K49" s="373"/>
      <c r="L49" s="373"/>
      <c r="M49" s="373"/>
      <c r="N49" s="373"/>
      <c r="O49" s="373"/>
      <c r="P49" s="373"/>
      <c r="Q49" s="373"/>
      <c r="R49" s="373"/>
      <c r="S49" s="169"/>
    </row>
    <row r="50" spans="1:19" s="87" customFormat="1" ht="12.95" customHeight="1" x14ac:dyDescent="0.3">
      <c r="C50" s="585"/>
      <c r="D50" s="585"/>
      <c r="E50" s="622"/>
      <c r="F50" s="622"/>
      <c r="G50" s="585"/>
      <c r="H50" s="171"/>
      <c r="I50" s="623"/>
      <c r="J50" s="591"/>
      <c r="K50" s="585"/>
      <c r="L50" s="373"/>
      <c r="M50" s="373"/>
      <c r="N50" s="373"/>
      <c r="O50" s="373"/>
      <c r="P50" s="373"/>
      <c r="Q50" s="373"/>
      <c r="R50" s="373"/>
      <c r="S50" s="169"/>
    </row>
    <row r="51" spans="1:19" s="87" customFormat="1" ht="12" customHeight="1" x14ac:dyDescent="0.3">
      <c r="A51" s="373"/>
      <c r="B51" s="373"/>
      <c r="C51" s="585"/>
      <c r="D51" s="585"/>
      <c r="E51" s="622"/>
      <c r="F51" s="622"/>
      <c r="G51" s="585"/>
      <c r="H51" s="586"/>
      <c r="I51" s="585"/>
      <c r="J51" s="591"/>
      <c r="K51" s="585"/>
      <c r="L51" s="373"/>
      <c r="M51" s="373"/>
      <c r="N51" s="373"/>
      <c r="O51" s="373"/>
      <c r="P51" s="373"/>
      <c r="Q51" s="373"/>
      <c r="R51" s="373"/>
      <c r="S51" s="169"/>
    </row>
    <row r="52" spans="1:19" s="87" customFormat="1" ht="18.75" x14ac:dyDescent="0.3">
      <c r="A52" s="373"/>
      <c r="B52" s="373"/>
      <c r="C52" s="373"/>
      <c r="D52" s="373"/>
      <c r="E52" s="147"/>
      <c r="H52" s="586"/>
      <c r="I52" s="585"/>
      <c r="J52" s="591"/>
      <c r="K52" s="585"/>
      <c r="L52" s="373"/>
      <c r="M52" s="373"/>
      <c r="N52" s="373"/>
      <c r="O52" s="373"/>
      <c r="P52" s="373"/>
      <c r="Q52" s="373"/>
      <c r="R52" s="373"/>
      <c r="S52" s="169"/>
    </row>
    <row r="53" spans="1:19" s="87" customFormat="1" x14ac:dyDescent="0.25">
      <c r="A53" s="373"/>
      <c r="B53" s="373"/>
      <c r="C53" s="373"/>
      <c r="D53" s="373"/>
      <c r="E53" s="147"/>
      <c r="I53" s="146"/>
      <c r="J53" s="589"/>
      <c r="K53" s="373"/>
      <c r="L53" s="373"/>
      <c r="M53" s="373"/>
      <c r="N53" s="373"/>
      <c r="O53" s="373"/>
      <c r="P53" s="373"/>
      <c r="Q53" s="373"/>
      <c r="R53" s="373"/>
      <c r="S53" s="169"/>
    </row>
    <row r="54" spans="1:19" s="87" customFormat="1" ht="15" customHeight="1" x14ac:dyDescent="0.3">
      <c r="A54" s="373"/>
      <c r="B54" s="373"/>
      <c r="C54" s="373"/>
      <c r="D54" s="373"/>
      <c r="E54" s="147"/>
      <c r="H54" s="622"/>
      <c r="I54" s="373"/>
      <c r="J54" s="589"/>
      <c r="K54" s="373"/>
      <c r="L54" s="373"/>
      <c r="M54" s="373"/>
      <c r="N54" s="373"/>
      <c r="O54" s="373"/>
      <c r="P54" s="373"/>
      <c r="Q54" s="373"/>
      <c r="R54" s="373"/>
      <c r="S54" s="169"/>
    </row>
    <row r="55" spans="1:19" s="87" customFormat="1" ht="15" customHeight="1" x14ac:dyDescent="0.3">
      <c r="A55" s="373"/>
      <c r="B55" s="373"/>
      <c r="C55" s="373"/>
      <c r="D55" s="373"/>
      <c r="E55" s="147"/>
      <c r="H55" s="622"/>
      <c r="I55" s="373"/>
      <c r="J55" s="589"/>
      <c r="K55" s="373"/>
      <c r="L55" s="373"/>
      <c r="M55" s="373"/>
      <c r="N55" s="373"/>
      <c r="O55" s="373"/>
      <c r="P55" s="373"/>
      <c r="Q55" s="373"/>
      <c r="R55" s="373"/>
      <c r="S55" s="169"/>
    </row>
    <row r="56" spans="1:19" s="87" customFormat="1" ht="15" customHeight="1" x14ac:dyDescent="0.3">
      <c r="A56" s="373"/>
      <c r="B56" s="373"/>
      <c r="C56" s="373"/>
      <c r="D56" s="373"/>
      <c r="E56" s="147"/>
      <c r="H56" s="622"/>
      <c r="I56" s="373"/>
      <c r="J56" s="589"/>
      <c r="K56" s="373"/>
      <c r="L56" s="373"/>
      <c r="M56" s="373"/>
      <c r="N56" s="373"/>
      <c r="O56" s="373"/>
      <c r="P56" s="373"/>
      <c r="Q56" s="373"/>
      <c r="R56" s="373"/>
      <c r="S56" s="169"/>
    </row>
    <row r="57" spans="1:19" s="87" customFormat="1" x14ac:dyDescent="0.25">
      <c r="A57" s="373"/>
      <c r="B57" s="373"/>
      <c r="C57" s="373"/>
      <c r="D57" s="373"/>
      <c r="E57" s="147"/>
      <c r="H57" s="171"/>
      <c r="J57" s="589"/>
      <c r="K57" s="373"/>
      <c r="L57" s="373"/>
      <c r="M57" s="373"/>
      <c r="N57" s="373"/>
      <c r="O57" s="373"/>
      <c r="P57" s="373"/>
      <c r="Q57" s="373"/>
      <c r="R57" s="373"/>
      <c r="S57" s="169"/>
    </row>
    <row r="58" spans="1:19" s="87" customFormat="1" x14ac:dyDescent="0.25">
      <c r="A58" s="373"/>
      <c r="B58" s="373"/>
      <c r="C58" s="373"/>
      <c r="D58" s="373"/>
      <c r="E58" s="147"/>
      <c r="J58" s="589"/>
      <c r="K58" s="373"/>
      <c r="L58" s="373"/>
      <c r="M58" s="373"/>
      <c r="N58" s="373"/>
      <c r="O58" s="373"/>
      <c r="P58" s="373"/>
      <c r="Q58" s="373"/>
      <c r="R58" s="373"/>
      <c r="S58" s="169"/>
    </row>
    <row r="59" spans="1:19" s="87" customFormat="1" x14ac:dyDescent="0.25">
      <c r="A59" s="373"/>
      <c r="B59" s="373"/>
      <c r="C59" s="373"/>
      <c r="D59" s="373"/>
      <c r="E59" s="147"/>
      <c r="J59" s="589"/>
      <c r="K59" s="373"/>
      <c r="L59" s="373"/>
      <c r="M59" s="373"/>
      <c r="N59" s="373"/>
      <c r="O59" s="373"/>
      <c r="P59" s="373"/>
      <c r="Q59" s="373"/>
      <c r="R59" s="373"/>
      <c r="S59" s="169"/>
    </row>
    <row r="60" spans="1:19" s="87" customFormat="1" x14ac:dyDescent="0.25">
      <c r="A60" s="373"/>
      <c r="B60" s="373"/>
      <c r="C60" s="373"/>
      <c r="D60" s="373"/>
      <c r="E60" s="147"/>
      <c r="J60" s="589"/>
      <c r="K60" s="373"/>
      <c r="L60" s="373"/>
      <c r="M60" s="373"/>
      <c r="N60" s="373"/>
      <c r="O60" s="373"/>
      <c r="P60" s="373"/>
      <c r="Q60" s="373"/>
      <c r="R60" s="373"/>
      <c r="S60" s="169"/>
    </row>
    <row r="61" spans="1:19" s="87" customFormat="1" x14ac:dyDescent="0.25">
      <c r="A61" s="373"/>
      <c r="B61" s="373"/>
      <c r="C61" s="373"/>
      <c r="D61" s="373"/>
      <c r="E61" s="147"/>
      <c r="J61" s="589"/>
      <c r="K61" s="373"/>
      <c r="L61" s="373"/>
      <c r="M61" s="373"/>
      <c r="N61" s="373"/>
      <c r="O61" s="373"/>
      <c r="P61" s="373"/>
      <c r="Q61" s="373"/>
      <c r="R61" s="373"/>
      <c r="S61" s="169"/>
    </row>
    <row r="62" spans="1:19" x14ac:dyDescent="0.25">
      <c r="A62" s="1"/>
      <c r="B62" s="1"/>
      <c r="C62" s="1"/>
      <c r="D62" s="1"/>
      <c r="E62" s="11"/>
      <c r="J62" s="592"/>
      <c r="K62" s="593"/>
      <c r="L62" s="593"/>
      <c r="M62" s="593"/>
      <c r="N62" s="593"/>
      <c r="O62" s="593"/>
      <c r="P62" s="593"/>
      <c r="Q62" s="593"/>
      <c r="R62" s="593"/>
      <c r="S62" s="594"/>
    </row>
    <row r="63" spans="1:19" x14ac:dyDescent="0.25">
      <c r="A63" s="1"/>
      <c r="B63" s="1"/>
      <c r="C63" s="1"/>
      <c r="D63" s="1"/>
      <c r="E63" s="11"/>
    </row>
    <row r="64" spans="1:19" x14ac:dyDescent="0.25">
      <c r="A64" s="1"/>
      <c r="B64" s="1"/>
      <c r="C64" s="1"/>
      <c r="D64" s="1"/>
      <c r="E64" s="11"/>
    </row>
    <row r="65" spans="1:5" x14ac:dyDescent="0.25">
      <c r="A65" s="1"/>
      <c r="B65" s="1"/>
      <c r="C65" s="1"/>
      <c r="D65" s="1"/>
      <c r="E65" s="11"/>
    </row>
    <row r="66" spans="1:5" x14ac:dyDescent="0.25">
      <c r="A66" s="1"/>
      <c r="B66" s="1"/>
      <c r="C66" s="11"/>
      <c r="D66" s="1"/>
      <c r="E66" s="11"/>
    </row>
    <row r="67" spans="1:5" x14ac:dyDescent="0.25">
      <c r="A67" s="1"/>
      <c r="B67" s="1"/>
      <c r="C67" s="1"/>
      <c r="D67" s="1"/>
      <c r="E67" s="11"/>
    </row>
    <row r="68" spans="1:5" x14ac:dyDescent="0.25">
      <c r="A68" s="1"/>
      <c r="B68" s="1"/>
      <c r="C68" s="1"/>
      <c r="D68" s="1"/>
      <c r="E68" s="11"/>
    </row>
    <row r="69" spans="1:5" x14ac:dyDescent="0.25">
      <c r="A69" s="1"/>
      <c r="B69" s="1"/>
      <c r="C69" s="1"/>
      <c r="D69" s="1"/>
      <c r="E69" s="11"/>
    </row>
    <row r="70" spans="1:5" x14ac:dyDescent="0.25">
      <c r="A70" s="1"/>
      <c r="B70" s="1"/>
      <c r="C70" s="1"/>
      <c r="D70" s="1"/>
      <c r="E70" s="11"/>
    </row>
    <row r="71" spans="1:5" x14ac:dyDescent="0.25">
      <c r="A71" s="1"/>
      <c r="B71" s="1"/>
      <c r="C71" s="1"/>
      <c r="D71" s="1"/>
      <c r="E71" s="11"/>
    </row>
    <row r="72" spans="1:5" x14ac:dyDescent="0.25">
      <c r="A72" s="1"/>
      <c r="B72" s="1"/>
      <c r="C72" s="1"/>
      <c r="D72" s="1"/>
      <c r="E72" s="11"/>
    </row>
    <row r="73" spans="1:5" x14ac:dyDescent="0.25">
      <c r="A73" s="1"/>
      <c r="B73" s="1"/>
      <c r="C73" s="1"/>
      <c r="D73" s="1"/>
      <c r="E73" s="11"/>
    </row>
    <row r="74" spans="1:5" x14ac:dyDescent="0.25">
      <c r="A74" s="1"/>
      <c r="B74" s="1"/>
      <c r="C74" s="1"/>
      <c r="D74" s="1"/>
      <c r="E74" s="11"/>
    </row>
    <row r="75" spans="1:5" x14ac:dyDescent="0.25">
      <c r="A75" s="1"/>
      <c r="B75" s="1"/>
      <c r="C75" s="1"/>
      <c r="D75" s="1"/>
      <c r="E75" s="11"/>
    </row>
    <row r="76" spans="1:5" x14ac:dyDescent="0.25">
      <c r="A76" s="1"/>
      <c r="B76" s="1"/>
      <c r="C76" s="1"/>
      <c r="D76" s="1"/>
      <c r="E76" s="11"/>
    </row>
    <row r="77" spans="1:5" x14ac:dyDescent="0.25">
      <c r="A77" s="1"/>
      <c r="B77" s="1"/>
      <c r="C77" s="1"/>
      <c r="D77" s="1"/>
      <c r="E77" s="11"/>
    </row>
    <row r="78" spans="1:5" x14ac:dyDescent="0.25">
      <c r="A78" s="1"/>
      <c r="B78" s="1"/>
      <c r="C78" s="1"/>
      <c r="D78" s="1"/>
      <c r="E78" s="11"/>
    </row>
    <row r="79" spans="1:5" x14ac:dyDescent="0.25">
      <c r="A79" s="1"/>
      <c r="B79" s="1"/>
      <c r="C79" s="1"/>
      <c r="D79" s="1"/>
      <c r="E79" s="11"/>
    </row>
    <row r="80" spans="1:5" x14ac:dyDescent="0.25">
      <c r="A80" s="1"/>
      <c r="B80" s="1"/>
      <c r="C80" s="1"/>
      <c r="D80" s="1"/>
      <c r="E80" s="11"/>
    </row>
    <row r="81" spans="1:5" x14ac:dyDescent="0.25">
      <c r="A81" s="1"/>
      <c r="B81" s="1"/>
      <c r="C81" s="1"/>
      <c r="D81" s="1"/>
      <c r="E81" s="11"/>
    </row>
    <row r="82" spans="1:5" x14ac:dyDescent="0.25">
      <c r="A82" s="1"/>
      <c r="B82" s="1"/>
      <c r="C82" s="1"/>
      <c r="D82" s="1"/>
      <c r="E82" s="11"/>
    </row>
    <row r="83" spans="1:5" x14ac:dyDescent="0.25">
      <c r="A83" s="1"/>
      <c r="B83" s="1"/>
      <c r="C83" s="1"/>
      <c r="D83" s="1"/>
      <c r="E83" s="11"/>
    </row>
    <row r="84" spans="1:5" x14ac:dyDescent="0.25">
      <c r="A84" s="1"/>
      <c r="B84" s="1"/>
      <c r="C84" s="1"/>
      <c r="D84" s="1"/>
      <c r="E84" s="11"/>
    </row>
    <row r="85" spans="1:5" x14ac:dyDescent="0.25">
      <c r="A85" s="1"/>
      <c r="B85" s="1"/>
      <c r="C85" s="1"/>
      <c r="D85" s="1"/>
      <c r="E85" s="11"/>
    </row>
    <row r="86" spans="1:5" x14ac:dyDescent="0.25">
      <c r="A86" s="1"/>
      <c r="B86" s="1"/>
      <c r="C86" s="1"/>
      <c r="D86" s="1"/>
      <c r="E86" s="11"/>
    </row>
    <row r="87" spans="1:5" x14ac:dyDescent="0.25">
      <c r="A87" s="1"/>
      <c r="B87" s="1"/>
      <c r="C87" s="1"/>
      <c r="D87" s="1"/>
      <c r="E87" s="11"/>
    </row>
    <row r="88" spans="1:5" x14ac:dyDescent="0.25">
      <c r="A88" s="1"/>
      <c r="B88" s="1"/>
      <c r="C88" s="1"/>
      <c r="D88" s="1"/>
      <c r="E88" s="2"/>
    </row>
    <row r="89" spans="1:5" x14ac:dyDescent="0.25">
      <c r="A89" s="1"/>
      <c r="B89" s="1"/>
      <c r="C89" s="1"/>
      <c r="D89" s="1"/>
      <c r="E89" s="2"/>
    </row>
    <row r="90" spans="1:5" x14ac:dyDescent="0.25">
      <c r="A90" s="1"/>
      <c r="B90" s="1"/>
      <c r="E90" s="2"/>
    </row>
    <row r="91" spans="1:5" x14ac:dyDescent="0.25">
      <c r="A91" s="1"/>
      <c r="B91" s="1"/>
      <c r="E91" s="2"/>
    </row>
    <row r="92" spans="1:5" x14ac:dyDescent="0.25">
      <c r="A92" s="1"/>
      <c r="B92" s="1"/>
      <c r="E92" s="2"/>
    </row>
    <row r="93" spans="1:5" x14ac:dyDescent="0.25">
      <c r="B93" s="1"/>
      <c r="E93" s="2"/>
    </row>
    <row r="94" spans="1:5" x14ac:dyDescent="0.25">
      <c r="B94" s="1"/>
      <c r="E94" s="2"/>
    </row>
    <row r="95" spans="1:5" x14ac:dyDescent="0.25">
      <c r="E95" s="2"/>
    </row>
    <row r="96" spans="1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</sheetData>
  <conditionalFormatting sqref="F32:G32 B2:G2 D22:F22 D23:G25 D29:G31 D3:G3 D5:G21 F4:G4 D4 D26:F28 B3:C32">
    <cfRule type="expression" dxfId="3" priority="1">
      <formula>$B2=7</formula>
    </cfRule>
    <cfRule type="expression" dxfId="2" priority="2">
      <formula>$B2=6</formula>
    </cfRule>
  </conditionalFormatting>
  <pageMargins left="0.7" right="0.7" top="0.75" bottom="0.75" header="0.3" footer="0.3"/>
  <pageSetup paperSize="11" scale="9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workbookViewId="0">
      <selection activeCell="O19" sqref="O19"/>
    </sheetView>
  </sheetViews>
  <sheetFormatPr defaultRowHeight="15" x14ac:dyDescent="0.25"/>
  <cols>
    <col min="1" max="1" width="12.28515625" customWidth="1"/>
    <col min="3" max="3" width="9.140625" customWidth="1"/>
  </cols>
  <sheetData>
    <row r="2" spans="1:10" x14ac:dyDescent="0.25">
      <c r="A2" t="s">
        <v>268</v>
      </c>
    </row>
    <row r="3" spans="1:10" x14ac:dyDescent="0.25">
      <c r="A3" t="s">
        <v>269</v>
      </c>
    </row>
    <row r="4" spans="1:10" x14ac:dyDescent="0.25">
      <c r="A4" s="597" t="s">
        <v>16</v>
      </c>
      <c r="B4" s="693" t="s">
        <v>270</v>
      </c>
      <c r="C4" s="693"/>
      <c r="D4" s="597" t="s">
        <v>271</v>
      </c>
      <c r="E4" s="597" t="s">
        <v>272</v>
      </c>
      <c r="F4" s="597" t="s">
        <v>273</v>
      </c>
      <c r="G4" s="597" t="s">
        <v>16</v>
      </c>
      <c r="H4" s="693" t="s">
        <v>274</v>
      </c>
      <c r="I4" s="693"/>
      <c r="J4" s="597" t="s">
        <v>273</v>
      </c>
    </row>
    <row r="5" spans="1:10" x14ac:dyDescent="0.25">
      <c r="A5" s="599" t="s">
        <v>275</v>
      </c>
    </row>
    <row r="6" spans="1:10" x14ac:dyDescent="0.25">
      <c r="A6" s="600">
        <v>43876</v>
      </c>
      <c r="B6" t="s">
        <v>276</v>
      </c>
    </row>
    <row r="7" spans="1:10" x14ac:dyDescent="0.25">
      <c r="B7" t="s">
        <v>277</v>
      </c>
    </row>
  </sheetData>
  <mergeCells count="2">
    <mergeCell ref="B4:C4"/>
    <mergeCell ref="H4:I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20"/>
  <sheetViews>
    <sheetView tabSelected="1" zoomScale="85" zoomScaleNormal="85" zoomScaleSheetLayoutView="70" zoomScalePageLayoutView="70" workbookViewId="0">
      <selection activeCell="F12" sqref="F12"/>
    </sheetView>
  </sheetViews>
  <sheetFormatPr defaultColWidth="9.140625" defaultRowHeight="15" x14ac:dyDescent="0.25"/>
  <cols>
    <col min="1" max="1" width="11.5703125" style="35" customWidth="1"/>
    <col min="2" max="2" width="23.7109375" style="35" customWidth="1"/>
    <col min="3" max="3" width="11.28515625" style="35" customWidth="1"/>
    <col min="4" max="4" width="9.140625" style="35"/>
    <col min="5" max="5" width="11.28515625" style="35" customWidth="1"/>
    <col min="6" max="6" width="18.7109375" style="35" customWidth="1"/>
    <col min="7" max="7" width="14.7109375" style="35" customWidth="1"/>
    <col min="8" max="8" width="10.7109375" style="35" customWidth="1"/>
    <col min="9" max="9" width="10.28515625" style="35" customWidth="1"/>
    <col min="10" max="10" width="11" style="35" customWidth="1"/>
    <col min="11" max="11" width="11.42578125" style="35" customWidth="1"/>
    <col min="12" max="12" width="12.140625" style="35" customWidth="1"/>
    <col min="13" max="13" width="13.85546875" style="35" customWidth="1"/>
    <col min="14" max="14" width="11.140625" style="35" customWidth="1"/>
    <col min="15" max="15" width="8.28515625" style="1" customWidth="1"/>
    <col min="16" max="16" width="15.5703125" style="35" customWidth="1"/>
    <col min="17" max="17" width="11.140625" style="35" customWidth="1"/>
    <col min="18" max="18" width="13.140625" style="35" customWidth="1"/>
    <col min="19" max="19" width="10" style="35" customWidth="1"/>
    <col min="20" max="21" width="10.140625" style="35" customWidth="1"/>
    <col min="22" max="22" width="10.28515625" style="35" customWidth="1"/>
    <col min="23" max="24" width="10.140625" style="35" customWidth="1"/>
    <col min="25" max="25" width="11.140625" style="35" bestFit="1" customWidth="1"/>
    <col min="26" max="26" width="11.140625" style="35" customWidth="1"/>
    <col min="27" max="27" width="9.140625" style="35"/>
    <col min="28" max="28" width="11.5703125" style="35" customWidth="1"/>
    <col min="29" max="32" width="9.140625" style="35"/>
    <col min="33" max="33" width="11.5703125" style="35" customWidth="1"/>
    <col min="34" max="16384" width="9.140625" style="35"/>
  </cols>
  <sheetData>
    <row r="1" spans="1:33" x14ac:dyDescent="0.25">
      <c r="A1" s="742" t="s">
        <v>284</v>
      </c>
      <c r="B1" s="742"/>
      <c r="C1" s="742"/>
      <c r="D1" s="742"/>
      <c r="E1" s="742"/>
      <c r="F1" s="742"/>
      <c r="G1" s="742"/>
      <c r="H1" s="742"/>
      <c r="I1" s="742"/>
      <c r="J1" s="742"/>
      <c r="K1" s="742"/>
      <c r="L1" s="742"/>
      <c r="M1" s="742"/>
    </row>
    <row r="2" spans="1:33" ht="15.75" thickBot="1" x14ac:dyDescent="0.3">
      <c r="A2" s="743"/>
      <c r="B2" s="743"/>
      <c r="C2" s="743"/>
      <c r="D2" s="743"/>
      <c r="E2" s="743"/>
      <c r="F2" s="743"/>
      <c r="G2" s="743"/>
      <c r="H2" s="743"/>
      <c r="I2" s="743"/>
      <c r="J2" s="743"/>
      <c r="K2" s="743"/>
      <c r="L2" s="743"/>
      <c r="M2" s="743"/>
    </row>
    <row r="3" spans="1:33" ht="15.75" thickTop="1" x14ac:dyDescent="0.25">
      <c r="A3" s="739" t="s">
        <v>28</v>
      </c>
      <c r="B3" s="682"/>
      <c r="C3" s="682"/>
      <c r="D3" s="682"/>
      <c r="E3" s="682"/>
      <c r="F3" s="682"/>
      <c r="G3" s="683"/>
      <c r="H3" s="734" t="s">
        <v>286</v>
      </c>
      <c r="I3" s="735"/>
      <c r="J3" s="735"/>
      <c r="K3" s="735"/>
      <c r="L3" s="735"/>
      <c r="M3" s="736"/>
      <c r="N3" s="612"/>
      <c r="O3" s="694" t="s">
        <v>60</v>
      </c>
      <c r="P3" s="694"/>
      <c r="U3" s="768" t="s">
        <v>168</v>
      </c>
      <c r="V3" s="768"/>
      <c r="Y3" s="240" t="s">
        <v>303</v>
      </c>
      <c r="Z3" s="655" t="s">
        <v>307</v>
      </c>
      <c r="AD3" s="240" t="s">
        <v>303</v>
      </c>
      <c r="AE3" s="655" t="s">
        <v>308</v>
      </c>
    </row>
    <row r="4" spans="1:33" ht="21.75" customHeight="1" x14ac:dyDescent="0.25">
      <c r="A4" s="330" t="s">
        <v>2</v>
      </c>
      <c r="B4" s="611" t="s">
        <v>34</v>
      </c>
      <c r="C4" s="36" t="s">
        <v>35</v>
      </c>
      <c r="D4" s="36" t="s">
        <v>38</v>
      </c>
      <c r="E4" s="36" t="s">
        <v>42</v>
      </c>
      <c r="F4" s="611" t="s">
        <v>36</v>
      </c>
      <c r="G4" s="101" t="s">
        <v>173</v>
      </c>
      <c r="H4" s="732"/>
      <c r="I4" s="733"/>
      <c r="J4" s="606" t="s">
        <v>35</v>
      </c>
      <c r="K4" s="606" t="s">
        <v>38</v>
      </c>
      <c r="L4" s="606" t="s">
        <v>42</v>
      </c>
      <c r="M4" s="101" t="s">
        <v>44</v>
      </c>
      <c r="N4" s="373"/>
      <c r="O4" s="619" t="s">
        <v>2</v>
      </c>
      <c r="P4" s="619" t="s">
        <v>34</v>
      </c>
      <c r="Q4" s="154" t="s">
        <v>38</v>
      </c>
      <c r="R4" s="154" t="s">
        <v>42</v>
      </c>
      <c r="S4" s="619" t="s">
        <v>100</v>
      </c>
      <c r="T4" s="373"/>
      <c r="U4" s="653" t="s">
        <v>2</v>
      </c>
      <c r="V4" s="653" t="s">
        <v>34</v>
      </c>
      <c r="W4" s="653" t="s">
        <v>302</v>
      </c>
      <c r="X4" s="373"/>
      <c r="Y4" s="653" t="s">
        <v>2</v>
      </c>
      <c r="Z4" s="653" t="s">
        <v>34</v>
      </c>
      <c r="AA4" s="653" t="s">
        <v>302</v>
      </c>
      <c r="AB4" s="653" t="s">
        <v>301</v>
      </c>
      <c r="AD4" s="653" t="s">
        <v>2</v>
      </c>
      <c r="AE4" s="653" t="s">
        <v>34</v>
      </c>
      <c r="AF4" s="653" t="s">
        <v>302</v>
      </c>
      <c r="AG4" s="653" t="s">
        <v>301</v>
      </c>
    </row>
    <row r="5" spans="1:33" x14ac:dyDescent="0.25">
      <c r="A5" s="331">
        <v>43906</v>
      </c>
      <c r="B5" s="164" t="s">
        <v>223</v>
      </c>
      <c r="C5" s="281">
        <v>249.16</v>
      </c>
      <c r="D5" s="281">
        <v>249.16</v>
      </c>
      <c r="E5" s="163" t="str">
        <f t="shared" ref="E5" si="0">IF(C5-D5=0,"",C5-D5)</f>
        <v/>
      </c>
      <c r="F5" s="165" t="str">
        <f t="shared" ref="F5" si="1">IF(C5=0,"",IF(C5-D5=0,"оплачено","ОЖИДАЕТСЯ оплата"))</f>
        <v>оплачено</v>
      </c>
      <c r="G5" s="165"/>
      <c r="H5" s="737" t="s">
        <v>39</v>
      </c>
      <c r="I5" s="676"/>
      <c r="J5" s="601">
        <v>1564.38</v>
      </c>
      <c r="K5" s="657">
        <v>1564.38</v>
      </c>
      <c r="L5" s="163">
        <f t="shared" ref="L5" si="2">J5-K5</f>
        <v>0</v>
      </c>
      <c r="M5" s="102">
        <v>43910</v>
      </c>
      <c r="N5" s="147"/>
      <c r="O5" s="274"/>
      <c r="P5" s="619" t="s">
        <v>133</v>
      </c>
      <c r="Q5" s="619">
        <v>1400</v>
      </c>
      <c r="R5" s="619"/>
      <c r="S5" s="164" t="s">
        <v>313</v>
      </c>
      <c r="T5" s="373"/>
      <c r="U5" s="154">
        <v>43895</v>
      </c>
      <c r="V5" s="653" t="s">
        <v>294</v>
      </c>
      <c r="W5" s="164">
        <f>225.7+250</f>
        <v>475.7</v>
      </c>
      <c r="X5" s="373"/>
      <c r="Y5" s="154">
        <v>43895</v>
      </c>
      <c r="Z5" s="653" t="s">
        <v>294</v>
      </c>
      <c r="AA5" s="164">
        <v>60</v>
      </c>
      <c r="AB5" s="652">
        <v>116</v>
      </c>
      <c r="AD5" s="154">
        <v>43895</v>
      </c>
      <c r="AE5" s="653" t="s">
        <v>295</v>
      </c>
      <c r="AF5" s="164">
        <f>AG5/2</f>
        <v>160</v>
      </c>
      <c r="AG5" s="652">
        <v>320</v>
      </c>
    </row>
    <row r="6" spans="1:33" s="87" customFormat="1" ht="16.5" customHeight="1" x14ac:dyDescent="0.25">
      <c r="A6" s="331">
        <v>43908</v>
      </c>
      <c r="B6" s="164" t="s">
        <v>316</v>
      </c>
      <c r="C6" s="281">
        <v>603.29999999999995</v>
      </c>
      <c r="D6" s="281">
        <v>603.29999999999995</v>
      </c>
      <c r="E6" s="163" t="str">
        <f t="shared" ref="E6:E20" si="3">IF(C6-D6=0,"",C6-D6)</f>
        <v/>
      </c>
      <c r="F6" s="165" t="str">
        <f t="shared" ref="F6:F20" si="4">IF(C6=0,"",IF(C6-D6=0,"оплачено","ОЖИДАЕТСЯ оплата"))</f>
        <v>оплачено</v>
      </c>
      <c r="G6" s="165" t="s">
        <v>131</v>
      </c>
      <c r="H6" s="755" t="s">
        <v>40</v>
      </c>
      <c r="I6" s="756"/>
      <c r="J6" s="531">
        <v>815.26</v>
      </c>
      <c r="K6" s="619">
        <f>295+130+390.26</f>
        <v>815.26</v>
      </c>
      <c r="L6" s="530">
        <f>J6-K6</f>
        <v>0</v>
      </c>
      <c r="M6" s="532">
        <v>43914</v>
      </c>
      <c r="N6" s="468"/>
      <c r="O6" s="274"/>
      <c r="P6" s="619" t="s">
        <v>123</v>
      </c>
      <c r="Q6" s="619">
        <v>3000</v>
      </c>
      <c r="R6" s="619"/>
      <c r="S6" s="619" t="s">
        <v>312</v>
      </c>
      <c r="U6" s="154">
        <v>43895</v>
      </c>
      <c r="V6" s="653" t="s">
        <v>295</v>
      </c>
      <c r="W6" s="653">
        <v>850</v>
      </c>
      <c r="Y6" s="154">
        <v>43895</v>
      </c>
      <c r="Z6" s="653" t="s">
        <v>295</v>
      </c>
      <c r="AA6" s="653">
        <v>850</v>
      </c>
      <c r="AB6" s="653">
        <v>1576</v>
      </c>
      <c r="AD6" s="154">
        <v>43898</v>
      </c>
      <c r="AE6" s="653" t="s">
        <v>304</v>
      </c>
      <c r="AF6" s="653">
        <v>692</v>
      </c>
      <c r="AG6" s="653">
        <v>1998</v>
      </c>
    </row>
    <row r="7" spans="1:33" s="87" customFormat="1" x14ac:dyDescent="0.25">
      <c r="A7" s="331"/>
      <c r="B7" s="164" t="s">
        <v>316</v>
      </c>
      <c r="C7" s="281">
        <v>803.3</v>
      </c>
      <c r="D7" s="281">
        <v>803.3</v>
      </c>
      <c r="E7" s="163" t="str">
        <f t="shared" si="3"/>
        <v/>
      </c>
      <c r="F7" s="165" t="str">
        <f t="shared" si="4"/>
        <v>оплачено</v>
      </c>
      <c r="G7" s="165" t="s">
        <v>131</v>
      </c>
      <c r="H7" s="347"/>
      <c r="I7" s="373"/>
      <c r="J7" s="577">
        <f>SUM(J5:J6)</f>
        <v>2379.6400000000003</v>
      </c>
      <c r="K7" s="373"/>
      <c r="L7" s="85"/>
      <c r="M7" s="320"/>
      <c r="N7" s="373"/>
      <c r="O7" s="274"/>
      <c r="P7" s="619" t="s">
        <v>27</v>
      </c>
      <c r="Q7" s="619">
        <v>677</v>
      </c>
      <c r="R7" s="619"/>
      <c r="S7" s="619"/>
      <c r="U7" s="154">
        <v>43898</v>
      </c>
      <c r="V7" s="653" t="s">
        <v>296</v>
      </c>
      <c r="W7" s="653">
        <v>1200</v>
      </c>
      <c r="Y7" s="154">
        <v>43898</v>
      </c>
      <c r="Z7" s="653" t="s">
        <v>296</v>
      </c>
      <c r="AA7" s="653">
        <v>325</v>
      </c>
      <c r="AB7" s="653">
        <v>580.5</v>
      </c>
      <c r="AD7" s="154"/>
      <c r="AE7" s="653" t="s">
        <v>298</v>
      </c>
      <c r="AF7" s="769">
        <f>AG7/2</f>
        <v>289.5</v>
      </c>
      <c r="AG7" s="769">
        <v>579</v>
      </c>
    </row>
    <row r="8" spans="1:33" s="87" customFormat="1" x14ac:dyDescent="0.25">
      <c r="A8" s="331">
        <v>43913</v>
      </c>
      <c r="B8" s="164" t="s">
        <v>265</v>
      </c>
      <c r="C8" s="281">
        <v>258.97000000000003</v>
      </c>
      <c r="D8" s="281">
        <v>258.97000000000003</v>
      </c>
      <c r="E8" s="163" t="str">
        <f t="shared" si="3"/>
        <v/>
      </c>
      <c r="F8" s="165" t="str">
        <f t="shared" si="4"/>
        <v>оплачено</v>
      </c>
      <c r="G8" s="165"/>
      <c r="H8" s="347"/>
      <c r="I8" s="373"/>
      <c r="J8" s="373"/>
      <c r="K8" s="373"/>
      <c r="L8" s="373"/>
      <c r="M8" s="320"/>
      <c r="N8" s="373"/>
      <c r="O8" s="274"/>
      <c r="P8" s="619" t="s">
        <v>311</v>
      </c>
      <c r="Q8" s="619">
        <v>870</v>
      </c>
      <c r="R8" s="619"/>
      <c r="S8" s="619"/>
      <c r="U8" s="154">
        <v>43898</v>
      </c>
      <c r="V8" s="653" t="s">
        <v>298</v>
      </c>
      <c r="W8" s="653">
        <v>1200</v>
      </c>
      <c r="Y8" s="154">
        <v>43898</v>
      </c>
      <c r="Z8" s="653" t="s">
        <v>297</v>
      </c>
      <c r="AA8" s="653">
        <f>AB8/2</f>
        <v>48.5</v>
      </c>
      <c r="AB8" s="653">
        <v>97</v>
      </c>
      <c r="AD8" s="154"/>
      <c r="AE8" s="653" t="s">
        <v>305</v>
      </c>
      <c r="AF8" s="770"/>
      <c r="AG8" s="770"/>
    </row>
    <row r="9" spans="1:33" s="87" customFormat="1" x14ac:dyDescent="0.25">
      <c r="A9" s="331">
        <v>43914</v>
      </c>
      <c r="B9" s="164" t="s">
        <v>263</v>
      </c>
      <c r="C9" s="281">
        <v>132.30000000000001</v>
      </c>
      <c r="D9" s="281">
        <v>132.30000000000001</v>
      </c>
      <c r="E9" s="163" t="str">
        <f t="shared" si="3"/>
        <v/>
      </c>
      <c r="F9" s="165" t="str">
        <f t="shared" si="4"/>
        <v>оплачено</v>
      </c>
      <c r="G9" s="165" t="s">
        <v>317</v>
      </c>
      <c r="H9" s="347"/>
      <c r="I9" s="373"/>
      <c r="J9" s="373"/>
      <c r="K9" s="373"/>
      <c r="L9" s="373"/>
      <c r="M9" s="320"/>
      <c r="N9" s="373"/>
      <c r="O9" s="274"/>
      <c r="P9" s="619" t="s">
        <v>314</v>
      </c>
      <c r="Q9" s="619">
        <v>435</v>
      </c>
      <c r="R9" s="619"/>
      <c r="S9" s="619"/>
      <c r="U9" s="154">
        <v>43901</v>
      </c>
      <c r="V9" s="653" t="s">
        <v>299</v>
      </c>
      <c r="W9" s="59">
        <v>956.8</v>
      </c>
      <c r="Y9" s="154">
        <v>43898</v>
      </c>
      <c r="Z9" s="653" t="s">
        <v>298</v>
      </c>
      <c r="AA9" s="653">
        <f>AB9/2</f>
        <v>102</v>
      </c>
      <c r="AB9" s="653">
        <v>204</v>
      </c>
      <c r="AD9" s="154"/>
      <c r="AE9" s="653" t="s">
        <v>306</v>
      </c>
      <c r="AF9" s="653">
        <f>AG9/2</f>
        <v>59</v>
      </c>
      <c r="AG9" s="653">
        <v>118</v>
      </c>
    </row>
    <row r="10" spans="1:33" s="87" customFormat="1" ht="15" customHeight="1" x14ac:dyDescent="0.25">
      <c r="A10" s="331"/>
      <c r="B10" s="164"/>
      <c r="C10" s="281"/>
      <c r="D10" s="281"/>
      <c r="E10" s="163" t="str">
        <f t="shared" si="3"/>
        <v/>
      </c>
      <c r="F10" s="165" t="str">
        <f t="shared" si="4"/>
        <v/>
      </c>
      <c r="G10" s="165" t="str">
        <f t="shared" ref="G10:G20" si="5">IF(C10=0,"",IF(C10-D10=0,"","нет накладной"))</f>
        <v/>
      </c>
      <c r="H10" s="347"/>
      <c r="I10" s="373"/>
      <c r="J10" s="373"/>
      <c r="K10" s="373"/>
      <c r="L10" s="373"/>
      <c r="M10" s="320"/>
      <c r="N10" s="617"/>
      <c r="O10" s="274"/>
      <c r="P10" s="659" t="s">
        <v>133</v>
      </c>
      <c r="Q10" s="659">
        <f>810+561</f>
        <v>1371</v>
      </c>
      <c r="R10" s="659"/>
      <c r="S10" s="659"/>
      <c r="U10" s="154">
        <v>43901</v>
      </c>
      <c r="V10" s="653" t="s">
        <v>300</v>
      </c>
      <c r="W10" s="59">
        <v>1100</v>
      </c>
      <c r="Y10" s="154">
        <v>43901</v>
      </c>
      <c r="Z10" s="653" t="s">
        <v>299</v>
      </c>
      <c r="AA10" s="653">
        <v>956.8</v>
      </c>
      <c r="AB10" s="653">
        <v>1475</v>
      </c>
      <c r="AD10" s="154"/>
      <c r="AE10" s="653" t="s">
        <v>315</v>
      </c>
      <c r="AF10" s="653">
        <v>718</v>
      </c>
      <c r="AG10" s="653"/>
    </row>
    <row r="11" spans="1:33" ht="18.75" customHeight="1" x14ac:dyDescent="0.25">
      <c r="A11" s="331"/>
      <c r="B11" s="164"/>
      <c r="C11" s="281"/>
      <c r="D11" s="281"/>
      <c r="E11" s="163" t="str">
        <f t="shared" si="3"/>
        <v/>
      </c>
      <c r="F11" s="165" t="str">
        <f t="shared" si="4"/>
        <v/>
      </c>
      <c r="G11" s="165" t="str">
        <f t="shared" si="5"/>
        <v/>
      </c>
      <c r="H11" s="43"/>
      <c r="I11" s="1"/>
      <c r="J11" s="373"/>
      <c r="K11" s="1"/>
      <c r="L11" s="1"/>
      <c r="M11" s="44"/>
      <c r="N11" s="617"/>
      <c r="O11" s="274"/>
      <c r="P11" s="659" t="s">
        <v>123</v>
      </c>
      <c r="Q11" s="659">
        <v>750</v>
      </c>
      <c r="R11" s="659"/>
      <c r="S11" s="659"/>
      <c r="T11" s="373"/>
      <c r="U11" s="373"/>
      <c r="V11" s="654" t="s">
        <v>315</v>
      </c>
      <c r="W11" s="93">
        <v>3000</v>
      </c>
      <c r="X11" s="373"/>
      <c r="Y11" s="154">
        <v>43901</v>
      </c>
      <c r="Z11" s="653" t="s">
        <v>300</v>
      </c>
      <c r="AA11" s="652">
        <f>AB11/2</f>
        <v>769</v>
      </c>
      <c r="AB11" s="653">
        <v>1538</v>
      </c>
      <c r="AD11" s="154"/>
      <c r="AE11" s="653"/>
      <c r="AF11" s="652"/>
      <c r="AG11" s="653"/>
    </row>
    <row r="12" spans="1:33" ht="15.75" customHeight="1" x14ac:dyDescent="0.25">
      <c r="A12" s="331"/>
      <c r="B12" s="164"/>
      <c r="C12" s="281"/>
      <c r="D12" s="281"/>
      <c r="E12" s="163" t="str">
        <f t="shared" si="3"/>
        <v/>
      </c>
      <c r="F12" s="165" t="str">
        <f t="shared" si="4"/>
        <v/>
      </c>
      <c r="G12" s="165" t="str">
        <f t="shared" si="5"/>
        <v/>
      </c>
      <c r="H12" s="43"/>
      <c r="I12" s="1"/>
      <c r="J12" s="373"/>
      <c r="K12" s="1"/>
      <c r="L12" s="1"/>
      <c r="M12" s="44"/>
      <c r="N12" s="617"/>
      <c r="O12" s="467"/>
      <c r="P12" s="468"/>
      <c r="Q12" s="373"/>
      <c r="R12" s="373"/>
      <c r="S12" s="373"/>
      <c r="T12" s="373"/>
      <c r="U12" s="373"/>
      <c r="V12" s="654" t="s">
        <v>132</v>
      </c>
      <c r="W12" s="93">
        <v>1219</v>
      </c>
      <c r="X12" s="373"/>
      <c r="Y12" s="154">
        <v>43902</v>
      </c>
      <c r="Z12" s="653" t="s">
        <v>297</v>
      </c>
      <c r="AA12" s="652">
        <v>250</v>
      </c>
      <c r="AB12" s="653">
        <v>505.5</v>
      </c>
      <c r="AD12" s="154"/>
      <c r="AE12" s="653"/>
      <c r="AF12" s="652"/>
      <c r="AG12" s="653"/>
    </row>
    <row r="13" spans="1:33" ht="14.25" customHeight="1" x14ac:dyDescent="0.25">
      <c r="A13" s="331"/>
      <c r="B13" s="164"/>
      <c r="C13" s="281"/>
      <c r="D13" s="281"/>
      <c r="E13" s="163" t="str">
        <f t="shared" si="3"/>
        <v/>
      </c>
      <c r="F13" s="165" t="str">
        <f t="shared" si="4"/>
        <v/>
      </c>
      <c r="G13" s="165" t="str">
        <f t="shared" si="5"/>
        <v/>
      </c>
      <c r="H13" s="43"/>
      <c r="I13" s="1"/>
      <c r="J13" s="373"/>
      <c r="K13" s="1"/>
      <c r="L13" s="1"/>
      <c r="M13" s="44"/>
      <c r="N13" s="617"/>
      <c r="O13" s="128"/>
      <c r="P13" s="468"/>
      <c r="Q13" s="373"/>
      <c r="R13" s="373"/>
      <c r="S13" s="373"/>
      <c r="T13" s="373"/>
      <c r="U13" s="373"/>
      <c r="V13" s="373"/>
      <c r="W13" s="373">
        <f>SUM(W5:W12)</f>
        <v>10001.5</v>
      </c>
      <c r="X13" s="373"/>
      <c r="Z13" s="654" t="s">
        <v>314</v>
      </c>
      <c r="AA13" s="1">
        <v>435</v>
      </c>
      <c r="AE13" s="654" t="s">
        <v>309</v>
      </c>
      <c r="AF13" s="35">
        <f>SUM(AF5:AF12)</f>
        <v>1918.5</v>
      </c>
    </row>
    <row r="14" spans="1:33" ht="17.25" customHeight="1" x14ac:dyDescent="0.25">
      <c r="A14" s="331"/>
      <c r="B14" s="164"/>
      <c r="C14" s="281"/>
      <c r="D14" s="281"/>
      <c r="E14" s="163" t="str">
        <f t="shared" si="3"/>
        <v/>
      </c>
      <c r="F14" s="165" t="str">
        <f t="shared" si="4"/>
        <v/>
      </c>
      <c r="G14" s="165" t="str">
        <f t="shared" si="5"/>
        <v/>
      </c>
      <c r="H14" s="43"/>
      <c r="I14" s="1"/>
      <c r="J14" s="373"/>
      <c r="K14" s="1"/>
      <c r="L14" s="1"/>
      <c r="M14" s="44"/>
      <c r="N14" s="617"/>
      <c r="O14" s="373"/>
      <c r="P14" s="373"/>
      <c r="Q14" s="373"/>
      <c r="R14" s="373"/>
      <c r="S14" s="373"/>
      <c r="T14" s="373"/>
      <c r="U14" s="87"/>
      <c r="V14" s="87"/>
      <c r="W14" s="373"/>
      <c r="X14" s="373"/>
      <c r="Z14" s="654" t="s">
        <v>132</v>
      </c>
      <c r="AA14" s="373">
        <v>1219</v>
      </c>
    </row>
    <row r="15" spans="1:33" ht="14.25" customHeight="1" x14ac:dyDescent="0.25">
      <c r="A15" s="331"/>
      <c r="B15" s="164"/>
      <c r="C15" s="281"/>
      <c r="D15" s="281"/>
      <c r="E15" s="163" t="str">
        <f t="shared" si="3"/>
        <v/>
      </c>
      <c r="F15" s="165" t="str">
        <f t="shared" si="4"/>
        <v/>
      </c>
      <c r="G15" s="165" t="str">
        <f t="shared" si="5"/>
        <v/>
      </c>
      <c r="H15" s="43"/>
      <c r="I15" s="1"/>
      <c r="J15" s="373"/>
      <c r="K15" s="1"/>
      <c r="L15" s="1"/>
      <c r="M15" s="44"/>
      <c r="N15" s="617"/>
      <c r="O15" s="373"/>
      <c r="P15" s="468"/>
      <c r="Q15" s="373"/>
      <c r="R15" s="373"/>
      <c r="S15" s="373"/>
      <c r="T15" s="373"/>
      <c r="U15" s="87"/>
      <c r="V15" s="87"/>
      <c r="W15" s="373"/>
      <c r="X15" s="373"/>
      <c r="Z15" s="654" t="s">
        <v>315</v>
      </c>
      <c r="AA15" s="373">
        <v>1700</v>
      </c>
      <c r="AF15" s="35">
        <f>AF13+AA16</f>
        <v>8633.7999999999993</v>
      </c>
    </row>
    <row r="16" spans="1:33" x14ac:dyDescent="0.25">
      <c r="A16" s="331"/>
      <c r="B16" s="164"/>
      <c r="C16" s="281"/>
      <c r="D16" s="281"/>
      <c r="E16" s="163" t="str">
        <f t="shared" si="3"/>
        <v/>
      </c>
      <c r="F16" s="165" t="str">
        <f t="shared" si="4"/>
        <v/>
      </c>
      <c r="G16" s="165" t="str">
        <f t="shared" si="5"/>
        <v/>
      </c>
      <c r="H16" s="43"/>
      <c r="I16" s="1"/>
      <c r="J16" s="373"/>
      <c r="K16" s="1"/>
      <c r="L16" s="1"/>
      <c r="M16" s="44"/>
      <c r="N16" s="301"/>
      <c r="O16" s="373"/>
      <c r="P16" s="647"/>
      <c r="Q16" s="647"/>
      <c r="R16" s="373"/>
      <c r="S16" s="87"/>
      <c r="T16" s="87"/>
      <c r="U16" s="87"/>
      <c r="V16" s="87"/>
      <c r="W16" s="87"/>
      <c r="X16" s="87"/>
      <c r="Z16" s="654" t="s">
        <v>309</v>
      </c>
      <c r="AA16" s="35">
        <f>SUM(AA5:AA15)</f>
        <v>6715.3</v>
      </c>
    </row>
    <row r="17" spans="1:26" x14ac:dyDescent="0.25">
      <c r="A17" s="331"/>
      <c r="B17" s="164"/>
      <c r="C17" s="281"/>
      <c r="D17" s="281"/>
      <c r="E17" s="163" t="str">
        <f t="shared" si="3"/>
        <v/>
      </c>
      <c r="F17" s="165" t="str">
        <f t="shared" si="4"/>
        <v/>
      </c>
      <c r="G17" s="165" t="str">
        <f t="shared" si="5"/>
        <v/>
      </c>
      <c r="H17" s="43"/>
      <c r="I17" s="1"/>
      <c r="J17" s="373"/>
      <c r="K17" s="1"/>
      <c r="L17" s="1"/>
      <c r="M17" s="44"/>
      <c r="N17" s="301"/>
      <c r="O17" s="373"/>
      <c r="P17" s="468"/>
      <c r="Q17" s="373"/>
      <c r="R17" s="373"/>
      <c r="S17" s="87"/>
      <c r="T17" s="87"/>
      <c r="U17" s="87"/>
      <c r="V17" s="87"/>
      <c r="W17" s="87"/>
      <c r="X17" s="87"/>
    </row>
    <row r="18" spans="1:26" ht="15.75" customHeight="1" x14ac:dyDescent="0.25">
      <c r="A18" s="331"/>
      <c r="B18" s="164"/>
      <c r="C18" s="281"/>
      <c r="D18" s="281"/>
      <c r="E18" s="163" t="str">
        <f t="shared" si="3"/>
        <v/>
      </c>
      <c r="F18" s="165" t="str">
        <f t="shared" si="4"/>
        <v/>
      </c>
      <c r="G18" s="165" t="str">
        <f t="shared" si="5"/>
        <v/>
      </c>
      <c r="H18" s="43"/>
      <c r="I18" s="1"/>
      <c r="J18" s="373"/>
      <c r="K18" s="1"/>
      <c r="L18" s="1"/>
      <c r="M18" s="44"/>
      <c r="N18" s="301"/>
      <c r="O18" s="153"/>
      <c r="P18" s="468"/>
      <c r="Q18" s="373"/>
      <c r="R18" s="373"/>
      <c r="S18" s="87"/>
      <c r="T18" s="87"/>
      <c r="U18" s="87"/>
      <c r="V18" s="87"/>
      <c r="W18" s="87"/>
      <c r="X18" s="87"/>
    </row>
    <row r="19" spans="1:26" x14ac:dyDescent="0.25">
      <c r="A19" s="331"/>
      <c r="B19" s="164"/>
      <c r="C19" s="281"/>
      <c r="D19" s="281"/>
      <c r="E19" s="163" t="str">
        <f t="shared" si="3"/>
        <v/>
      </c>
      <c r="F19" s="165" t="str">
        <f t="shared" si="4"/>
        <v/>
      </c>
      <c r="G19" s="165" t="str">
        <f t="shared" si="5"/>
        <v/>
      </c>
      <c r="H19" s="43"/>
      <c r="I19" s="1"/>
      <c r="J19" s="373"/>
      <c r="K19" s="1"/>
      <c r="L19" s="1"/>
      <c r="M19" s="44"/>
      <c r="N19" s="301"/>
      <c r="O19" s="128"/>
      <c r="P19" s="468"/>
      <c r="Q19" s="373"/>
      <c r="R19" s="373"/>
      <c r="S19" s="87"/>
      <c r="T19" s="87"/>
      <c r="U19" s="87"/>
      <c r="V19" s="87"/>
      <c r="W19" s="87"/>
      <c r="X19" s="87"/>
    </row>
    <row r="20" spans="1:26" x14ac:dyDescent="0.25">
      <c r="A20" s="331"/>
      <c r="B20" s="164"/>
      <c r="C20" s="281"/>
      <c r="D20" s="281"/>
      <c r="E20" s="163" t="str">
        <f t="shared" si="3"/>
        <v/>
      </c>
      <c r="F20" s="165" t="str">
        <f t="shared" si="4"/>
        <v/>
      </c>
      <c r="G20" s="165" t="str">
        <f t="shared" si="5"/>
        <v/>
      </c>
      <c r="H20" s="43"/>
      <c r="I20" s="1"/>
      <c r="J20" s="373"/>
      <c r="K20" s="1"/>
      <c r="L20" s="1"/>
      <c r="M20" s="44"/>
      <c r="N20" s="153"/>
      <c r="O20" s="128"/>
      <c r="P20" s="468"/>
      <c r="Q20" s="373"/>
      <c r="R20" s="373"/>
      <c r="S20" s="87"/>
      <c r="T20" s="87"/>
      <c r="U20" s="87"/>
      <c r="V20" s="87"/>
      <c r="W20" s="87"/>
      <c r="X20" s="87"/>
    </row>
    <row r="21" spans="1:26" ht="15.75" thickBot="1" x14ac:dyDescent="0.3">
      <c r="A21" s="763" t="s">
        <v>278</v>
      </c>
      <c r="B21" s="764"/>
      <c r="C21" s="365">
        <f>SUM(C5:C20)</f>
        <v>2047.0299999999997</v>
      </c>
      <c r="D21" s="365"/>
      <c r="E21" s="163">
        <f>SUM(E5:E20)</f>
        <v>0</v>
      </c>
      <c r="F21" s="165"/>
      <c r="G21" s="470"/>
      <c r="H21" s="43"/>
      <c r="I21" s="1"/>
      <c r="J21" s="373"/>
      <c r="K21" s="1"/>
      <c r="L21" s="1"/>
      <c r="M21" s="44"/>
      <c r="N21" s="1"/>
      <c r="O21" s="128"/>
      <c r="P21" s="468"/>
      <c r="Q21" s="373"/>
      <c r="R21" s="373"/>
      <c r="S21" s="87"/>
      <c r="T21" s="87"/>
      <c r="U21" s="87"/>
      <c r="V21" s="87"/>
      <c r="W21" s="87"/>
      <c r="X21" s="87"/>
    </row>
    <row r="22" spans="1:26" ht="15.75" thickTop="1" x14ac:dyDescent="0.25">
      <c r="A22" s="358"/>
      <c r="B22" s="359"/>
      <c r="C22" s="360"/>
      <c r="D22" s="360"/>
      <c r="E22" s="361"/>
      <c r="F22" s="359"/>
      <c r="G22" s="392"/>
      <c r="H22" s="723" t="s">
        <v>16</v>
      </c>
      <c r="I22" s="725" t="s">
        <v>17</v>
      </c>
      <c r="J22" s="725" t="s">
        <v>21</v>
      </c>
      <c r="K22" s="725"/>
      <c r="L22" s="726" t="s">
        <v>93</v>
      </c>
      <c r="M22" s="727" t="s">
        <v>95</v>
      </c>
      <c r="N22" s="1"/>
      <c r="O22" s="128"/>
      <c r="P22" s="468"/>
      <c r="Q22" s="373"/>
      <c r="R22" s="373"/>
      <c r="S22" s="87"/>
      <c r="T22" s="87"/>
      <c r="U22" s="87"/>
      <c r="V22" s="87"/>
      <c r="W22" s="87"/>
      <c r="X22" s="87"/>
    </row>
    <row r="23" spans="1:26" ht="24" x14ac:dyDescent="0.25">
      <c r="A23" s="362"/>
      <c r="B23" s="207"/>
      <c r="C23" s="207"/>
      <c r="D23" s="207"/>
      <c r="E23" s="222"/>
      <c r="F23" s="207"/>
      <c r="G23" s="207"/>
      <c r="H23" s="724"/>
      <c r="I23" s="685"/>
      <c r="J23" s="607" t="s">
        <v>21</v>
      </c>
      <c r="K23" s="607" t="s">
        <v>25</v>
      </c>
      <c r="L23" s="686"/>
      <c r="M23" s="687"/>
      <c r="N23" s="1"/>
      <c r="O23" s="1" t="s">
        <v>73</v>
      </c>
      <c r="P23" s="650" t="s">
        <v>290</v>
      </c>
      <c r="Q23" s="373" t="s">
        <v>291</v>
      </c>
      <c r="R23" s="373" t="s">
        <v>292</v>
      </c>
      <c r="S23" s="373" t="s">
        <v>293</v>
      </c>
      <c r="T23" s="87"/>
      <c r="U23" s="87"/>
      <c r="V23" s="87"/>
      <c r="W23" s="87"/>
      <c r="X23" s="87"/>
    </row>
    <row r="24" spans="1:26" x14ac:dyDescent="0.25">
      <c r="A24" s="345"/>
      <c r="B24" s="205"/>
      <c r="C24" s="294"/>
      <c r="D24" s="238"/>
      <c r="E24" s="85"/>
      <c r="F24" s="205"/>
      <c r="G24" s="205"/>
      <c r="H24" s="354" t="s">
        <v>18</v>
      </c>
      <c r="I24" s="95">
        <v>32809.9</v>
      </c>
      <c r="J24" s="95">
        <v>1675.7199999999998</v>
      </c>
      <c r="K24" s="303">
        <v>1047.01</v>
      </c>
      <c r="L24" s="97">
        <v>52152</v>
      </c>
      <c r="M24" s="105">
        <f>82159.79-I24-J24-K24+L24</f>
        <v>98779.159999999989</v>
      </c>
      <c r="N24" s="1" t="s">
        <v>18</v>
      </c>
      <c r="O24" s="1">
        <v>32809.9</v>
      </c>
      <c r="P24" s="85">
        <f>L24/1.8</f>
        <v>28973.333333333332</v>
      </c>
      <c r="Q24" s="148">
        <f>ОБЩЕЕ!K45+ОБЩЕЕ!L45+ОБЩЕЕ!N45</f>
        <v>1492.9766</v>
      </c>
      <c r="R24" s="85"/>
      <c r="S24" s="87"/>
      <c r="T24" s="87"/>
      <c r="U24" s="87"/>
      <c r="V24" s="87"/>
      <c r="W24" s="87"/>
      <c r="X24" s="87"/>
    </row>
    <row r="25" spans="1:26" ht="15.75" customHeight="1" x14ac:dyDescent="0.25">
      <c r="A25" s="346"/>
      <c r="B25" s="205"/>
      <c r="C25" s="205"/>
      <c r="D25" s="279"/>
      <c r="E25" s="373"/>
      <c r="F25" s="85"/>
      <c r="G25" s="373"/>
      <c r="H25" s="354" t="s">
        <v>19</v>
      </c>
      <c r="I25" s="95">
        <v>35259.58</v>
      </c>
      <c r="J25" s="95">
        <v>1363.3000000000002</v>
      </c>
      <c r="K25" s="95">
        <v>1176.05</v>
      </c>
      <c r="L25" s="97">
        <v>40465.950000000004</v>
      </c>
      <c r="M25" s="105">
        <f>M24-I25-J25-K25+L25</f>
        <v>101446.18</v>
      </c>
      <c r="N25" s="1" t="s">
        <v>19</v>
      </c>
      <c r="O25" s="373">
        <v>35259.58</v>
      </c>
      <c r="P25" s="85">
        <f t="shared" ref="P25:P32" si="6">L25/1.8</f>
        <v>22481.083333333336</v>
      </c>
      <c r="Q25" s="148">
        <f>ОБЩЕЕ!R46+ОБЩЕЕ!S46+ОБЩЕЕ!T46</f>
        <v>1724.7972</v>
      </c>
      <c r="R25" s="85">
        <f>3748.79+2500</f>
        <v>6248.79</v>
      </c>
      <c r="S25" s="651">
        <f>O25-P25-Q25-R25</f>
        <v>4804.9094666666651</v>
      </c>
      <c r="T25" s="87"/>
      <c r="U25" s="87"/>
      <c r="V25" s="87"/>
      <c r="W25" s="87"/>
      <c r="X25" s="87"/>
      <c r="Z25" s="1"/>
    </row>
    <row r="26" spans="1:26" x14ac:dyDescent="0.25">
      <c r="A26" s="346"/>
      <c r="B26" s="373"/>
      <c r="C26" s="205"/>
      <c r="D26" s="279"/>
      <c r="E26" s="373"/>
      <c r="F26" s="373"/>
      <c r="G26" s="373"/>
      <c r="H26" s="354" t="s">
        <v>20</v>
      </c>
      <c r="I26" s="304">
        <v>34690.219999999994</v>
      </c>
      <c r="J26" s="95">
        <v>1209.3000000000002</v>
      </c>
      <c r="K26" s="305">
        <v>1213.33</v>
      </c>
      <c r="L26" s="305">
        <v>19306</v>
      </c>
      <c r="M26" s="105">
        <f t="shared" ref="M26:M28" si="7">M25-I26-J26-K26+L26</f>
        <v>83639.329999999987</v>
      </c>
      <c r="N26" s="1" t="s">
        <v>20</v>
      </c>
      <c r="O26" s="1">
        <v>34690.219999999994</v>
      </c>
      <c r="P26" s="85">
        <f t="shared" si="6"/>
        <v>10725.555555555555</v>
      </c>
      <c r="Q26" s="148">
        <f>ОБЩЕЕ!AE46+ОБЩЕЕ!AF46+ОБЩЕЕ!AH45</f>
        <v>1766.1466</v>
      </c>
      <c r="R26" s="85">
        <f>'ОБЩАЯ СВЕРКА'!K65-'ОБЩАЯ СВЕРКА'!K61-'ОБЩАЯ СВЕРКА'!K60+2100+1000</f>
        <v>6848.79</v>
      </c>
      <c r="S26" s="651">
        <f t="shared" ref="S26:S32" si="8">O26-P26-Q26-R26</f>
        <v>15349.727844444438</v>
      </c>
      <c r="T26" s="87"/>
      <c r="U26" s="87"/>
      <c r="V26" s="87"/>
      <c r="W26" s="87"/>
      <c r="X26" s="87"/>
      <c r="Z26" s="1"/>
    </row>
    <row r="27" spans="1:26" x14ac:dyDescent="0.25">
      <c r="A27" s="346"/>
      <c r="B27" s="1"/>
      <c r="C27" s="290"/>
      <c r="D27" s="279"/>
      <c r="E27" s="373"/>
      <c r="F27" s="373"/>
      <c r="G27" s="85"/>
      <c r="H27" s="354" t="s">
        <v>148</v>
      </c>
      <c r="I27" s="305">
        <v>30955.479999999996</v>
      </c>
      <c r="J27" s="306">
        <v>3184.46</v>
      </c>
      <c r="K27" s="306">
        <v>1035.6600000000001</v>
      </c>
      <c r="L27" s="305">
        <v>59195.5</v>
      </c>
      <c r="M27" s="105">
        <f t="shared" si="7"/>
        <v>107659.22999999998</v>
      </c>
      <c r="N27" s="1" t="s">
        <v>148</v>
      </c>
      <c r="O27" s="1">
        <v>30955.479999999996</v>
      </c>
      <c r="P27" s="85">
        <f t="shared" si="6"/>
        <v>32886.388888888891</v>
      </c>
      <c r="Q27" s="148">
        <f>ОБЩЕЕ!AL39+ОБЩЕЕ!AL40+ОБЩЕЕ!AL42+ОБЩЕЕ!AM42+ОБЩЕЕ!AM41+ОБЩЕЕ!AM40+ОБЩЕЕ!AM39+ОБЩЕЕ!AN39+ОБЩЕЕ!AN40+ОБЩЕЕ!AN42</f>
        <v>1326.7386000000001</v>
      </c>
      <c r="R27" s="85">
        <f>'ОБЩАЯ СВЕРКА'!K100-'ОБЩАЯ СВЕРКА'!K96-'ОБЩАЯ СВЕРКА'!K95+1300</f>
        <v>4951.2699999999995</v>
      </c>
      <c r="S27" s="651">
        <f t="shared" si="8"/>
        <v>-8208.9174888888938</v>
      </c>
      <c r="T27" s="87"/>
      <c r="U27" s="87"/>
      <c r="V27" s="87"/>
      <c r="W27" s="87"/>
      <c r="X27" s="87"/>
      <c r="Z27" s="1"/>
    </row>
    <row r="28" spans="1:26" x14ac:dyDescent="0.25">
      <c r="A28" s="346"/>
      <c r="B28" s="205"/>
      <c r="C28" s="1"/>
      <c r="D28" s="279"/>
      <c r="E28" s="373"/>
      <c r="F28" s="373"/>
      <c r="G28" s="373"/>
      <c r="H28" s="355" t="s">
        <v>162</v>
      </c>
      <c r="I28" s="306">
        <v>31239.439999999995</v>
      </c>
      <c r="J28" s="305">
        <v>2443.4</v>
      </c>
      <c r="K28" s="306">
        <v>1496.52</v>
      </c>
      <c r="L28" s="305">
        <v>40132</v>
      </c>
      <c r="M28" s="105">
        <f t="shared" si="7"/>
        <v>112611.86999999998</v>
      </c>
      <c r="N28" s="1" t="s">
        <v>162</v>
      </c>
      <c r="O28" s="1">
        <v>31239.439999999995</v>
      </c>
      <c r="P28" s="85">
        <f t="shared" si="6"/>
        <v>22295.555555555555</v>
      </c>
      <c r="Q28" s="148">
        <f>ОБЩЕЕ!AS46+ОБЩЕЕ!AU45+ОБЩЕЕ!AU45</f>
        <v>1192.5534</v>
      </c>
      <c r="R28" s="85">
        <f>'ОБЩАЯ СВЕРКА'!K138+1900</f>
        <v>5448.89</v>
      </c>
      <c r="S28" s="651">
        <f t="shared" si="8"/>
        <v>2302.4410444444402</v>
      </c>
      <c r="T28" s="87"/>
      <c r="U28" s="87"/>
      <c r="V28" s="87"/>
      <c r="W28" s="87"/>
      <c r="X28" s="87"/>
      <c r="Z28" s="1"/>
    </row>
    <row r="29" spans="1:26" x14ac:dyDescent="0.25">
      <c r="A29" s="346"/>
      <c r="B29" s="205"/>
      <c r="C29" s="1"/>
      <c r="D29" s="279"/>
      <c r="E29" s="373"/>
      <c r="F29" s="373"/>
      <c r="G29" s="373"/>
      <c r="H29" s="395" t="s">
        <v>163</v>
      </c>
      <c r="I29" s="396">
        <v>28986.99</v>
      </c>
      <c r="J29" s="449">
        <v>6271.4999999999991</v>
      </c>
      <c r="K29" s="450">
        <v>1046.56</v>
      </c>
      <c r="L29" s="450">
        <v>22678.1</v>
      </c>
      <c r="M29" s="105">
        <f>M28-I29-J29-K29+L29</f>
        <v>98984.919999999984</v>
      </c>
      <c r="N29" s="1" t="s">
        <v>163</v>
      </c>
      <c r="O29" s="1">
        <v>28986.99</v>
      </c>
      <c r="P29" s="85">
        <f t="shared" si="6"/>
        <v>12598.944444444443</v>
      </c>
      <c r="Q29" s="148">
        <f>ОБЩЕЕ!AY46+ОБЩЕЕ!AZ46+ОБЩЕЕ!BA46+ОБЩЕЕ!BB46</f>
        <v>1781.1296</v>
      </c>
      <c r="R29" s="85">
        <f>'ОБЩАЯ СВЕРКА'!J188-'ОБЩАЯ СВЕРКА'!K183</f>
        <v>6400.4000000000005</v>
      </c>
      <c r="S29" s="651">
        <f t="shared" si="8"/>
        <v>8206.5159555555583</v>
      </c>
      <c r="T29" s="87"/>
      <c r="U29" s="87"/>
      <c r="V29" s="87"/>
      <c r="W29" s="87"/>
      <c r="X29" s="87"/>
      <c r="Z29" s="1"/>
    </row>
    <row r="30" spans="1:26" x14ac:dyDescent="0.25">
      <c r="A30" s="346"/>
      <c r="B30" s="205"/>
      <c r="C30" s="1"/>
      <c r="D30" s="279"/>
      <c r="E30" s="373"/>
      <c r="F30" s="373"/>
      <c r="G30" s="373"/>
      <c r="H30" s="395" t="s">
        <v>192</v>
      </c>
      <c r="I30" s="396">
        <v>31654.69</v>
      </c>
      <c r="J30" s="449">
        <v>7124.02</v>
      </c>
      <c r="K30" s="450">
        <v>1268.5600000000002</v>
      </c>
      <c r="L30" s="450">
        <v>32888</v>
      </c>
      <c r="M30" s="105">
        <f>M29-I30-J30-K30+L30</f>
        <v>91825.64999999998</v>
      </c>
      <c r="N30" s="1" t="s">
        <v>192</v>
      </c>
      <c r="O30" s="1">
        <v>31654.69</v>
      </c>
      <c r="P30" s="85">
        <f t="shared" si="6"/>
        <v>18271.111111111109</v>
      </c>
      <c r="Q30" s="148">
        <f>'ЗП ДЕКАБРЬ'!D49+'ЗП ДЕКАБРЬ'!E49</f>
        <v>1764.87</v>
      </c>
      <c r="R30" s="85">
        <f>'сверка ДЕКАБРЬ'!J41-'сверка ДЕКАБРЬ'!K36</f>
        <v>5836.0700000000006</v>
      </c>
      <c r="S30" s="651">
        <f t="shared" si="8"/>
        <v>5782.6388888888896</v>
      </c>
      <c r="T30" s="87"/>
      <c r="U30" s="87"/>
      <c r="V30" s="87"/>
      <c r="W30" s="87"/>
      <c r="X30" s="87"/>
      <c r="Z30" s="373"/>
    </row>
    <row r="31" spans="1:26" x14ac:dyDescent="0.25">
      <c r="A31" s="346"/>
      <c r="B31" s="205"/>
      <c r="C31" s="1"/>
      <c r="D31" s="279"/>
      <c r="E31" s="373"/>
      <c r="F31" s="373"/>
      <c r="G31" s="373"/>
      <c r="H31" s="395" t="s">
        <v>199</v>
      </c>
      <c r="I31" s="396">
        <v>28891.4</v>
      </c>
      <c r="J31" s="449">
        <v>8339.34</v>
      </c>
      <c r="K31" s="450">
        <v>1310.53</v>
      </c>
      <c r="L31" s="450">
        <v>36419</v>
      </c>
      <c r="M31" s="105">
        <f>M30-I31-J31-K31+L31</f>
        <v>89703.379999999976</v>
      </c>
      <c r="N31" s="1" t="s">
        <v>199</v>
      </c>
      <c r="O31" s="1">
        <v>28891.4</v>
      </c>
      <c r="P31" s="85">
        <f t="shared" si="6"/>
        <v>20232.777777777777</v>
      </c>
      <c r="Q31" s="148">
        <f>'ЗП ЯНВАРЬ'!D45+'ЗП ЯНВАРЬ'!E45</f>
        <v>1618.68</v>
      </c>
      <c r="R31" s="85">
        <f>'сверка ЯНВАРЬ'!J43-'сверка ЯНВАРЬ'!K38</f>
        <v>6989.58</v>
      </c>
      <c r="S31" s="651">
        <f t="shared" si="8"/>
        <v>50.362222222223863</v>
      </c>
      <c r="T31" s="87"/>
      <c r="U31" s="87"/>
      <c r="V31" s="87"/>
      <c r="W31" s="87"/>
      <c r="X31" s="87"/>
      <c r="Z31" s="373"/>
    </row>
    <row r="32" spans="1:26" ht="12.75" customHeight="1" thickBot="1" x14ac:dyDescent="0.3">
      <c r="A32" s="346"/>
      <c r="B32" s="205"/>
      <c r="C32" s="1"/>
      <c r="D32" s="279"/>
      <c r="E32" s="373"/>
      <c r="F32" s="373"/>
      <c r="G32" s="373"/>
      <c r="H32" s="395" t="s">
        <v>209</v>
      </c>
      <c r="I32" s="396">
        <v>28339.37</v>
      </c>
      <c r="J32" s="449">
        <v>1758.9</v>
      </c>
      <c r="K32" s="450">
        <v>1141.96</v>
      </c>
      <c r="L32" s="450">
        <v>35862.5</v>
      </c>
      <c r="M32" s="105">
        <f>M31-I32-J32-K32+L32</f>
        <v>94325.64999999998</v>
      </c>
      <c r="N32" s="1" t="s">
        <v>209</v>
      </c>
      <c r="O32" s="1">
        <v>28339.37</v>
      </c>
      <c r="P32" s="85">
        <f t="shared" si="6"/>
        <v>19923.611111111109</v>
      </c>
      <c r="Q32" s="148">
        <f>'ЗП ФЕВРАЛЬ'!D44+'ЗП ФЕВРАЛЬ'!E44</f>
        <v>1523.3</v>
      </c>
      <c r="R32" s="85">
        <f>ФЕВРАЛЬ!J46-ФЕВРАЛЬ!K41</f>
        <v>5927.73</v>
      </c>
      <c r="S32" s="651">
        <f t="shared" si="8"/>
        <v>964.72888888888974</v>
      </c>
      <c r="T32" s="87"/>
      <c r="U32" s="87"/>
      <c r="V32" s="87"/>
      <c r="W32" s="87"/>
      <c r="X32" s="87"/>
      <c r="Y32" s="373"/>
      <c r="Z32" s="373"/>
    </row>
    <row r="33" spans="1:26" ht="12.75" customHeight="1" thickTop="1" x14ac:dyDescent="0.25">
      <c r="A33" s="346"/>
      <c r="B33" s="205"/>
      <c r="C33" s="1"/>
      <c r="D33" s="279"/>
      <c r="E33" s="85"/>
      <c r="F33" s="373"/>
      <c r="G33" s="373"/>
      <c r="H33" s="710" t="s">
        <v>36</v>
      </c>
      <c r="I33" s="712" t="s">
        <v>178</v>
      </c>
      <c r="J33" s="713"/>
      <c r="K33" s="714"/>
      <c r="L33" s="718" t="s">
        <v>159</v>
      </c>
      <c r="M33" s="719"/>
      <c r="N33" s="1"/>
      <c r="P33" s="85"/>
      <c r="Q33" s="373"/>
      <c r="R33" s="373"/>
      <c r="S33" s="87"/>
      <c r="T33" s="87"/>
      <c r="U33" s="87"/>
      <c r="V33" s="87"/>
      <c r="W33" s="87"/>
      <c r="X33" s="87"/>
      <c r="Y33" s="373"/>
      <c r="Z33" s="373"/>
    </row>
    <row r="34" spans="1:26" ht="13.5" customHeight="1" x14ac:dyDescent="0.25">
      <c r="A34" s="346"/>
      <c r="B34" s="205"/>
      <c r="C34" s="290"/>
      <c r="D34" s="279"/>
      <c r="E34" s="290"/>
      <c r="F34" s="373"/>
      <c r="G34" s="394"/>
      <c r="H34" s="711"/>
      <c r="I34" s="715"/>
      <c r="J34" s="716"/>
      <c r="K34" s="717"/>
      <c r="L34" s="720"/>
      <c r="M34" s="721"/>
      <c r="N34" s="1"/>
      <c r="P34" s="85"/>
      <c r="Q34" s="373"/>
      <c r="R34" s="373"/>
      <c r="S34" s="87"/>
      <c r="T34" s="87"/>
      <c r="U34" s="300"/>
      <c r="V34" s="300"/>
      <c r="W34" s="87"/>
      <c r="X34" s="87"/>
      <c r="Y34" s="373"/>
      <c r="Z34" s="373"/>
    </row>
    <row r="35" spans="1:26" ht="15.75" customHeight="1" x14ac:dyDescent="0.25">
      <c r="A35" s="346"/>
      <c r="B35" s="205"/>
      <c r="C35" s="205"/>
      <c r="D35" s="279"/>
      <c r="E35" s="205"/>
      <c r="F35" s="373"/>
      <c r="G35" s="394"/>
      <c r="H35" s="596" t="s">
        <v>259</v>
      </c>
      <c r="I35" s="757" t="s">
        <v>47</v>
      </c>
      <c r="J35" s="757"/>
      <c r="K35" s="618">
        <v>328.13</v>
      </c>
      <c r="L35" s="288">
        <v>43905</v>
      </c>
      <c r="M35" s="44" t="s">
        <v>246</v>
      </c>
      <c r="N35" s="153"/>
      <c r="P35" s="373"/>
      <c r="Q35" s="373"/>
      <c r="R35" s="373"/>
      <c r="S35" s="87"/>
      <c r="T35" s="87"/>
      <c r="U35" s="300"/>
      <c r="V35" s="300"/>
      <c r="W35" s="87"/>
      <c r="X35" s="87"/>
      <c r="Y35" s="373"/>
      <c r="Z35" s="373"/>
    </row>
    <row r="36" spans="1:26" x14ac:dyDescent="0.25">
      <c r="A36" s="346"/>
      <c r="B36" s="373"/>
      <c r="C36" s="280"/>
      <c r="D36" s="279"/>
      <c r="E36" s="280"/>
      <c r="F36" s="373"/>
      <c r="G36" s="373"/>
      <c r="H36" s="596" t="s">
        <v>259</v>
      </c>
      <c r="I36" s="758" t="s">
        <v>51</v>
      </c>
      <c r="J36" s="758"/>
      <c r="K36" s="619">
        <v>71.83</v>
      </c>
      <c r="L36" s="288">
        <v>43905</v>
      </c>
      <c r="M36" s="44" t="s">
        <v>246</v>
      </c>
      <c r="N36" s="1"/>
      <c r="P36" s="615"/>
      <c r="Q36" s="614"/>
      <c r="R36" s="614"/>
      <c r="S36" s="373"/>
      <c r="T36" s="300"/>
      <c r="U36" s="300"/>
      <c r="V36" s="300"/>
      <c r="W36" s="300"/>
      <c r="X36" s="300"/>
      <c r="Y36" s="373"/>
    </row>
    <row r="37" spans="1:26" x14ac:dyDescent="0.25">
      <c r="A37" s="347"/>
      <c r="B37" s="373"/>
      <c r="C37" s="373"/>
      <c r="D37" s="279"/>
      <c r="E37" s="205"/>
      <c r="F37" s="373"/>
      <c r="G37" s="373"/>
      <c r="H37" s="596" t="s">
        <v>259</v>
      </c>
      <c r="I37" s="758" t="s">
        <v>52</v>
      </c>
      <c r="J37" s="758"/>
      <c r="K37" s="619">
        <v>5.63</v>
      </c>
      <c r="L37" s="288">
        <v>43905</v>
      </c>
      <c r="M37" s="44" t="s">
        <v>246</v>
      </c>
      <c r="N37" s="1"/>
      <c r="P37" s="533"/>
      <c r="Q37" s="614"/>
      <c r="R37" s="614"/>
      <c r="S37" s="373"/>
      <c r="T37" s="300"/>
      <c r="U37" s="373"/>
      <c r="V37" s="373"/>
      <c r="W37" s="300"/>
      <c r="X37" s="300"/>
      <c r="Y37" s="373"/>
    </row>
    <row r="38" spans="1:26" x14ac:dyDescent="0.25">
      <c r="A38" s="347"/>
      <c r="B38" s="373"/>
      <c r="C38" s="373"/>
      <c r="D38" s="279"/>
      <c r="E38" s="373"/>
      <c r="F38" s="373"/>
      <c r="G38" s="373"/>
      <c r="H38" s="596" t="s">
        <v>259</v>
      </c>
      <c r="I38" s="758" t="s">
        <v>49</v>
      </c>
      <c r="J38" s="758"/>
      <c r="K38" s="619">
        <v>257</v>
      </c>
      <c r="L38" s="288">
        <v>43910</v>
      </c>
      <c r="M38" s="44" t="s">
        <v>288</v>
      </c>
      <c r="N38" s="153"/>
      <c r="P38" s="454"/>
      <c r="Q38" s="614"/>
      <c r="R38" s="614"/>
      <c r="S38" s="373"/>
      <c r="T38" s="300"/>
      <c r="U38" s="300"/>
      <c r="V38" s="300"/>
      <c r="W38" s="300"/>
      <c r="X38" s="300"/>
      <c r="Y38" s="373"/>
    </row>
    <row r="39" spans="1:26" x14ac:dyDescent="0.25">
      <c r="A39" s="347"/>
      <c r="B39" s="373"/>
      <c r="C39" s="373"/>
      <c r="D39" s="279"/>
      <c r="E39" s="373"/>
      <c r="F39" s="373"/>
      <c r="G39" s="373"/>
      <c r="H39" s="596" t="s">
        <v>259</v>
      </c>
      <c r="I39" s="759" t="s">
        <v>59</v>
      </c>
      <c r="J39" s="759"/>
      <c r="K39" s="480">
        <v>654.32000000000005</v>
      </c>
      <c r="L39" s="308" t="s">
        <v>177</v>
      </c>
      <c r="M39" s="44" t="s">
        <v>246</v>
      </c>
      <c r="N39" s="1"/>
      <c r="P39" s="454"/>
      <c r="Q39" s="614"/>
      <c r="R39" s="614"/>
      <c r="S39" s="373"/>
      <c r="T39" s="373"/>
      <c r="U39" s="300"/>
      <c r="V39" s="300"/>
      <c r="W39" s="373"/>
      <c r="X39" s="373"/>
      <c r="Y39" s="373"/>
    </row>
    <row r="40" spans="1:26" x14ac:dyDescent="0.25">
      <c r="A40" s="347"/>
      <c r="B40" s="205"/>
      <c r="C40" s="205"/>
      <c r="D40" s="279"/>
      <c r="E40" s="205"/>
      <c r="F40" s="373"/>
      <c r="G40" s="373"/>
      <c r="H40" s="596" t="s">
        <v>259</v>
      </c>
      <c r="I40" s="760" t="s">
        <v>68</v>
      </c>
      <c r="J40" s="761"/>
      <c r="K40" s="619">
        <v>324.85000000000002</v>
      </c>
      <c r="L40" s="288">
        <v>43910</v>
      </c>
      <c r="M40" s="44" t="s">
        <v>246</v>
      </c>
      <c r="N40" s="1"/>
      <c r="P40" s="373"/>
      <c r="Q40" s="614"/>
      <c r="R40" s="614"/>
      <c r="S40" s="373"/>
      <c r="T40" s="300"/>
      <c r="U40" s="300"/>
      <c r="V40" s="300"/>
      <c r="W40" s="300"/>
      <c r="X40" s="300"/>
      <c r="Y40" s="373"/>
    </row>
    <row r="41" spans="1:26" x14ac:dyDescent="0.25">
      <c r="A41" s="347"/>
      <c r="B41" s="205"/>
      <c r="C41" s="373"/>
      <c r="D41" s="279"/>
      <c r="E41" s="205"/>
      <c r="F41" s="373"/>
      <c r="G41" s="373"/>
      <c r="H41" s="596" t="s">
        <v>259</v>
      </c>
      <c r="I41" s="620" t="s">
        <v>174</v>
      </c>
      <c r="J41" s="621"/>
      <c r="K41" s="5">
        <v>518.58999999999992</v>
      </c>
      <c r="L41" s="288">
        <v>43905</v>
      </c>
      <c r="M41" s="44" t="s">
        <v>246</v>
      </c>
      <c r="N41" s="12"/>
      <c r="P41" s="373"/>
      <c r="Q41" s="372"/>
      <c r="R41" s="372"/>
      <c r="S41" s="373"/>
      <c r="T41" s="300"/>
      <c r="U41" s="300"/>
      <c r="V41" s="300"/>
      <c r="W41" s="300"/>
      <c r="X41" s="300"/>
      <c r="Y41" s="373"/>
    </row>
    <row r="42" spans="1:26" x14ac:dyDescent="0.25">
      <c r="A42" s="347"/>
      <c r="B42" s="205"/>
      <c r="C42" s="373"/>
      <c r="D42" s="279"/>
      <c r="E42" s="205"/>
      <c r="F42" s="373"/>
      <c r="G42" s="373"/>
      <c r="H42" s="357" t="s">
        <v>267</v>
      </c>
      <c r="I42" s="620" t="s">
        <v>176</v>
      </c>
      <c r="J42" s="621"/>
      <c r="K42" s="619"/>
      <c r="L42" s="288">
        <v>43910</v>
      </c>
      <c r="M42" s="44" t="s">
        <v>246</v>
      </c>
      <c r="N42" s="1"/>
      <c r="O42" s="12"/>
      <c r="P42" s="85"/>
      <c r="Q42" s="372"/>
      <c r="R42" s="372"/>
      <c r="S42" s="373"/>
      <c r="T42" s="300"/>
      <c r="U42" s="300"/>
      <c r="V42" s="300"/>
      <c r="W42" s="300"/>
      <c r="X42" s="300"/>
      <c r="Y42" s="373"/>
    </row>
    <row r="43" spans="1:26" x14ac:dyDescent="0.25">
      <c r="A43" s="347"/>
      <c r="B43" s="205"/>
      <c r="C43" s="373"/>
      <c r="D43" s="279"/>
      <c r="E43" s="238"/>
      <c r="F43" s="373"/>
      <c r="G43" s="373"/>
      <c r="H43" s="596" t="s">
        <v>259</v>
      </c>
      <c r="I43" s="760" t="s">
        <v>81</v>
      </c>
      <c r="J43" s="761"/>
      <c r="K43" s="619">
        <v>1575.56</v>
      </c>
      <c r="L43" s="288">
        <v>43905</v>
      </c>
      <c r="M43" s="44" t="s">
        <v>246</v>
      </c>
      <c r="N43" s="1"/>
      <c r="P43" s="85"/>
      <c r="Q43" s="614"/>
      <c r="R43" s="614"/>
      <c r="S43" s="373"/>
      <c r="T43" s="300"/>
      <c r="U43" s="300"/>
      <c r="V43" s="300"/>
      <c r="W43" s="300"/>
      <c r="X43" s="300"/>
      <c r="Y43" s="373"/>
    </row>
    <row r="44" spans="1:26" x14ac:dyDescent="0.25">
      <c r="A44" s="347"/>
      <c r="B44" s="205"/>
      <c r="C44" s="373"/>
      <c r="D44" s="279"/>
      <c r="E44" s="238"/>
      <c r="F44" s="373"/>
      <c r="G44" s="373"/>
      <c r="H44" s="596" t="s">
        <v>259</v>
      </c>
      <c r="I44" s="760" t="s">
        <v>181</v>
      </c>
      <c r="J44" s="761"/>
      <c r="K44" s="619">
        <v>10</v>
      </c>
      <c r="L44" s="288">
        <v>43905</v>
      </c>
      <c r="M44" s="44" t="s">
        <v>246</v>
      </c>
      <c r="N44" s="1"/>
      <c r="P44" s="85"/>
      <c r="Q44" s="372"/>
      <c r="R44" s="373"/>
      <c r="S44" s="373"/>
      <c r="T44" s="300"/>
      <c r="U44" s="373"/>
      <c r="V44" s="373"/>
      <c r="W44" s="300"/>
      <c r="X44" s="300"/>
      <c r="Y44" s="373"/>
    </row>
    <row r="45" spans="1:26" x14ac:dyDescent="0.25">
      <c r="A45" s="347"/>
      <c r="B45" s="205"/>
      <c r="C45" s="373"/>
      <c r="D45" s="279"/>
      <c r="E45" s="238"/>
      <c r="F45" s="373"/>
      <c r="G45" s="373"/>
      <c r="H45" s="596" t="s">
        <v>259</v>
      </c>
      <c r="I45" s="677" t="s">
        <v>61</v>
      </c>
      <c r="J45" s="677"/>
      <c r="K45" s="94">
        <f>J5+J6</f>
        <v>2379.6400000000003</v>
      </c>
      <c r="L45" s="288">
        <v>43910</v>
      </c>
      <c r="M45" s="44" t="s">
        <v>246</v>
      </c>
      <c r="N45" s="1"/>
      <c r="P45" s="373"/>
      <c r="Q45" s="372"/>
      <c r="R45" s="372"/>
      <c r="S45" s="373"/>
      <c r="T45" s="300"/>
      <c r="U45" s="373"/>
      <c r="V45" s="373"/>
      <c r="W45" s="300"/>
      <c r="X45" s="300"/>
      <c r="Y45" s="373"/>
    </row>
    <row r="46" spans="1:26" ht="15.75" thickBot="1" x14ac:dyDescent="0.3">
      <c r="A46" s="348"/>
      <c r="B46" s="337"/>
      <c r="C46" s="338"/>
      <c r="D46" s="349"/>
      <c r="E46" s="337"/>
      <c r="F46" s="338"/>
      <c r="G46" s="338"/>
      <c r="H46" s="353"/>
      <c r="I46" s="368" t="s">
        <v>179</v>
      </c>
      <c r="J46" s="368">
        <f>SUM(K35:K45)</f>
        <v>6125.5499999999993</v>
      </c>
      <c r="K46" s="730" t="s">
        <v>180</v>
      </c>
      <c r="L46" s="730"/>
      <c r="M46" s="542"/>
      <c r="N46" s="1"/>
      <c r="P46" s="373"/>
      <c r="Q46" s="373"/>
      <c r="R46" s="373"/>
      <c r="S46" s="373"/>
      <c r="T46" s="373"/>
      <c r="U46" s="373"/>
      <c r="V46" s="373"/>
      <c r="W46" s="373"/>
      <c r="X46" s="373"/>
      <c r="Y46" s="373"/>
    </row>
    <row r="47" spans="1:26" ht="15.75" thickTop="1" x14ac:dyDescent="0.25">
      <c r="A47" s="373"/>
      <c r="B47" s="373"/>
      <c r="C47" s="373"/>
      <c r="D47" s="373"/>
      <c r="E47" s="373"/>
      <c r="F47" s="373"/>
      <c r="G47" s="373"/>
      <c r="H47" s="744"/>
      <c r="I47" s="744"/>
      <c r="J47" s="744"/>
      <c r="K47" s="744"/>
      <c r="L47" s="373"/>
      <c r="M47" s="460"/>
      <c r="N47" s="1"/>
      <c r="P47" s="373"/>
      <c r="Q47" s="373"/>
      <c r="R47" s="373"/>
      <c r="S47" s="373"/>
      <c r="T47" s="373"/>
      <c r="U47" s="373"/>
      <c r="V47" s="373"/>
      <c r="W47" s="373"/>
      <c r="X47" s="373"/>
      <c r="Y47" s="373"/>
    </row>
    <row r="48" spans="1:26" ht="15" customHeight="1" x14ac:dyDescent="0.25">
      <c r="A48" s="742" t="s">
        <v>285</v>
      </c>
      <c r="B48" s="742"/>
      <c r="C48" s="742"/>
      <c r="D48" s="742"/>
      <c r="E48" s="742"/>
      <c r="F48" s="742"/>
      <c r="G48" s="742"/>
      <c r="H48" s="742"/>
      <c r="I48" s="742"/>
      <c r="J48" s="742"/>
      <c r="K48" s="742"/>
      <c r="L48" s="742"/>
      <c r="M48" s="742"/>
      <c r="N48" s="1"/>
      <c r="P48" s="1"/>
      <c r="Q48" s="373"/>
      <c r="R48" s="373"/>
      <c r="S48" s="373"/>
      <c r="T48" s="373"/>
      <c r="U48" s="373"/>
      <c r="V48" s="373"/>
      <c r="W48" s="373"/>
      <c r="X48" s="373"/>
    </row>
    <row r="49" spans="1:24" ht="15.75" customHeight="1" thickBot="1" x14ac:dyDescent="0.3">
      <c r="A49" s="743"/>
      <c r="B49" s="743"/>
      <c r="C49" s="743"/>
      <c r="D49" s="743"/>
      <c r="E49" s="743"/>
      <c r="F49" s="743"/>
      <c r="G49" s="743"/>
      <c r="H49" s="743"/>
      <c r="I49" s="743"/>
      <c r="J49" s="743"/>
      <c r="K49" s="743"/>
      <c r="L49" s="743"/>
      <c r="M49" s="743"/>
      <c r="N49" s="1"/>
      <c r="P49" s="1"/>
      <c r="Q49" s="373"/>
      <c r="R49" s="372"/>
      <c r="S49" s="614"/>
      <c r="T49" s="373"/>
      <c r="U49" s="373"/>
      <c r="V49" s="373"/>
      <c r="W49" s="373"/>
      <c r="X49" s="373"/>
    </row>
    <row r="50" spans="1:24" ht="15.75" thickTop="1" x14ac:dyDescent="0.25">
      <c r="A50" s="739" t="s">
        <v>28</v>
      </c>
      <c r="B50" s="682"/>
      <c r="C50" s="682"/>
      <c r="D50" s="682"/>
      <c r="E50" s="682"/>
      <c r="F50" s="682"/>
      <c r="G50" s="683"/>
      <c r="H50" s="740" t="s">
        <v>287</v>
      </c>
      <c r="I50" s="738"/>
      <c r="J50" s="738"/>
      <c r="K50" s="738"/>
      <c r="L50" s="738"/>
      <c r="M50" s="741"/>
      <c r="N50" s="1"/>
      <c r="S50" s="280"/>
      <c r="T50" s="373"/>
      <c r="U50" s="373"/>
      <c r="V50" s="373"/>
      <c r="W50" s="373"/>
      <c r="X50" s="373"/>
    </row>
    <row r="51" spans="1:24" x14ac:dyDescent="0.25">
      <c r="A51" s="330" t="s">
        <v>2</v>
      </c>
      <c r="B51" s="611" t="s">
        <v>34</v>
      </c>
      <c r="C51" s="36" t="s">
        <v>35</v>
      </c>
      <c r="D51" s="36" t="s">
        <v>38</v>
      </c>
      <c r="E51" s="36" t="s">
        <v>42</v>
      </c>
      <c r="F51" s="611" t="s">
        <v>36</v>
      </c>
      <c r="G51" s="101" t="s">
        <v>173</v>
      </c>
      <c r="H51" s="43"/>
      <c r="I51" s="606" t="s">
        <v>35</v>
      </c>
      <c r="J51" s="606" t="s">
        <v>38</v>
      </c>
      <c r="K51" s="606" t="s">
        <v>42</v>
      </c>
      <c r="L51" s="269" t="s">
        <v>44</v>
      </c>
      <c r="M51" s="461"/>
      <c r="N51" s="1"/>
      <c r="S51" s="280"/>
      <c r="T51" s="85"/>
      <c r="U51" s="373"/>
      <c r="V51" s="373"/>
      <c r="W51" s="373"/>
      <c r="X51" s="373"/>
    </row>
    <row r="52" spans="1:24" x14ac:dyDescent="0.25">
      <c r="A52" s="331">
        <v>43888</v>
      </c>
      <c r="B52" s="164" t="s">
        <v>282</v>
      </c>
      <c r="C52" s="281">
        <v>1008.8</v>
      </c>
      <c r="D52" s="281"/>
      <c r="E52" s="656">
        <f t="shared" ref="E52" si="9">IF(C52-D52=0,"",C52-D52)</f>
        <v>1008.8</v>
      </c>
      <c r="F52" s="165" t="str">
        <f t="shared" ref="F52" si="10">IF(C52=0,"",IF(C52-D52=0,"оплачено","ОЖИДАЕТСЯ оплата"))</f>
        <v>ОЖИДАЕТСЯ оплата</v>
      </c>
      <c r="G52" s="165"/>
      <c r="H52" s="43"/>
      <c r="I52" s="613">
        <v>500.24</v>
      </c>
      <c r="J52" s="613">
        <f>150+350.24</f>
        <v>500.24</v>
      </c>
      <c r="K52" s="163">
        <f t="shared" ref="K52" si="11">I52-J52</f>
        <v>0</v>
      </c>
      <c r="L52" s="3">
        <v>43914</v>
      </c>
      <c r="M52" s="451"/>
      <c r="N52" s="1"/>
      <c r="S52" s="373"/>
      <c r="T52" s="373"/>
      <c r="W52" s="373"/>
      <c r="X52" s="373"/>
    </row>
    <row r="53" spans="1:24" x14ac:dyDescent="0.25">
      <c r="A53" s="331">
        <v>43894</v>
      </c>
      <c r="B53" s="164" t="s">
        <v>205</v>
      </c>
      <c r="C53" s="281">
        <v>236.18</v>
      </c>
      <c r="D53" s="281">
        <v>236.18</v>
      </c>
      <c r="E53" s="656" t="str">
        <f t="shared" ref="E53:E67" si="12">IF(C53-D53=0,"",C53-D53)</f>
        <v/>
      </c>
      <c r="F53" s="165" t="str">
        <f t="shared" ref="F53:F67" si="13">IF(C53=0,"",IF(C53-D53=0,"оплачено","ОЖИДАЕТСЯ оплата"))</f>
        <v>оплачено</v>
      </c>
      <c r="G53" s="165"/>
      <c r="H53" s="43"/>
      <c r="I53" s="299"/>
      <c r="J53" s="299"/>
      <c r="K53" s="462"/>
      <c r="L53" s="147"/>
      <c r="M53" s="451"/>
      <c r="N53" s="1"/>
      <c r="S53" s="373"/>
      <c r="T53" s="373"/>
      <c r="W53" s="373"/>
      <c r="X53" s="373"/>
    </row>
    <row r="54" spans="1:24" x14ac:dyDescent="0.25">
      <c r="A54" s="331">
        <v>43894</v>
      </c>
      <c r="B54" s="164" t="s">
        <v>224</v>
      </c>
      <c r="C54" s="281">
        <v>232.91</v>
      </c>
      <c r="D54" s="281">
        <v>232.91</v>
      </c>
      <c r="E54" s="656" t="str">
        <f t="shared" si="12"/>
        <v/>
      </c>
      <c r="F54" s="165" t="str">
        <f t="shared" si="13"/>
        <v>оплачено</v>
      </c>
      <c r="G54" s="165"/>
      <c r="H54" s="43"/>
      <c r="I54" s="1"/>
      <c r="J54" s="373"/>
      <c r="K54" s="1"/>
      <c r="L54" s="1"/>
      <c r="M54" s="44"/>
      <c r="N54" s="1"/>
    </row>
    <row r="55" spans="1:24" x14ac:dyDescent="0.25">
      <c r="A55" s="331">
        <v>43895</v>
      </c>
      <c r="B55" s="164" t="s">
        <v>223</v>
      </c>
      <c r="C55" s="281">
        <v>343.62</v>
      </c>
      <c r="D55" s="281">
        <v>343.62</v>
      </c>
      <c r="E55" s="656" t="str">
        <f t="shared" si="12"/>
        <v/>
      </c>
      <c r="F55" s="165" t="str">
        <f t="shared" si="13"/>
        <v>оплачено</v>
      </c>
      <c r="G55" s="165"/>
      <c r="H55" s="43"/>
      <c r="I55" s="1"/>
      <c r="J55" s="373"/>
      <c r="K55" s="1"/>
      <c r="L55" s="1"/>
      <c r="M55" s="44"/>
      <c r="N55" s="1"/>
    </row>
    <row r="56" spans="1:24" x14ac:dyDescent="0.25">
      <c r="A56" s="331">
        <v>43901</v>
      </c>
      <c r="B56" s="164" t="s">
        <v>264</v>
      </c>
      <c r="C56" s="281">
        <v>428.25</v>
      </c>
      <c r="D56" s="281">
        <v>428.25</v>
      </c>
      <c r="E56" s="656" t="str">
        <f t="shared" si="12"/>
        <v/>
      </c>
      <c r="F56" s="165" t="str">
        <f t="shared" si="13"/>
        <v>оплачено</v>
      </c>
      <c r="G56" s="165"/>
      <c r="H56" s="43"/>
      <c r="I56" s="1"/>
      <c r="J56" s="373"/>
      <c r="K56" s="1"/>
      <c r="L56" s="1"/>
      <c r="M56" s="44"/>
      <c r="N56" s="1"/>
    </row>
    <row r="57" spans="1:24" x14ac:dyDescent="0.25">
      <c r="A57" s="331">
        <v>43908</v>
      </c>
      <c r="B57" s="164" t="s">
        <v>264</v>
      </c>
      <c r="C57" s="281">
        <v>241</v>
      </c>
      <c r="D57" s="281">
        <v>241</v>
      </c>
      <c r="E57" s="656" t="str">
        <f t="shared" si="12"/>
        <v/>
      </c>
      <c r="F57" s="165" t="str">
        <f t="shared" si="13"/>
        <v>оплачено</v>
      </c>
      <c r="G57" s="165"/>
      <c r="H57" s="43"/>
      <c r="I57" s="1"/>
      <c r="J57" s="373"/>
      <c r="K57" s="1"/>
      <c r="L57" s="1"/>
      <c r="M57" s="44"/>
      <c r="N57" s="1"/>
    </row>
    <row r="58" spans="1:24" x14ac:dyDescent="0.25">
      <c r="A58" s="331">
        <v>43913</v>
      </c>
      <c r="B58" s="164" t="s">
        <v>265</v>
      </c>
      <c r="C58" s="281">
        <v>233.61</v>
      </c>
      <c r="D58" s="281">
        <v>233.61</v>
      </c>
      <c r="E58" s="656" t="str">
        <f t="shared" si="12"/>
        <v/>
      </c>
      <c r="F58" s="165" t="str">
        <f t="shared" si="13"/>
        <v>оплачено</v>
      </c>
      <c r="G58" s="165"/>
      <c r="H58" s="43"/>
      <c r="I58" s="1"/>
      <c r="J58" s="373"/>
      <c r="K58" s="1"/>
      <c r="L58" s="1"/>
      <c r="M58" s="44"/>
      <c r="N58" s="1"/>
    </row>
    <row r="59" spans="1:24" x14ac:dyDescent="0.25">
      <c r="A59" s="331">
        <v>43909</v>
      </c>
      <c r="B59" s="164" t="s">
        <v>212</v>
      </c>
      <c r="C59" s="281">
        <v>332.52</v>
      </c>
      <c r="D59" s="281">
        <v>332.52</v>
      </c>
      <c r="E59" s="656" t="str">
        <f t="shared" si="12"/>
        <v/>
      </c>
      <c r="F59" s="165" t="str">
        <f t="shared" si="13"/>
        <v>оплачено</v>
      </c>
      <c r="G59" s="165" t="s">
        <v>131</v>
      </c>
      <c r="H59" s="43"/>
      <c r="I59" s="1"/>
      <c r="J59" s="373"/>
      <c r="K59" s="1"/>
      <c r="L59" s="1"/>
      <c r="M59" s="44"/>
      <c r="N59" s="1"/>
    </row>
    <row r="60" spans="1:24" x14ac:dyDescent="0.25">
      <c r="A60" s="331">
        <v>43916</v>
      </c>
      <c r="B60" s="164" t="s">
        <v>155</v>
      </c>
      <c r="C60" s="281">
        <v>328.15</v>
      </c>
      <c r="D60" s="281"/>
      <c r="E60" s="656">
        <f t="shared" si="12"/>
        <v>328.15</v>
      </c>
      <c r="F60" s="165" t="str">
        <f t="shared" si="13"/>
        <v>ОЖИДАЕТСЯ оплата</v>
      </c>
      <c r="G60" s="165" t="str">
        <f t="shared" ref="G60:G67" si="14">IF(C60=0,"",IF(C60-D60=0,"","нет накладной"))</f>
        <v>нет накладной</v>
      </c>
      <c r="H60" s="43"/>
      <c r="I60" s="1"/>
      <c r="J60" s="373"/>
      <c r="K60" s="1"/>
      <c r="L60" s="1"/>
      <c r="M60" s="44"/>
      <c r="N60" s="1"/>
      <c r="O60" s="373"/>
      <c r="P60" s="1"/>
    </row>
    <row r="61" spans="1:24" x14ac:dyDescent="0.25">
      <c r="A61" s="331"/>
      <c r="B61" s="164"/>
      <c r="C61" s="281"/>
      <c r="D61" s="281"/>
      <c r="E61" s="656" t="s">
        <v>310</v>
      </c>
      <c r="F61" s="165" t="str">
        <f t="shared" si="13"/>
        <v/>
      </c>
      <c r="G61" s="165" t="str">
        <f t="shared" si="14"/>
        <v/>
      </c>
      <c r="H61" s="43"/>
      <c r="I61" s="1"/>
      <c r="J61" s="373"/>
      <c r="K61" s="1"/>
      <c r="L61" s="1"/>
      <c r="M61" s="44"/>
      <c r="N61" s="1"/>
      <c r="O61" s="373"/>
      <c r="P61" s="1"/>
    </row>
    <row r="62" spans="1:24" x14ac:dyDescent="0.25">
      <c r="A62" s="331"/>
      <c r="B62" s="164"/>
      <c r="C62" s="281"/>
      <c r="D62" s="281"/>
      <c r="E62" s="656" t="str">
        <f t="shared" si="12"/>
        <v/>
      </c>
      <c r="F62" s="165" t="str">
        <f t="shared" si="13"/>
        <v/>
      </c>
      <c r="G62" s="165" t="str">
        <f t="shared" si="14"/>
        <v/>
      </c>
      <c r="H62" s="43"/>
      <c r="I62" s="1"/>
      <c r="J62" s="373"/>
      <c r="K62" s="1"/>
      <c r="L62" s="1"/>
      <c r="M62" s="44"/>
      <c r="N62" s="1"/>
      <c r="O62" s="373"/>
      <c r="P62" s="1"/>
    </row>
    <row r="63" spans="1:24" x14ac:dyDescent="0.25">
      <c r="A63" s="331"/>
      <c r="B63" s="164"/>
      <c r="C63" s="281"/>
      <c r="D63" s="281"/>
      <c r="E63" s="656" t="str">
        <f t="shared" si="12"/>
        <v/>
      </c>
      <c r="F63" s="165" t="str">
        <f t="shared" si="13"/>
        <v/>
      </c>
      <c r="G63" s="165" t="str">
        <f t="shared" si="14"/>
        <v/>
      </c>
      <c r="H63" s="43"/>
      <c r="I63" s="1"/>
      <c r="J63" s="373"/>
      <c r="K63" s="1"/>
      <c r="L63" s="1"/>
      <c r="M63" s="44"/>
      <c r="N63" s="1"/>
      <c r="O63" s="373"/>
      <c r="P63" s="153"/>
    </row>
    <row r="64" spans="1:24" x14ac:dyDescent="0.25">
      <c r="A64" s="331"/>
      <c r="B64" s="164"/>
      <c r="C64" s="281"/>
      <c r="D64" s="281"/>
      <c r="E64" s="656" t="str">
        <f t="shared" si="12"/>
        <v/>
      </c>
      <c r="F64" s="165" t="str">
        <f t="shared" si="13"/>
        <v/>
      </c>
      <c r="G64" s="165" t="str">
        <f t="shared" si="14"/>
        <v/>
      </c>
      <c r="H64" s="43"/>
      <c r="I64" s="1"/>
      <c r="J64" s="373"/>
      <c r="K64" s="1"/>
      <c r="L64" s="1"/>
      <c r="M64" s="44"/>
      <c r="N64" s="1"/>
      <c r="O64" s="373"/>
      <c r="P64" s="1"/>
    </row>
    <row r="65" spans="1:25" x14ac:dyDescent="0.25">
      <c r="A65" s="331"/>
      <c r="B65" s="164"/>
      <c r="C65" s="281"/>
      <c r="D65" s="281"/>
      <c r="E65" s="656" t="str">
        <f t="shared" si="12"/>
        <v/>
      </c>
      <c r="F65" s="165" t="str">
        <f t="shared" si="13"/>
        <v/>
      </c>
      <c r="G65" s="165" t="str">
        <f t="shared" si="14"/>
        <v/>
      </c>
      <c r="H65" s="43"/>
      <c r="I65" s="1"/>
      <c r="J65" s="373"/>
      <c r="K65" s="1"/>
      <c r="L65" s="1"/>
      <c r="M65" s="44"/>
      <c r="N65" s="1"/>
      <c r="O65" s="373"/>
      <c r="P65" s="1"/>
    </row>
    <row r="66" spans="1:25" x14ac:dyDescent="0.25">
      <c r="A66" s="331"/>
      <c r="B66" s="164"/>
      <c r="C66" s="281"/>
      <c r="D66" s="281"/>
      <c r="E66" s="656" t="str">
        <f t="shared" si="12"/>
        <v/>
      </c>
      <c r="F66" s="165" t="str">
        <f t="shared" si="13"/>
        <v/>
      </c>
      <c r="G66" s="165" t="str">
        <f t="shared" si="14"/>
        <v/>
      </c>
      <c r="H66" s="43"/>
      <c r="I66" s="1"/>
      <c r="J66" s="373"/>
      <c r="K66" s="1"/>
      <c r="L66" s="1"/>
      <c r="M66" s="44"/>
      <c r="N66" s="1"/>
      <c r="O66" s="373"/>
      <c r="P66" s="85"/>
    </row>
    <row r="67" spans="1:25" x14ac:dyDescent="0.25">
      <c r="A67" s="331"/>
      <c r="B67" s="164"/>
      <c r="C67" s="281"/>
      <c r="D67" s="281"/>
      <c r="E67" s="656" t="str">
        <f t="shared" si="12"/>
        <v/>
      </c>
      <c r="F67" s="165" t="str">
        <f t="shared" si="13"/>
        <v/>
      </c>
      <c r="G67" s="165" t="str">
        <f t="shared" si="14"/>
        <v/>
      </c>
      <c r="H67" s="43"/>
      <c r="I67" s="1"/>
      <c r="J67" s="373"/>
      <c r="K67" s="1"/>
      <c r="L67" s="1"/>
      <c r="M67" s="44"/>
      <c r="N67" s="1"/>
      <c r="O67" s="373"/>
      <c r="P67" s="373"/>
    </row>
    <row r="68" spans="1:25" ht="15.75" thickBot="1" x14ac:dyDescent="0.3">
      <c r="A68" s="763" t="s">
        <v>278</v>
      </c>
      <c r="B68" s="764"/>
      <c r="C68" s="365">
        <f>SUM(C53:C67)</f>
        <v>2376.2400000000002</v>
      </c>
      <c r="D68" s="365"/>
      <c r="E68" s="656">
        <f>SUM(E53:E67)</f>
        <v>328.15</v>
      </c>
      <c r="F68" s="165"/>
      <c r="G68" s="470"/>
      <c r="H68" s="43"/>
      <c r="I68" s="1"/>
      <c r="J68" s="373"/>
      <c r="K68" s="1"/>
      <c r="L68" s="1"/>
      <c r="M68" s="44"/>
      <c r="N68" s="1"/>
      <c r="O68" s="373"/>
      <c r="P68" s="373"/>
    </row>
    <row r="69" spans="1:25" ht="15.75" thickTop="1" x14ac:dyDescent="0.25">
      <c r="A69" s="358"/>
      <c r="B69" s="359"/>
      <c r="C69" s="360"/>
      <c r="D69" s="360"/>
      <c r="E69" s="361"/>
      <c r="F69" s="359"/>
      <c r="G69" s="392"/>
      <c r="H69" s="723" t="s">
        <v>16</v>
      </c>
      <c r="I69" s="725" t="s">
        <v>17</v>
      </c>
      <c r="J69" s="725" t="s">
        <v>21</v>
      </c>
      <c r="K69" s="725"/>
      <c r="L69" s="726" t="s">
        <v>93</v>
      </c>
      <c r="M69" s="727" t="s">
        <v>95</v>
      </c>
      <c r="N69" s="1"/>
      <c r="O69" s="373"/>
      <c r="P69" s="457"/>
    </row>
    <row r="70" spans="1:25" ht="24" x14ac:dyDescent="0.25">
      <c r="A70" s="362"/>
      <c r="B70" s="207"/>
      <c r="C70" s="207"/>
      <c r="D70" s="207"/>
      <c r="E70" s="222"/>
      <c r="F70" s="207"/>
      <c r="G70" s="207"/>
      <c r="H70" s="724"/>
      <c r="I70" s="685"/>
      <c r="J70" s="607" t="s">
        <v>21</v>
      </c>
      <c r="K70" s="607" t="s">
        <v>25</v>
      </c>
      <c r="L70" s="686"/>
      <c r="M70" s="687"/>
      <c r="N70" s="1"/>
      <c r="O70" s="373"/>
      <c r="P70" s="457"/>
    </row>
    <row r="71" spans="1:25" x14ac:dyDescent="0.25">
      <c r="A71" s="345"/>
      <c r="B71" s="205"/>
      <c r="C71" s="294"/>
      <c r="D71" s="238"/>
      <c r="E71" s="85"/>
      <c r="F71" s="205"/>
      <c r="G71" s="205"/>
      <c r="H71" s="354" t="s">
        <v>163</v>
      </c>
      <c r="I71" s="95">
        <v>2420.3999999999996</v>
      </c>
      <c r="J71" s="95">
        <v>115.5</v>
      </c>
      <c r="K71" s="612">
        <v>132.61000000000001</v>
      </c>
      <c r="L71" s="97">
        <v>22665.5</v>
      </c>
      <c r="M71" s="105">
        <f>L71-I71-J71-K71</f>
        <v>19996.989999999998</v>
      </c>
      <c r="N71" s="1"/>
      <c r="O71" s="468"/>
      <c r="P71" s="454"/>
      <c r="Q71" s="87"/>
      <c r="R71" s="87"/>
    </row>
    <row r="72" spans="1:25" x14ac:dyDescent="0.25">
      <c r="A72" s="346"/>
      <c r="B72" s="205"/>
      <c r="C72" s="205"/>
      <c r="D72" s="279"/>
      <c r="E72" s="373"/>
      <c r="F72" s="85"/>
      <c r="G72" s="373"/>
      <c r="H72" s="354" t="s">
        <v>192</v>
      </c>
      <c r="I72" s="95">
        <v>7629.69</v>
      </c>
      <c r="J72" s="95">
        <v>352.29</v>
      </c>
      <c r="K72" s="95">
        <v>193.85000000000002</v>
      </c>
      <c r="L72" s="97">
        <v>10342</v>
      </c>
      <c r="M72" s="105">
        <f>M71-I72-J72-K72+L72</f>
        <v>22163.159999999996</v>
      </c>
      <c r="N72" s="1"/>
      <c r="O72" s="468"/>
      <c r="P72" s="454"/>
      <c r="Q72" s="87"/>
      <c r="R72" s="87"/>
    </row>
    <row r="73" spans="1:25" x14ac:dyDescent="0.25">
      <c r="A73" s="346"/>
      <c r="B73" s="373"/>
      <c r="C73" s="205"/>
      <c r="D73" s="279"/>
      <c r="E73" s="373"/>
      <c r="F73" s="373"/>
      <c r="G73" s="373"/>
      <c r="H73" s="354" t="s">
        <v>199</v>
      </c>
      <c r="I73" s="304">
        <v>8423.6400000000012</v>
      </c>
      <c r="J73" s="95">
        <v>921.3</v>
      </c>
      <c r="K73" s="305">
        <v>312.46000000000004</v>
      </c>
      <c r="L73" s="305">
        <v>16668</v>
      </c>
      <c r="M73" s="105">
        <f>M72-I73-J73-K73+L73</f>
        <v>29173.759999999995</v>
      </c>
      <c r="N73" s="1"/>
      <c r="O73" s="468"/>
      <c r="P73" s="455"/>
      <c r="Q73" s="87"/>
      <c r="R73" s="87"/>
    </row>
    <row r="74" spans="1:25" x14ac:dyDescent="0.25">
      <c r="A74" s="346"/>
      <c r="B74" s="1"/>
      <c r="C74" s="290"/>
      <c r="D74" s="279"/>
      <c r="E74" s="373"/>
      <c r="F74" s="373"/>
      <c r="G74" s="85"/>
      <c r="H74" s="354" t="s">
        <v>209</v>
      </c>
      <c r="I74" s="305">
        <v>8639.7199999999993</v>
      </c>
      <c r="J74" s="306">
        <v>749.49</v>
      </c>
      <c r="K74" s="624">
        <v>435.1</v>
      </c>
      <c r="L74" s="305">
        <v>17824.919999999998</v>
      </c>
      <c r="M74" s="105">
        <f>M73-I74-J74-K74+L74</f>
        <v>37174.369999999995</v>
      </c>
      <c r="N74" s="1"/>
      <c r="O74" s="468"/>
      <c r="P74" s="455"/>
      <c r="Q74" s="87"/>
      <c r="R74" s="87"/>
    </row>
    <row r="75" spans="1:25" x14ac:dyDescent="0.25">
      <c r="A75" s="346"/>
      <c r="B75" s="205"/>
      <c r="C75" s="1"/>
      <c r="D75" s="279"/>
      <c r="E75" s="373"/>
      <c r="F75" s="373"/>
      <c r="G75" s="373"/>
      <c r="H75" s="355" t="s">
        <v>210</v>
      </c>
      <c r="I75" s="306"/>
      <c r="J75" s="305"/>
      <c r="K75" s="306"/>
      <c r="L75" s="305"/>
      <c r="M75" s="105"/>
      <c r="N75" s="1"/>
      <c r="O75" s="148"/>
      <c r="P75" s="455"/>
      <c r="R75" s="87"/>
    </row>
    <row r="76" spans="1:25" ht="15.75" thickBot="1" x14ac:dyDescent="0.3">
      <c r="A76" s="346"/>
      <c r="B76" s="205"/>
      <c r="C76" s="1"/>
      <c r="D76" s="279"/>
      <c r="E76" s="373"/>
      <c r="F76" s="373"/>
      <c r="G76" s="373"/>
      <c r="H76" s="395" t="s">
        <v>211</v>
      </c>
      <c r="I76" s="396"/>
      <c r="J76" s="449"/>
      <c r="K76" s="397"/>
      <c r="L76" s="450"/>
      <c r="M76" s="398"/>
      <c r="N76" s="1"/>
      <c r="O76" s="373"/>
      <c r="P76" s="455"/>
      <c r="Q76" s="87"/>
      <c r="R76" s="87"/>
      <c r="U76" s="1"/>
      <c r="V76" s="1"/>
    </row>
    <row r="77" spans="1:25" ht="15.75" thickTop="1" x14ac:dyDescent="0.25">
      <c r="A77" s="346"/>
      <c r="B77" s="205"/>
      <c r="C77" s="1"/>
      <c r="D77" s="279"/>
      <c r="E77" s="85"/>
      <c r="F77" s="373"/>
      <c r="G77" s="373"/>
      <c r="H77" s="710" t="s">
        <v>36</v>
      </c>
      <c r="I77" s="712" t="s">
        <v>178</v>
      </c>
      <c r="J77" s="713"/>
      <c r="K77" s="714"/>
      <c r="L77" s="718" t="s">
        <v>159</v>
      </c>
      <c r="M77" s="719"/>
      <c r="N77" s="1"/>
      <c r="O77" s="373"/>
      <c r="P77" s="455"/>
      <c r="Q77" s="87"/>
      <c r="R77" s="87"/>
      <c r="U77" s="1"/>
      <c r="V77" s="1"/>
    </row>
    <row r="78" spans="1:25" x14ac:dyDescent="0.25">
      <c r="A78" s="346"/>
      <c r="B78" s="205"/>
      <c r="C78" s="290"/>
      <c r="D78" s="279"/>
      <c r="E78" s="290"/>
      <c r="F78" s="373"/>
      <c r="G78" s="394"/>
      <c r="H78" s="711"/>
      <c r="I78" s="715"/>
      <c r="J78" s="716"/>
      <c r="K78" s="717"/>
      <c r="L78" s="720"/>
      <c r="M78" s="721"/>
      <c r="N78" s="1"/>
      <c r="O78" s="373"/>
      <c r="P78" s="455"/>
      <c r="Q78" s="373"/>
      <c r="R78" s="373"/>
      <c r="S78" s="1"/>
      <c r="T78" s="1"/>
      <c r="U78" s="1"/>
      <c r="V78" s="1"/>
      <c r="W78" s="1"/>
      <c r="X78" s="1"/>
      <c r="Y78" s="1"/>
    </row>
    <row r="79" spans="1:25" x14ac:dyDescent="0.25">
      <c r="A79" s="346"/>
      <c r="B79" s="205"/>
      <c r="C79" s="205"/>
      <c r="D79" s="279"/>
      <c r="E79" s="205"/>
      <c r="F79" s="373"/>
      <c r="G79" s="394"/>
      <c r="H79" s="596" t="s">
        <v>259</v>
      </c>
      <c r="I79" s="722" t="s">
        <v>47</v>
      </c>
      <c r="J79" s="722"/>
      <c r="K79" s="618">
        <v>131.25</v>
      </c>
      <c r="L79" s="288">
        <v>43905</v>
      </c>
      <c r="M79" s="44" t="s">
        <v>246</v>
      </c>
      <c r="P79" s="455"/>
      <c r="Q79" s="529"/>
      <c r="R79" s="373"/>
      <c r="S79" s="1"/>
      <c r="T79" s="1"/>
      <c r="U79" s="288"/>
      <c r="V79" s="288"/>
      <c r="W79" s="1"/>
      <c r="X79" s="1"/>
      <c r="Y79" s="1"/>
    </row>
    <row r="80" spans="1:25" x14ac:dyDescent="0.25">
      <c r="A80" s="346"/>
      <c r="B80" s="373"/>
      <c r="C80" s="280"/>
      <c r="D80" s="279"/>
      <c r="E80" s="280"/>
      <c r="F80" s="373"/>
      <c r="G80" s="373"/>
      <c r="H80" s="596" t="s">
        <v>259</v>
      </c>
      <c r="I80" s="680" t="s">
        <v>51</v>
      </c>
      <c r="J80" s="680"/>
      <c r="K80" s="619">
        <v>21.35</v>
      </c>
      <c r="L80" s="288">
        <v>43905</v>
      </c>
      <c r="M80" s="44" t="s">
        <v>246</v>
      </c>
      <c r="P80" s="455"/>
      <c r="Q80" s="87"/>
      <c r="R80" s="87"/>
      <c r="S80" s="1"/>
      <c r="T80" s="1"/>
      <c r="U80" s="288"/>
      <c r="V80" s="288"/>
      <c r="W80" s="1"/>
      <c r="X80" s="1"/>
      <c r="Y80" s="1"/>
    </row>
    <row r="81" spans="1:26" x14ac:dyDescent="0.25">
      <c r="A81" s="347"/>
      <c r="B81" s="373"/>
      <c r="C81" s="373"/>
      <c r="D81" s="279"/>
      <c r="E81" s="205"/>
      <c r="F81" s="373"/>
      <c r="G81" s="373"/>
      <c r="H81" s="596" t="s">
        <v>259</v>
      </c>
      <c r="I81" s="680" t="s">
        <v>52</v>
      </c>
      <c r="J81" s="680"/>
      <c r="K81" s="619">
        <v>2.25</v>
      </c>
      <c r="L81" s="288">
        <v>43905</v>
      </c>
      <c r="M81" s="44" t="s">
        <v>246</v>
      </c>
      <c r="R81" s="614"/>
      <c r="S81" s="1"/>
      <c r="T81" s="288"/>
      <c r="U81" s="288"/>
      <c r="V81" s="288"/>
      <c r="W81" s="288"/>
      <c r="X81" s="288"/>
      <c r="Y81" s="1"/>
      <c r="Z81" s="1"/>
    </row>
    <row r="82" spans="1:26" x14ac:dyDescent="0.25">
      <c r="A82" s="347"/>
      <c r="B82" s="373"/>
      <c r="C82" s="373"/>
      <c r="D82" s="279"/>
      <c r="E82" s="373"/>
      <c r="F82" s="373"/>
      <c r="G82" s="373"/>
      <c r="H82" s="596" t="s">
        <v>259</v>
      </c>
      <c r="I82" s="680" t="s">
        <v>49</v>
      </c>
      <c r="J82" s="680"/>
      <c r="K82" s="619">
        <v>89</v>
      </c>
      <c r="L82" s="288">
        <v>43910</v>
      </c>
      <c r="M82" s="44" t="s">
        <v>288</v>
      </c>
      <c r="O82" s="153"/>
      <c r="S82" s="1"/>
      <c r="T82" s="288"/>
      <c r="U82" s="288"/>
      <c r="V82" s="288"/>
      <c r="W82" s="288"/>
      <c r="X82" s="288"/>
      <c r="Y82" s="1"/>
      <c r="Z82" s="1"/>
    </row>
    <row r="83" spans="1:26" x14ac:dyDescent="0.25">
      <c r="A83" s="347"/>
      <c r="B83" s="373"/>
      <c r="C83" s="373"/>
      <c r="D83" s="279"/>
      <c r="E83" s="373"/>
      <c r="F83" s="373"/>
      <c r="G83" s="373"/>
      <c r="H83" s="596" t="s">
        <v>259</v>
      </c>
      <c r="I83" s="767" t="s">
        <v>59</v>
      </c>
      <c r="J83" s="767"/>
      <c r="K83" s="480">
        <v>176.5</v>
      </c>
      <c r="L83" s="308" t="s">
        <v>177</v>
      </c>
      <c r="M83" s="44" t="s">
        <v>246</v>
      </c>
      <c r="O83" s="153"/>
      <c r="P83" s="625"/>
      <c r="Q83" s="540"/>
      <c r="R83" s="614"/>
      <c r="S83" s="1"/>
      <c r="T83" s="288"/>
      <c r="U83" s="1"/>
      <c r="V83" s="1"/>
      <c r="W83" s="288"/>
      <c r="X83" s="288"/>
      <c r="Y83" s="1"/>
      <c r="Z83" s="1"/>
    </row>
    <row r="84" spans="1:26" x14ac:dyDescent="0.25">
      <c r="A84" s="347"/>
      <c r="B84" s="205"/>
      <c r="C84" s="205"/>
      <c r="D84" s="279"/>
      <c r="E84" s="205"/>
      <c r="F84" s="373"/>
      <c r="G84" s="373"/>
      <c r="H84" s="596" t="s">
        <v>259</v>
      </c>
      <c r="I84" s="760" t="s">
        <v>68</v>
      </c>
      <c r="J84" s="761"/>
      <c r="K84" s="619">
        <v>55.66</v>
      </c>
      <c r="L84" s="288">
        <v>43910</v>
      </c>
      <c r="M84" s="44" t="s">
        <v>246</v>
      </c>
      <c r="P84" s="369"/>
      <c r="Q84" s="614"/>
      <c r="R84" s="614"/>
      <c r="S84" s="1"/>
      <c r="T84" s="288"/>
      <c r="U84" s="288"/>
      <c r="V84" s="288"/>
      <c r="W84" s="288"/>
      <c r="X84" s="288"/>
      <c r="Y84" s="1"/>
      <c r="Z84" s="1"/>
    </row>
    <row r="85" spans="1:26" x14ac:dyDescent="0.25">
      <c r="A85" s="347"/>
      <c r="B85" s="205"/>
      <c r="C85" s="373"/>
      <c r="D85" s="279"/>
      <c r="E85" s="205"/>
      <c r="F85" s="373"/>
      <c r="G85" s="373"/>
      <c r="H85" s="596" t="s">
        <v>259</v>
      </c>
      <c r="I85" s="678" t="s">
        <v>174</v>
      </c>
      <c r="J85" s="679"/>
      <c r="K85" s="619">
        <v>257.08999999999997</v>
      </c>
      <c r="L85" s="288">
        <v>43905</v>
      </c>
      <c r="M85" s="44" t="s">
        <v>246</v>
      </c>
      <c r="O85" s="153"/>
      <c r="P85" s="625"/>
      <c r="Q85" s="614"/>
      <c r="R85" s="614"/>
      <c r="S85" s="1"/>
      <c r="T85" s="1"/>
      <c r="U85" s="288"/>
      <c r="V85" s="288"/>
      <c r="W85" s="1"/>
      <c r="X85" s="1"/>
      <c r="Y85" s="1"/>
      <c r="Z85" s="1"/>
    </row>
    <row r="86" spans="1:26" x14ac:dyDescent="0.25">
      <c r="A86" s="347"/>
      <c r="B86" s="205"/>
      <c r="C86" s="373"/>
      <c r="D86" s="279"/>
      <c r="E86" s="205"/>
      <c r="F86" s="373"/>
      <c r="G86" s="373"/>
      <c r="H86" s="596" t="s">
        <v>259</v>
      </c>
      <c r="I86" s="608" t="s">
        <v>176</v>
      </c>
      <c r="J86" s="609"/>
      <c r="K86" s="619">
        <v>147.06</v>
      </c>
      <c r="L86" s="288">
        <v>43910</v>
      </c>
      <c r="M86" s="44" t="s">
        <v>246</v>
      </c>
      <c r="P86" s="369"/>
      <c r="Q86" s="614"/>
      <c r="R86" s="540"/>
      <c r="S86" s="1"/>
      <c r="T86" s="288"/>
      <c r="U86" s="288"/>
      <c r="V86" s="288"/>
      <c r="W86" s="288"/>
      <c r="X86" s="288"/>
      <c r="Y86" s="1"/>
      <c r="Z86" s="1"/>
    </row>
    <row r="87" spans="1:26" x14ac:dyDescent="0.25">
      <c r="A87" s="347"/>
      <c r="B87" s="205"/>
      <c r="C87" s="373"/>
      <c r="D87" s="279"/>
      <c r="E87" s="238"/>
      <c r="F87" s="373"/>
      <c r="G87" s="373"/>
      <c r="H87" s="596" t="s">
        <v>259</v>
      </c>
      <c r="I87" s="678" t="s">
        <v>81</v>
      </c>
      <c r="J87" s="679"/>
      <c r="K87" s="648">
        <v>616.88</v>
      </c>
      <c r="L87" s="288">
        <v>43900</v>
      </c>
      <c r="M87" s="44" t="s">
        <v>246</v>
      </c>
      <c r="P87" s="373"/>
      <c r="Q87" s="373"/>
      <c r="R87" s="372"/>
      <c r="S87" s="1"/>
      <c r="T87" s="288"/>
      <c r="U87" s="288"/>
      <c r="V87" s="288"/>
      <c r="W87" s="288"/>
      <c r="X87" s="288"/>
      <c r="Y87" s="373"/>
      <c r="Z87" s="1"/>
    </row>
    <row r="88" spans="1:26" x14ac:dyDescent="0.25">
      <c r="A88" s="347"/>
      <c r="B88" s="205"/>
      <c r="C88" s="373"/>
      <c r="D88" s="279"/>
      <c r="E88" s="238"/>
      <c r="F88" s="373"/>
      <c r="G88" s="373"/>
      <c r="H88" s="596" t="s">
        <v>259</v>
      </c>
      <c r="I88" s="678" t="s">
        <v>53</v>
      </c>
      <c r="J88" s="679"/>
      <c r="K88" s="477">
        <v>10</v>
      </c>
      <c r="L88" s="288">
        <v>43905</v>
      </c>
      <c r="M88" s="44" t="s">
        <v>246</v>
      </c>
      <c r="P88" s="455"/>
      <c r="Q88" s="87"/>
      <c r="R88" s="87"/>
      <c r="S88" s="1"/>
      <c r="T88" s="288"/>
      <c r="U88" s="288"/>
      <c r="V88" s="288"/>
      <c r="W88" s="288"/>
      <c r="X88" s="288"/>
      <c r="Y88" s="373"/>
      <c r="Z88" s="1"/>
    </row>
    <row r="89" spans="1:26" x14ac:dyDescent="0.25">
      <c r="A89" s="347"/>
      <c r="B89" s="205"/>
      <c r="C89" s="373"/>
      <c r="D89" s="279"/>
      <c r="E89" s="238"/>
      <c r="F89" s="373"/>
      <c r="G89" s="373"/>
      <c r="H89" s="596" t="s">
        <v>259</v>
      </c>
      <c r="I89" s="766" t="s">
        <v>61</v>
      </c>
      <c r="J89" s="766"/>
      <c r="K89" s="658">
        <f>I52</f>
        <v>500.24</v>
      </c>
      <c r="L89" s="288">
        <v>43910</v>
      </c>
      <c r="M89" s="44" t="s">
        <v>246</v>
      </c>
      <c r="S89" s="373"/>
      <c r="T89" s="288"/>
      <c r="U89" s="288"/>
      <c r="V89" s="288"/>
      <c r="W89" s="288"/>
      <c r="X89" s="288"/>
      <c r="Y89" s="1"/>
      <c r="Z89" s="1"/>
    </row>
    <row r="90" spans="1:26" ht="15.75" thickBot="1" x14ac:dyDescent="0.3">
      <c r="A90" s="348"/>
      <c r="B90" s="337"/>
      <c r="C90" s="338"/>
      <c r="D90" s="349"/>
      <c r="E90" s="337"/>
      <c r="F90" s="338"/>
      <c r="G90" s="338"/>
      <c r="H90" s="353"/>
      <c r="I90" s="368" t="s">
        <v>179</v>
      </c>
      <c r="J90" s="368">
        <f>SUM(K79:K89)</f>
        <v>2007.28</v>
      </c>
      <c r="K90" s="730" t="s">
        <v>180</v>
      </c>
      <c r="L90" s="730"/>
      <c r="M90" s="605">
        <v>0</v>
      </c>
      <c r="P90" s="373"/>
      <c r="Q90" s="372"/>
      <c r="R90" s="372"/>
      <c r="S90" s="373"/>
      <c r="T90" s="288"/>
      <c r="U90" s="1"/>
      <c r="V90" s="1"/>
      <c r="W90" s="288"/>
      <c r="X90" s="288"/>
      <c r="Y90" s="1"/>
      <c r="Z90" s="1"/>
    </row>
    <row r="91" spans="1:26" ht="15.75" thickTop="1" x14ac:dyDescent="0.25">
      <c r="C91" s="566"/>
      <c r="D91" s="566"/>
      <c r="P91" s="373"/>
      <c r="Q91" s="564"/>
      <c r="R91" s="372"/>
      <c r="S91" s="373"/>
      <c r="T91" s="288"/>
      <c r="U91" s="1"/>
      <c r="V91" s="1"/>
      <c r="W91" s="288"/>
      <c r="X91" s="288"/>
      <c r="Y91" s="1"/>
      <c r="Z91" s="1"/>
    </row>
    <row r="92" spans="1:26" x14ac:dyDescent="0.25">
      <c r="C92" s="465"/>
      <c r="P92" s="128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C93" s="465"/>
      <c r="P93" s="128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C94" s="465"/>
      <c r="E94" s="87"/>
      <c r="P94" s="195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C95" s="465"/>
      <c r="P95" s="128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C96" s="465"/>
      <c r="K96" s="565"/>
      <c r="P96" s="468"/>
      <c r="Q96" s="1"/>
      <c r="R96" s="1"/>
      <c r="S96" s="1"/>
      <c r="T96" s="1"/>
      <c r="W96" s="1"/>
      <c r="X96" s="1"/>
      <c r="Y96" s="1"/>
      <c r="Z96" s="1"/>
    </row>
    <row r="97" spans="3:26" x14ac:dyDescent="0.25">
      <c r="C97" s="465"/>
      <c r="P97" s="468"/>
      <c r="Q97" s="1"/>
      <c r="R97" s="1"/>
      <c r="S97" s="1"/>
      <c r="T97" s="1"/>
      <c r="W97" s="1"/>
      <c r="X97" s="1"/>
      <c r="Y97" s="1"/>
      <c r="Z97" s="1"/>
    </row>
    <row r="98" spans="3:26" x14ac:dyDescent="0.25">
      <c r="C98" s="465"/>
      <c r="M98" s="565"/>
      <c r="P98" s="468"/>
      <c r="Z98" s="1"/>
    </row>
    <row r="99" spans="3:26" x14ac:dyDescent="0.25">
      <c r="C99" s="465"/>
      <c r="P99" s="468"/>
      <c r="Z99" s="1"/>
    </row>
    <row r="100" spans="3:26" x14ac:dyDescent="0.25">
      <c r="C100" s="465"/>
      <c r="M100" s="1"/>
      <c r="P100" s="468"/>
      <c r="Z100" s="1"/>
    </row>
    <row r="101" spans="3:26" x14ac:dyDescent="0.25">
      <c r="C101" s="465"/>
      <c r="M101" s="1"/>
      <c r="P101" s="468"/>
    </row>
    <row r="102" spans="3:26" x14ac:dyDescent="0.25">
      <c r="C102" s="465"/>
      <c r="M102" s="1"/>
      <c r="P102" s="468"/>
    </row>
    <row r="103" spans="3:26" x14ac:dyDescent="0.25">
      <c r="C103" s="465"/>
      <c r="M103" s="373"/>
      <c r="P103" s="468"/>
    </row>
    <row r="104" spans="3:26" x14ac:dyDescent="0.25">
      <c r="C104" s="465"/>
      <c r="M104" s="373"/>
      <c r="P104" s="468"/>
    </row>
    <row r="105" spans="3:26" x14ac:dyDescent="0.25">
      <c r="C105" s="465"/>
      <c r="M105" s="1"/>
      <c r="P105" s="468"/>
    </row>
    <row r="106" spans="3:26" x14ac:dyDescent="0.25">
      <c r="C106" s="465"/>
      <c r="M106" s="1"/>
      <c r="P106" s="468"/>
    </row>
    <row r="107" spans="3:26" x14ac:dyDescent="0.25">
      <c r="C107" s="465"/>
      <c r="M107" s="1"/>
      <c r="P107" s="468"/>
    </row>
    <row r="108" spans="3:26" x14ac:dyDescent="0.25">
      <c r="C108" s="465"/>
      <c r="M108" s="1"/>
      <c r="P108" s="468"/>
    </row>
    <row r="109" spans="3:26" x14ac:dyDescent="0.25">
      <c r="C109" s="465"/>
      <c r="P109" s="468"/>
    </row>
    <row r="110" spans="3:26" x14ac:dyDescent="0.25">
      <c r="C110" s="465"/>
      <c r="P110" s="468"/>
    </row>
    <row r="111" spans="3:26" x14ac:dyDescent="0.25">
      <c r="C111" s="465"/>
      <c r="P111" s="468"/>
    </row>
    <row r="112" spans="3:26" x14ac:dyDescent="0.25">
      <c r="C112" s="465"/>
      <c r="P112" s="468"/>
    </row>
    <row r="113" spans="3:16" x14ac:dyDescent="0.25">
      <c r="C113" s="465"/>
      <c r="P113" s="468"/>
    </row>
    <row r="114" spans="3:16" x14ac:dyDescent="0.25">
      <c r="C114" s="465"/>
      <c r="P114" s="468"/>
    </row>
    <row r="115" spans="3:16" x14ac:dyDescent="0.25">
      <c r="C115" s="465"/>
      <c r="P115" s="468"/>
    </row>
    <row r="116" spans="3:16" x14ac:dyDescent="0.25">
      <c r="C116" s="465"/>
      <c r="P116" s="468"/>
    </row>
    <row r="117" spans="3:16" x14ac:dyDescent="0.25">
      <c r="C117" s="465"/>
      <c r="P117" s="468"/>
    </row>
    <row r="118" spans="3:16" x14ac:dyDescent="0.25">
      <c r="C118" s="465"/>
      <c r="P118" s="468"/>
    </row>
    <row r="119" spans="3:16" x14ac:dyDescent="0.25">
      <c r="C119" s="465"/>
    </row>
    <row r="120" spans="3:16" x14ac:dyDescent="0.25">
      <c r="C120" s="465"/>
    </row>
  </sheetData>
  <mergeCells count="53">
    <mergeCell ref="I85:J85"/>
    <mergeCell ref="I87:J87"/>
    <mergeCell ref="I88:J88"/>
    <mergeCell ref="I89:J89"/>
    <mergeCell ref="K90:L90"/>
    <mergeCell ref="I84:J84"/>
    <mergeCell ref="H69:H70"/>
    <mergeCell ref="I69:I70"/>
    <mergeCell ref="J69:K69"/>
    <mergeCell ref="L69:L70"/>
    <mergeCell ref="I79:J79"/>
    <mergeCell ref="I80:J80"/>
    <mergeCell ref="I81:J81"/>
    <mergeCell ref="I82:J82"/>
    <mergeCell ref="I83:J83"/>
    <mergeCell ref="M69:M70"/>
    <mergeCell ref="H77:H78"/>
    <mergeCell ref="I77:K78"/>
    <mergeCell ref="L77:M78"/>
    <mergeCell ref="K46:L46"/>
    <mergeCell ref="H47:K47"/>
    <mergeCell ref="A48:M49"/>
    <mergeCell ref="A50:G50"/>
    <mergeCell ref="H50:M50"/>
    <mergeCell ref="A68:B68"/>
    <mergeCell ref="I45:J45"/>
    <mergeCell ref="H33:H34"/>
    <mergeCell ref="I33:K34"/>
    <mergeCell ref="L33:M34"/>
    <mergeCell ref="I35:J35"/>
    <mergeCell ref="I36:J36"/>
    <mergeCell ref="I37:J37"/>
    <mergeCell ref="I38:J38"/>
    <mergeCell ref="I39:J39"/>
    <mergeCell ref="I40:J40"/>
    <mergeCell ref="I43:J43"/>
    <mergeCell ref="I44:J44"/>
    <mergeCell ref="A1:M2"/>
    <mergeCell ref="A3:G3"/>
    <mergeCell ref="H3:M3"/>
    <mergeCell ref="H6:I6"/>
    <mergeCell ref="A21:B21"/>
    <mergeCell ref="L22:L23"/>
    <mergeCell ref="M22:M23"/>
    <mergeCell ref="H5:I5"/>
    <mergeCell ref="H22:H23"/>
    <mergeCell ref="I22:I23"/>
    <mergeCell ref="J22:K22"/>
    <mergeCell ref="U3:V3"/>
    <mergeCell ref="AF7:AF8"/>
    <mergeCell ref="AG7:AG8"/>
    <mergeCell ref="O3:P3"/>
    <mergeCell ref="H4:I4"/>
  </mergeCells>
  <printOptions horizontalCentered="1" verticalCentered="1"/>
  <pageMargins left="0.23622047244094491" right="0.23622047244094491" top="0.23622047244094491" bottom="0.23622047244094491" header="0.23622047244094491" footer="0.23622047244094491"/>
  <pageSetup paperSize="9" scale="84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26"/>
  <sheetViews>
    <sheetView zoomScale="130" zoomScaleNormal="130" zoomScaleSheetLayoutView="70" zoomScalePageLayoutView="70" workbookViewId="0">
      <pane xSplit="1" ySplit="1" topLeftCell="B14" activePane="bottomRight" state="frozen"/>
      <selection pane="topRight" activeCell="B1" sqref="B1"/>
      <selection pane="bottomLeft" activeCell="A4" sqref="A4"/>
      <selection pane="bottomRight" activeCell="J29" sqref="J29"/>
    </sheetView>
  </sheetViews>
  <sheetFormatPr defaultColWidth="9.140625" defaultRowHeight="15" x14ac:dyDescent="0.25"/>
  <cols>
    <col min="1" max="1" width="6.42578125" style="35" customWidth="1"/>
    <col min="2" max="2" width="6" style="35" customWidth="1"/>
    <col min="3" max="3" width="13.7109375" style="35" customWidth="1"/>
    <col min="4" max="4" width="10.42578125" style="35" customWidth="1"/>
    <col min="5" max="5" width="9.42578125" style="35" customWidth="1"/>
    <col min="6" max="6" width="10.7109375" style="35" customWidth="1"/>
    <col min="7" max="7" width="13.7109375" style="35" customWidth="1"/>
    <col min="8" max="8" width="10.42578125" style="35" customWidth="1"/>
    <col min="9" max="9" width="9.140625" style="35" customWidth="1"/>
    <col min="10" max="11" width="9.140625" style="35"/>
    <col min="12" max="12" width="10" style="35" customWidth="1"/>
    <col min="13" max="16384" width="9.140625" style="35"/>
  </cols>
  <sheetData>
    <row r="1" spans="1:16" ht="13.5" customHeight="1" x14ac:dyDescent="0.25">
      <c r="B1" s="14" t="s">
        <v>10</v>
      </c>
      <c r="C1" s="14" t="s">
        <v>2</v>
      </c>
      <c r="D1" s="14" t="s">
        <v>46</v>
      </c>
      <c r="E1" s="14" t="s">
        <v>1</v>
      </c>
      <c r="F1" s="14" t="s">
        <v>12</v>
      </c>
      <c r="G1" s="14" t="s">
        <v>184</v>
      </c>
      <c r="H1" s="15" t="s">
        <v>191</v>
      </c>
      <c r="I1" s="490" t="s">
        <v>249</v>
      </c>
      <c r="J1" s="490"/>
      <c r="K1" s="490"/>
      <c r="L1" s="490"/>
    </row>
    <row r="2" spans="1:16" ht="11.1" customHeight="1" x14ac:dyDescent="0.25">
      <c r="B2" s="16">
        <f>IF(C2="","",WEEKDAY(C2,2))</f>
        <v>7</v>
      </c>
      <c r="C2" s="17">
        <v>43891</v>
      </c>
      <c r="D2" s="22">
        <v>767.7</v>
      </c>
      <c r="E2" s="22"/>
      <c r="F2" s="232"/>
      <c r="G2" s="232">
        <v>524.5</v>
      </c>
      <c r="H2" s="86"/>
      <c r="I2" s="491">
        <v>217</v>
      </c>
      <c r="J2" s="490"/>
      <c r="K2" s="490"/>
      <c r="L2" s="490"/>
    </row>
    <row r="3" spans="1:16" ht="11.1" customHeight="1" x14ac:dyDescent="0.25">
      <c r="B3" s="16">
        <f t="shared" ref="B3:B32" si="0">IF(C3="","",WEEKDAY(C3,2))</f>
        <v>1</v>
      </c>
      <c r="C3" s="17">
        <v>43892</v>
      </c>
      <c r="D3" s="22"/>
      <c r="E3" s="22">
        <v>748.6</v>
      </c>
      <c r="F3" s="232"/>
      <c r="G3" s="22">
        <v>246.5</v>
      </c>
      <c r="H3" s="232"/>
      <c r="I3" s="491"/>
      <c r="J3" s="490"/>
      <c r="K3" s="490"/>
      <c r="L3" s="490"/>
    </row>
    <row r="4" spans="1:16" ht="11.1" customHeight="1" x14ac:dyDescent="0.25">
      <c r="B4" s="16">
        <f t="shared" si="0"/>
        <v>2</v>
      </c>
      <c r="C4" s="17">
        <v>43893</v>
      </c>
      <c r="D4" s="22"/>
      <c r="E4" s="21">
        <v>837</v>
      </c>
      <c r="F4" s="232"/>
      <c r="G4" s="232">
        <v>527.20000000000005</v>
      </c>
      <c r="H4" s="232"/>
      <c r="I4" s="491">
        <v>278.5</v>
      </c>
      <c r="J4" s="490"/>
      <c r="K4" s="490"/>
      <c r="L4" s="490"/>
    </row>
    <row r="5" spans="1:16" ht="11.1" customHeight="1" x14ac:dyDescent="0.25">
      <c r="B5" s="16">
        <f t="shared" si="0"/>
        <v>3</v>
      </c>
      <c r="C5" s="17">
        <v>43894</v>
      </c>
      <c r="D5" s="22"/>
      <c r="E5" s="22">
        <v>766.1</v>
      </c>
      <c r="F5" s="232">
        <v>205.5</v>
      </c>
      <c r="G5" s="232"/>
      <c r="H5" s="86"/>
      <c r="I5" s="491">
        <v>109.4</v>
      </c>
      <c r="J5" s="490"/>
      <c r="K5" s="490"/>
      <c r="L5" s="490"/>
    </row>
    <row r="6" spans="1:16" ht="11.1" customHeight="1" x14ac:dyDescent="0.25">
      <c r="B6" s="16">
        <f t="shared" si="0"/>
        <v>4</v>
      </c>
      <c r="C6" s="17">
        <v>43895</v>
      </c>
      <c r="D6" s="22">
        <v>808.5</v>
      </c>
      <c r="E6" s="22"/>
      <c r="F6" s="232">
        <v>343</v>
      </c>
      <c r="G6" s="232"/>
      <c r="H6" s="86"/>
      <c r="I6" s="491">
        <v>129</v>
      </c>
      <c r="J6" s="490"/>
      <c r="K6" s="490"/>
      <c r="L6" s="490"/>
    </row>
    <row r="7" spans="1:16" ht="11.1" customHeight="1" x14ac:dyDescent="0.25">
      <c r="B7" s="16">
        <f t="shared" si="0"/>
        <v>5</v>
      </c>
      <c r="C7" s="17">
        <v>43896</v>
      </c>
      <c r="D7" s="22">
        <v>715.3</v>
      </c>
      <c r="E7" s="22"/>
      <c r="F7" s="232"/>
      <c r="G7" s="232">
        <v>507.5</v>
      </c>
      <c r="H7" s="86"/>
      <c r="I7" s="491">
        <v>71.75</v>
      </c>
      <c r="J7" s="490"/>
      <c r="K7" s="490"/>
      <c r="L7" s="490"/>
    </row>
    <row r="8" spans="1:16" ht="11.1" customHeight="1" x14ac:dyDescent="0.25">
      <c r="B8" s="16">
        <f t="shared" si="0"/>
        <v>6</v>
      </c>
      <c r="C8" s="17">
        <v>43897</v>
      </c>
      <c r="D8" s="22"/>
      <c r="E8" s="22">
        <v>741</v>
      </c>
      <c r="F8" s="232"/>
      <c r="G8" s="232">
        <v>748</v>
      </c>
      <c r="H8" s="86"/>
      <c r="I8" s="491">
        <v>249.5</v>
      </c>
      <c r="J8" s="490"/>
      <c r="K8" s="490"/>
      <c r="L8" s="490"/>
    </row>
    <row r="9" spans="1:16" ht="11.1" customHeight="1" x14ac:dyDescent="0.25">
      <c r="B9" s="16">
        <f>IF(C9="","",WEEKDAY(C9,2))</f>
        <v>7</v>
      </c>
      <c r="C9" s="17">
        <v>43898</v>
      </c>
      <c r="D9" s="22"/>
      <c r="E9" s="22">
        <v>500</v>
      </c>
      <c r="F9" s="232"/>
      <c r="G9" s="232">
        <v>257.5</v>
      </c>
      <c r="H9" s="18"/>
      <c r="I9" s="491">
        <v>20.100000000000001</v>
      </c>
      <c r="J9" s="490"/>
      <c r="K9" s="490"/>
      <c r="L9" s="490"/>
    </row>
    <row r="10" spans="1:16" ht="11.1" customHeight="1" x14ac:dyDescent="0.25">
      <c r="B10" s="16">
        <f t="shared" si="0"/>
        <v>1</v>
      </c>
      <c r="C10" s="17">
        <v>43899</v>
      </c>
      <c r="D10" s="22">
        <v>793.6</v>
      </c>
      <c r="E10" s="22"/>
      <c r="F10" s="232">
        <v>402.2</v>
      </c>
      <c r="G10" s="232"/>
      <c r="H10" s="448"/>
      <c r="I10" s="491"/>
      <c r="J10" s="490"/>
      <c r="K10" s="490"/>
      <c r="L10" s="490"/>
    </row>
    <row r="11" spans="1:16" ht="11.1" customHeight="1" x14ac:dyDescent="0.25">
      <c r="B11" s="16">
        <f t="shared" si="0"/>
        <v>2</v>
      </c>
      <c r="C11" s="17">
        <v>43900</v>
      </c>
      <c r="D11" s="22">
        <v>860.15</v>
      </c>
      <c r="E11" s="22"/>
      <c r="F11" s="232">
        <v>280</v>
      </c>
      <c r="G11" s="232"/>
      <c r="H11" s="232"/>
      <c r="I11" s="491">
        <v>324.75</v>
      </c>
      <c r="J11" s="490"/>
      <c r="K11" s="492"/>
      <c r="L11" s="492"/>
      <c r="M11" s="87"/>
      <c r="N11" s="87"/>
      <c r="O11" s="87"/>
      <c r="P11" s="87"/>
    </row>
    <row r="12" spans="1:16" ht="11.1" customHeight="1" x14ac:dyDescent="0.25">
      <c r="B12" s="16">
        <f t="shared" si="0"/>
        <v>3</v>
      </c>
      <c r="C12" s="17">
        <v>43901</v>
      </c>
      <c r="D12" s="22"/>
      <c r="E12" s="22">
        <v>451</v>
      </c>
      <c r="F12" s="232"/>
      <c r="G12" s="232">
        <v>278.3</v>
      </c>
      <c r="H12" s="232"/>
      <c r="I12" s="491">
        <v>90</v>
      </c>
      <c r="J12" s="490"/>
      <c r="K12" s="492"/>
      <c r="L12" s="492"/>
      <c r="M12" s="87"/>
      <c r="N12" s="87"/>
      <c r="O12" s="87"/>
      <c r="P12" s="87"/>
    </row>
    <row r="13" spans="1:16" ht="11.1" customHeight="1" x14ac:dyDescent="0.25">
      <c r="B13" s="16">
        <f t="shared" si="0"/>
        <v>4</v>
      </c>
      <c r="C13" s="17">
        <v>43902</v>
      </c>
      <c r="D13" s="22"/>
      <c r="E13" s="22">
        <v>844.1</v>
      </c>
      <c r="F13" s="232"/>
      <c r="G13" s="232">
        <v>390</v>
      </c>
      <c r="H13" s="232"/>
      <c r="I13" s="491">
        <v>135.19999999999999</v>
      </c>
      <c r="J13" s="490"/>
      <c r="K13" s="492"/>
      <c r="L13" s="492"/>
      <c r="M13" s="87"/>
      <c r="N13" s="87"/>
      <c r="O13" s="87"/>
      <c r="P13" s="87"/>
    </row>
    <row r="14" spans="1:16" ht="11.1" customHeight="1" x14ac:dyDescent="0.25">
      <c r="B14" s="16">
        <f t="shared" si="0"/>
        <v>5</v>
      </c>
      <c r="C14" s="17">
        <v>43903</v>
      </c>
      <c r="D14" s="22">
        <v>841.6</v>
      </c>
      <c r="E14" s="22"/>
      <c r="F14" s="232"/>
      <c r="G14" s="232">
        <v>424</v>
      </c>
      <c r="H14" s="232"/>
      <c r="I14" s="491"/>
      <c r="J14" s="490"/>
      <c r="K14" s="492"/>
      <c r="L14" s="492"/>
      <c r="M14" s="87"/>
      <c r="N14" s="87"/>
      <c r="O14" s="87"/>
      <c r="P14" s="87"/>
    </row>
    <row r="15" spans="1:16" ht="11.25" customHeight="1" x14ac:dyDescent="0.25">
      <c r="A15" s="87"/>
      <c r="B15" s="16">
        <f t="shared" si="0"/>
        <v>6</v>
      </c>
      <c r="C15" s="17">
        <v>43904</v>
      </c>
      <c r="D15" s="22">
        <v>1001.25</v>
      </c>
      <c r="E15" s="22"/>
      <c r="F15" s="232">
        <v>392.5</v>
      </c>
      <c r="G15" s="232"/>
      <c r="H15" s="649"/>
      <c r="I15" s="117"/>
      <c r="J15" s="490"/>
      <c r="K15" s="492"/>
      <c r="L15" s="492"/>
      <c r="M15" s="87"/>
      <c r="N15" s="87"/>
      <c r="O15" s="87"/>
      <c r="P15" s="87"/>
    </row>
    <row r="16" spans="1:16" ht="12.75" customHeight="1" x14ac:dyDescent="0.25">
      <c r="B16" s="16">
        <f t="shared" si="0"/>
        <v>7</v>
      </c>
      <c r="C16" s="17">
        <v>43905</v>
      </c>
      <c r="D16" s="22"/>
      <c r="E16" s="22">
        <v>1454.45</v>
      </c>
      <c r="F16" s="232">
        <v>439.9</v>
      </c>
      <c r="G16" s="232"/>
      <c r="H16" s="14"/>
      <c r="I16" s="491"/>
      <c r="J16" s="490"/>
      <c r="K16" s="492"/>
      <c r="L16" s="492"/>
      <c r="M16" s="87"/>
      <c r="N16" s="87"/>
      <c r="O16" s="87"/>
      <c r="P16" s="87"/>
    </row>
    <row r="17" spans="1:16" ht="11.1" customHeight="1" x14ac:dyDescent="0.25">
      <c r="B17" s="16">
        <f t="shared" si="0"/>
        <v>1</v>
      </c>
      <c r="C17" s="17">
        <v>43906</v>
      </c>
      <c r="D17" s="22"/>
      <c r="E17" s="22">
        <v>983.25</v>
      </c>
      <c r="F17" s="232"/>
      <c r="G17" s="232">
        <v>206</v>
      </c>
      <c r="H17" s="14"/>
      <c r="I17" s="491"/>
      <c r="J17" s="490"/>
      <c r="K17" s="492"/>
      <c r="L17" s="492"/>
      <c r="M17" s="87"/>
      <c r="N17" s="87"/>
      <c r="O17" s="87"/>
      <c r="P17" s="87"/>
    </row>
    <row r="18" spans="1:16" ht="11.1" customHeight="1" x14ac:dyDescent="0.25">
      <c r="B18" s="16">
        <f t="shared" si="0"/>
        <v>2</v>
      </c>
      <c r="C18" s="17">
        <v>43907</v>
      </c>
      <c r="D18" s="22">
        <v>906.3</v>
      </c>
      <c r="E18" s="22"/>
      <c r="F18" s="232"/>
      <c r="G18" s="232">
        <v>505.2</v>
      </c>
      <c r="H18" s="232"/>
      <c r="I18" s="491"/>
      <c r="J18" s="490"/>
      <c r="K18" s="492"/>
      <c r="L18" s="492"/>
      <c r="M18" s="87"/>
      <c r="N18" s="87"/>
      <c r="O18" s="87"/>
      <c r="P18" s="87"/>
    </row>
    <row r="19" spans="1:16" ht="11.1" customHeight="1" x14ac:dyDescent="0.25">
      <c r="B19" s="16">
        <f t="shared" si="0"/>
        <v>3</v>
      </c>
      <c r="C19" s="17">
        <v>43908</v>
      </c>
      <c r="D19" s="22">
        <v>2235.1</v>
      </c>
      <c r="E19" s="22"/>
      <c r="F19" s="232"/>
      <c r="G19" s="232">
        <v>271.10000000000002</v>
      </c>
      <c r="H19" s="14"/>
      <c r="I19" s="491"/>
      <c r="J19" s="490"/>
      <c r="K19" s="492"/>
      <c r="L19" s="492"/>
      <c r="M19" s="87"/>
      <c r="N19" s="87"/>
      <c r="O19" s="87"/>
      <c r="P19" s="87"/>
    </row>
    <row r="20" spans="1:16" s="87" customFormat="1" ht="11.1" customHeight="1" x14ac:dyDescent="0.25">
      <c r="A20" s="519"/>
      <c r="B20" s="483">
        <f t="shared" si="0"/>
        <v>4</v>
      </c>
      <c r="C20" s="17">
        <v>43909</v>
      </c>
      <c r="D20" s="22"/>
      <c r="E20" s="22">
        <v>1433.5</v>
      </c>
      <c r="F20" s="232">
        <v>779.5</v>
      </c>
      <c r="G20" s="232"/>
      <c r="H20" s="22"/>
      <c r="I20" s="497"/>
      <c r="J20" s="492"/>
      <c r="K20" s="492"/>
      <c r="L20" s="492"/>
    </row>
    <row r="21" spans="1:16" s="87" customFormat="1" ht="11.1" customHeight="1" x14ac:dyDescent="0.25">
      <c r="B21" s="483">
        <f t="shared" si="0"/>
        <v>5</v>
      </c>
      <c r="C21" s="17">
        <v>43910</v>
      </c>
      <c r="D21" s="22"/>
      <c r="E21" s="22">
        <v>1610.65</v>
      </c>
      <c r="F21" s="232">
        <v>682</v>
      </c>
      <c r="G21" s="232"/>
      <c r="H21" s="232"/>
      <c r="I21" s="497"/>
      <c r="J21" s="492"/>
      <c r="K21" s="492"/>
      <c r="L21" s="492"/>
    </row>
    <row r="22" spans="1:16" s="87" customFormat="1" ht="11.1" customHeight="1" x14ac:dyDescent="0.25">
      <c r="B22" s="483">
        <f>IF(C22="","",WEEKDAY(C22,2))</f>
        <v>6</v>
      </c>
      <c r="C22" s="17">
        <v>43911</v>
      </c>
      <c r="D22" s="22">
        <v>1427.1</v>
      </c>
      <c r="E22" s="22"/>
      <c r="F22" s="232"/>
      <c r="G22" s="232">
        <v>630.20000000000005</v>
      </c>
      <c r="H22" s="232"/>
      <c r="I22" s="497"/>
      <c r="J22" s="492"/>
      <c r="K22" s="492"/>
      <c r="L22" s="492"/>
    </row>
    <row r="23" spans="1:16" s="87" customFormat="1" ht="11.1" customHeight="1" x14ac:dyDescent="0.25">
      <c r="B23" s="483">
        <f t="shared" si="0"/>
        <v>7</v>
      </c>
      <c r="C23" s="17">
        <v>43912</v>
      </c>
      <c r="D23" s="22">
        <f>913.4+8</f>
        <v>921.4</v>
      </c>
      <c r="E23" s="22"/>
      <c r="F23" s="232"/>
      <c r="G23" s="232">
        <v>429.5</v>
      </c>
      <c r="H23" s="520"/>
      <c r="I23" s="497"/>
      <c r="J23" s="492"/>
      <c r="K23" s="492"/>
      <c r="L23" s="492"/>
    </row>
    <row r="24" spans="1:16" s="87" customFormat="1" ht="10.5" customHeight="1" x14ac:dyDescent="0.25">
      <c r="B24" s="483">
        <f t="shared" si="0"/>
        <v>1</v>
      </c>
      <c r="C24" s="17">
        <v>43913</v>
      </c>
      <c r="D24" s="22"/>
      <c r="E24" s="22">
        <v>1095.2</v>
      </c>
      <c r="F24" s="232"/>
      <c r="G24" s="232">
        <v>445.5</v>
      </c>
      <c r="H24" s="232"/>
      <c r="I24" s="497"/>
      <c r="J24" s="492"/>
      <c r="K24" s="492"/>
      <c r="L24" s="492"/>
    </row>
    <row r="25" spans="1:16" s="87" customFormat="1" ht="11.1" customHeight="1" x14ac:dyDescent="0.25">
      <c r="B25" s="483">
        <f t="shared" si="0"/>
        <v>2</v>
      </c>
      <c r="C25" s="17">
        <v>43914</v>
      </c>
      <c r="D25" s="22"/>
      <c r="E25" s="22"/>
      <c r="F25" s="232"/>
      <c r="G25" s="232"/>
      <c r="H25" s="232"/>
      <c r="I25" s="497"/>
      <c r="J25" s="492"/>
      <c r="K25" s="492"/>
      <c r="L25" s="521"/>
    </row>
    <row r="26" spans="1:16" s="87" customFormat="1" ht="11.1" customHeight="1" x14ac:dyDescent="0.25">
      <c r="B26" s="483">
        <f t="shared" si="0"/>
        <v>3</v>
      </c>
      <c r="C26" s="17">
        <v>43915</v>
      </c>
      <c r="D26" s="22"/>
      <c r="E26" s="22"/>
      <c r="F26" s="22"/>
      <c r="G26" s="578"/>
      <c r="H26" s="232"/>
      <c r="I26" s="497"/>
      <c r="J26" s="492"/>
      <c r="K26" s="492"/>
      <c r="L26" s="521"/>
    </row>
    <row r="27" spans="1:16" s="87" customFormat="1" ht="11.1" customHeight="1" x14ac:dyDescent="0.25">
      <c r="B27" s="483">
        <f t="shared" si="0"/>
        <v>4</v>
      </c>
      <c r="C27" s="17">
        <v>43916</v>
      </c>
      <c r="D27" s="22"/>
      <c r="E27" s="22"/>
      <c r="F27" s="232"/>
      <c r="G27" s="619"/>
      <c r="H27" s="232"/>
      <c r="I27" s="496"/>
      <c r="J27" s="500"/>
      <c r="K27" s="500"/>
      <c r="L27" s="500"/>
      <c r="M27" s="373"/>
      <c r="N27" s="373"/>
      <c r="O27" s="373"/>
      <c r="P27" s="373"/>
    </row>
    <row r="28" spans="1:16" s="87" customFormat="1" ht="10.5" customHeight="1" x14ac:dyDescent="0.25">
      <c r="A28" s="519"/>
      <c r="B28" s="483">
        <f t="shared" si="0"/>
        <v>5</v>
      </c>
      <c r="C28" s="17">
        <v>43917</v>
      </c>
      <c r="D28" s="22"/>
      <c r="E28" s="22"/>
      <c r="F28" s="232"/>
      <c r="G28" s="232"/>
      <c r="H28" s="232"/>
      <c r="I28" s="496"/>
      <c r="J28" s="500"/>
      <c r="K28" s="500"/>
      <c r="L28" s="500"/>
      <c r="M28" s="373"/>
      <c r="N28" s="373"/>
      <c r="O28" s="373"/>
      <c r="P28" s="373"/>
    </row>
    <row r="29" spans="1:16" s="87" customFormat="1" ht="10.5" customHeight="1" x14ac:dyDescent="0.25">
      <c r="B29" s="483">
        <f t="shared" si="0"/>
        <v>6</v>
      </c>
      <c r="C29" s="17">
        <v>43918</v>
      </c>
      <c r="D29" s="22"/>
      <c r="E29" s="22"/>
      <c r="F29" s="232"/>
      <c r="G29" s="232"/>
      <c r="H29" s="232"/>
      <c r="I29" s="496"/>
      <c r="J29" s="500"/>
      <c r="K29" s="500"/>
      <c r="L29" s="500"/>
      <c r="M29" s="373"/>
      <c r="N29" s="373"/>
      <c r="O29" s="373"/>
      <c r="P29" s="373"/>
    </row>
    <row r="30" spans="1:16" s="87" customFormat="1" ht="11.1" customHeight="1" x14ac:dyDescent="0.25">
      <c r="B30" s="483">
        <f t="shared" si="0"/>
        <v>7</v>
      </c>
      <c r="C30" s="17">
        <v>43919</v>
      </c>
      <c r="D30" s="22"/>
      <c r="E30" s="22"/>
      <c r="F30" s="232"/>
      <c r="G30" s="232"/>
      <c r="H30" s="232"/>
      <c r="I30" s="496"/>
      <c r="J30" s="496"/>
      <c r="K30" s="500"/>
      <c r="L30" s="500"/>
      <c r="M30" s="373"/>
      <c r="N30" s="373"/>
      <c r="O30" s="373"/>
      <c r="P30" s="373"/>
    </row>
    <row r="31" spans="1:16" s="87" customFormat="1" ht="11.1" customHeight="1" x14ac:dyDescent="0.25">
      <c r="A31" s="519"/>
      <c r="B31" s="483">
        <f t="shared" si="0"/>
        <v>1</v>
      </c>
      <c r="C31" s="17">
        <v>43920</v>
      </c>
      <c r="D31" s="22"/>
      <c r="E31" s="22"/>
      <c r="F31" s="232"/>
      <c r="G31" s="232"/>
      <c r="H31" s="22"/>
      <c r="I31" s="501"/>
      <c r="J31" s="501"/>
      <c r="K31" s="501"/>
      <c r="L31" s="501"/>
      <c r="M31" s="373"/>
      <c r="N31" s="373"/>
      <c r="O31" s="373"/>
      <c r="P31" s="373"/>
    </row>
    <row r="32" spans="1:16" s="87" customFormat="1" ht="12" customHeight="1" x14ac:dyDescent="0.25">
      <c r="A32" s="519"/>
      <c r="B32" s="483">
        <f t="shared" si="0"/>
        <v>2</v>
      </c>
      <c r="C32" s="17">
        <v>43921</v>
      </c>
      <c r="D32" s="243"/>
      <c r="E32" s="243"/>
      <c r="F32" s="232"/>
      <c r="G32" s="232"/>
      <c r="H32" s="619"/>
      <c r="I32" s="501"/>
      <c r="J32" s="501"/>
      <c r="K32" s="501"/>
      <c r="L32" s="501"/>
      <c r="M32" s="373"/>
      <c r="N32" s="373"/>
      <c r="O32" s="373"/>
      <c r="P32" s="373"/>
    </row>
    <row r="33" spans="1:19" ht="12.95" customHeight="1" thickBot="1" x14ac:dyDescent="0.3">
      <c r="B33" s="21"/>
      <c r="C33" s="635" t="s">
        <v>229</v>
      </c>
      <c r="D33" s="254">
        <f>COUNT(D2:D32)</f>
        <v>11</v>
      </c>
      <c r="E33" s="254">
        <f>COUNT(E2:E32)</f>
        <v>12</v>
      </c>
      <c r="F33" s="254">
        <f>COUNT(F2:F32)</f>
        <v>8</v>
      </c>
      <c r="G33" s="254">
        <f>COUNT(G2:G32)</f>
        <v>15</v>
      </c>
      <c r="I33" s="501"/>
      <c r="J33" s="501"/>
      <c r="K33" s="501"/>
      <c r="L33" s="501"/>
      <c r="M33" s="373"/>
      <c r="N33" s="373"/>
      <c r="O33" s="373"/>
      <c r="P33" s="373"/>
    </row>
    <row r="34" spans="1:19" ht="12.75" customHeight="1" thickBot="1" x14ac:dyDescent="0.3">
      <c r="B34" s="21"/>
      <c r="C34" s="86" t="s">
        <v>13</v>
      </c>
      <c r="D34" s="244">
        <f>SUM(D2:D32)</f>
        <v>11278</v>
      </c>
      <c r="E34" s="244">
        <f>SUM(E2:E32)</f>
        <v>11464.85</v>
      </c>
      <c r="F34" s="244">
        <f>SUM(F2:F32)</f>
        <v>3524.6</v>
      </c>
      <c r="G34" s="244">
        <f t="shared" ref="G34" si="1">SUM(G2:G32)</f>
        <v>6391</v>
      </c>
      <c r="H34" s="1"/>
      <c r="I34" s="259" t="s">
        <v>189</v>
      </c>
      <c r="J34" s="298" t="s">
        <v>190</v>
      </c>
      <c r="K34" s="474" t="s">
        <v>221</v>
      </c>
      <c r="L34" s="370"/>
      <c r="M34" s="373"/>
      <c r="N34" s="373"/>
      <c r="O34" s="373"/>
      <c r="P34" s="373"/>
    </row>
    <row r="35" spans="1:19" ht="14.1" customHeight="1" thickBot="1" x14ac:dyDescent="0.3">
      <c r="B35" s="21"/>
      <c r="C35" s="86" t="s">
        <v>22</v>
      </c>
      <c r="D35" s="244">
        <v>11738.09</v>
      </c>
      <c r="E35" s="244">
        <v>12650.3</v>
      </c>
      <c r="F35" s="244">
        <v>2431.5</v>
      </c>
      <c r="G35" s="244">
        <v>5643.5</v>
      </c>
      <c r="H35" s="1"/>
      <c r="I35" s="298">
        <f>SUM(D2:E32)</f>
        <v>22742.850000000002</v>
      </c>
      <c r="J35" s="298">
        <f>SUM(F2:G32)</f>
        <v>9915.6</v>
      </c>
      <c r="K35" s="475">
        <f>SUM(I2:I32)</f>
        <v>1625.2</v>
      </c>
      <c r="L35" s="370"/>
      <c r="M35" s="373"/>
      <c r="N35" s="373"/>
      <c r="O35" s="373"/>
      <c r="P35" s="373"/>
    </row>
    <row r="36" spans="1:19" ht="14.1" customHeight="1" x14ac:dyDescent="0.25">
      <c r="B36" s="21"/>
      <c r="C36" s="86" t="s">
        <v>5</v>
      </c>
      <c r="D36" s="89">
        <f>ABS(D34-D35)</f>
        <v>460.09000000000015</v>
      </c>
      <c r="E36" s="89">
        <f>ABS(E34-E35)</f>
        <v>1185.4499999999989</v>
      </c>
      <c r="F36" s="89">
        <f>ABS(F34-F35)</f>
        <v>1093.0999999999999</v>
      </c>
      <c r="G36" s="89">
        <f>ABS(G34-G35)</f>
        <v>747.5</v>
      </c>
      <c r="H36" s="1"/>
      <c r="I36" s="370"/>
      <c r="J36" s="370"/>
      <c r="K36" s="370"/>
      <c r="L36" s="370"/>
      <c r="M36" s="373"/>
      <c r="N36" s="373"/>
      <c r="O36" s="373"/>
      <c r="P36" s="373"/>
    </row>
    <row r="37" spans="1:19" ht="14.1" customHeight="1" x14ac:dyDescent="0.25">
      <c r="B37" s="21"/>
      <c r="C37" s="544" t="s">
        <v>242</v>
      </c>
      <c r="D37" s="90">
        <f>ROUND(D36*1%,2)</f>
        <v>4.5999999999999996</v>
      </c>
      <c r="E37" s="90">
        <f>ROUND(E36*1%,2)</f>
        <v>11.85</v>
      </c>
      <c r="F37" s="90">
        <f t="shared" ref="F37:G37" si="2">ROUND(F36*1%,2)</f>
        <v>10.93</v>
      </c>
      <c r="G37" s="90">
        <f t="shared" si="2"/>
        <v>7.48</v>
      </c>
      <c r="H37" s="1"/>
      <c r="I37" s="370"/>
      <c r="J37" s="370"/>
      <c r="K37" s="370"/>
      <c r="L37" s="370"/>
      <c r="M37" s="373"/>
      <c r="N37" s="373"/>
      <c r="O37" s="373"/>
      <c r="P37" s="373"/>
    </row>
    <row r="38" spans="1:19" ht="14.1" customHeight="1" x14ac:dyDescent="0.25">
      <c r="B38" s="21"/>
      <c r="C38" s="544" t="s">
        <v>243</v>
      </c>
      <c r="D38" s="90">
        <f>ROUND(3%*D35,2)</f>
        <v>352.14</v>
      </c>
      <c r="E38" s="90">
        <f>ROUND(3%*E35,2)</f>
        <v>379.51</v>
      </c>
      <c r="F38" s="90">
        <f t="shared" ref="F38:G38" si="3">ROUND(3%*F35,2)</f>
        <v>72.95</v>
      </c>
      <c r="G38" s="90">
        <f t="shared" si="3"/>
        <v>169.31</v>
      </c>
      <c r="H38" s="1"/>
      <c r="I38" s="148"/>
      <c r="J38" s="148"/>
      <c r="K38" s="373"/>
      <c r="L38" s="370"/>
      <c r="M38" s="373"/>
      <c r="N38" s="373"/>
      <c r="O38" s="373"/>
      <c r="P38" s="373"/>
    </row>
    <row r="39" spans="1:19" ht="14.1" customHeight="1" x14ac:dyDescent="0.25">
      <c r="B39" s="21"/>
      <c r="C39" s="86" t="s">
        <v>7</v>
      </c>
      <c r="D39" s="88">
        <v>150</v>
      </c>
      <c r="E39" s="88">
        <v>50</v>
      </c>
      <c r="F39" s="88"/>
      <c r="G39" s="517"/>
      <c r="H39" s="12"/>
      <c r="I39" s="373"/>
      <c r="J39" s="373"/>
      <c r="K39" s="373"/>
      <c r="L39" s="370"/>
      <c r="M39" s="373"/>
      <c r="N39" s="373"/>
      <c r="O39" s="373"/>
      <c r="P39" s="373"/>
    </row>
    <row r="40" spans="1:19" ht="14.1" customHeight="1" x14ac:dyDescent="0.25">
      <c r="B40" s="21"/>
      <c r="C40" s="86" t="s">
        <v>253</v>
      </c>
      <c r="D40" s="88">
        <f>ROUND(20*D33,2)</f>
        <v>220</v>
      </c>
      <c r="E40" s="88">
        <f>ROUND(20*E33,2)</f>
        <v>240</v>
      </c>
      <c r="F40" s="549">
        <f>ROUND(23*F33,2)</f>
        <v>184</v>
      </c>
      <c r="G40" s="89">
        <f>ROUND(23*G33,2)</f>
        <v>345</v>
      </c>
      <c r="H40" s="8"/>
      <c r="I40" s="129"/>
      <c r="J40" s="148"/>
      <c r="K40" s="148"/>
      <c r="L40" s="370"/>
      <c r="M40" s="373"/>
      <c r="N40" s="373"/>
      <c r="O40" s="373"/>
      <c r="P40" s="373"/>
    </row>
    <row r="41" spans="1:19" ht="14.1" customHeight="1" x14ac:dyDescent="0.25">
      <c r="B41" s="31"/>
      <c r="C41" s="245" t="s">
        <v>94</v>
      </c>
      <c r="D41" s="246">
        <v>337.71</v>
      </c>
      <c r="E41" s="247">
        <v>180.88</v>
      </c>
      <c r="F41" s="88"/>
      <c r="G41" s="88">
        <v>257.08999999999997</v>
      </c>
      <c r="I41" s="148"/>
      <c r="J41" s="373"/>
      <c r="K41" s="373"/>
      <c r="L41" s="370"/>
      <c r="M41" s="373"/>
      <c r="N41" s="373"/>
      <c r="O41" s="373"/>
      <c r="P41" s="373"/>
    </row>
    <row r="42" spans="1:19" ht="14.1" customHeight="1" x14ac:dyDescent="0.25">
      <c r="B42" s="21"/>
      <c r="C42" s="248" t="s">
        <v>26</v>
      </c>
      <c r="D42" s="249"/>
      <c r="E42" s="246">
        <v>100</v>
      </c>
      <c r="F42" s="88"/>
      <c r="G42" s="88"/>
      <c r="I42" s="289"/>
      <c r="J42" s="373"/>
      <c r="K42" s="373"/>
      <c r="L42" s="373"/>
      <c r="M42" s="373"/>
      <c r="N42" s="373"/>
      <c r="O42" s="373"/>
      <c r="P42" s="373"/>
    </row>
    <row r="43" spans="1:19" ht="14.1" customHeight="1" x14ac:dyDescent="0.25">
      <c r="B43" s="21"/>
      <c r="C43" s="251" t="s">
        <v>77</v>
      </c>
      <c r="D43" s="478">
        <f>D37+D38+D39+D40-D41</f>
        <v>389.03000000000003</v>
      </c>
      <c r="E43" s="478">
        <f>E37+E38+E39+E40-E41-E42</f>
        <v>400.48</v>
      </c>
      <c r="F43" s="478">
        <f>F37+F38+F40</f>
        <v>267.88</v>
      </c>
      <c r="G43" s="478">
        <f>G37+G38+G39+G40-G41-G42</f>
        <v>264.7</v>
      </c>
      <c r="I43" s="373"/>
      <c r="J43" s="373"/>
      <c r="K43" s="373"/>
      <c r="L43" s="373"/>
      <c r="M43" s="373"/>
      <c r="N43" s="373"/>
      <c r="O43" s="373"/>
      <c r="P43" s="373"/>
    </row>
    <row r="44" spans="1:19" ht="14.1" customHeight="1" x14ac:dyDescent="0.25">
      <c r="B44" s="21"/>
      <c r="C44" s="292" t="s">
        <v>45</v>
      </c>
      <c r="D44" s="293">
        <f>D37+D38+D39+D40</f>
        <v>726.74</v>
      </c>
      <c r="E44" s="293">
        <f>E37+E38+E39+E40</f>
        <v>681.36</v>
      </c>
      <c r="F44" s="293">
        <f>F37+F38+F39+F40</f>
        <v>267.88</v>
      </c>
      <c r="G44" s="293">
        <f>G37+G38+G39+G40</f>
        <v>521.79</v>
      </c>
      <c r="I44" s="486"/>
      <c r="J44" s="373"/>
      <c r="K44" s="373"/>
      <c r="L44" s="373"/>
      <c r="M44" s="373"/>
      <c r="N44" s="373"/>
      <c r="O44" s="373"/>
      <c r="P44" s="373"/>
    </row>
    <row r="45" spans="1:19" ht="12.95" customHeight="1" x14ac:dyDescent="0.25">
      <c r="B45" s="21"/>
      <c r="C45" s="172"/>
      <c r="D45" s="371"/>
      <c r="E45" s="486"/>
      <c r="F45" s="8"/>
      <c r="G45" s="8"/>
      <c r="I45" s="129"/>
      <c r="J45" s="587"/>
      <c r="K45" s="219"/>
      <c r="L45" s="219"/>
      <c r="M45" s="219"/>
      <c r="N45" s="219"/>
      <c r="O45" s="219"/>
      <c r="P45" s="219"/>
      <c r="Q45" s="7"/>
      <c r="R45" s="7"/>
      <c r="S45" s="588"/>
    </row>
    <row r="46" spans="1:19" ht="12.95" customHeight="1" x14ac:dyDescent="0.25">
      <c r="A46" s="8"/>
      <c r="B46" s="31"/>
      <c r="C46" s="1"/>
      <c r="D46" s="12"/>
      <c r="E46" s="76"/>
      <c r="F46" s="8"/>
      <c r="G46" s="8"/>
      <c r="H46" s="8"/>
      <c r="I46" s="69"/>
      <c r="J46" s="589"/>
      <c r="K46" s="373"/>
      <c r="L46" s="373"/>
      <c r="M46" s="148"/>
      <c r="N46" s="373"/>
      <c r="O46" s="373"/>
      <c r="P46" s="373"/>
      <c r="Q46" s="1"/>
      <c r="R46" s="1"/>
      <c r="S46" s="590"/>
    </row>
    <row r="47" spans="1:19" ht="12.95" customHeight="1" x14ac:dyDescent="0.25">
      <c r="A47" s="8"/>
      <c r="B47" s="31"/>
      <c r="C47" s="1"/>
      <c r="D47" s="12"/>
      <c r="E47" s="128"/>
      <c r="F47" s="8"/>
      <c r="H47" s="8"/>
      <c r="I47" s="73"/>
      <c r="J47" s="589"/>
      <c r="K47" s="373"/>
      <c r="L47" s="373"/>
      <c r="M47" s="148"/>
      <c r="N47" s="373"/>
      <c r="O47" s="373"/>
      <c r="P47" s="373"/>
      <c r="Q47" s="1"/>
      <c r="R47" s="1"/>
      <c r="S47" s="590"/>
    </row>
    <row r="48" spans="1:19" ht="12.95" customHeight="1" x14ac:dyDescent="0.25">
      <c r="B48" s="32"/>
      <c r="C48" s="1"/>
      <c r="D48" s="1"/>
      <c r="E48" s="11"/>
      <c r="H48" s="213"/>
      <c r="I48" s="69"/>
      <c r="J48" s="589"/>
      <c r="K48" s="373"/>
      <c r="L48" s="373"/>
      <c r="M48" s="373"/>
      <c r="N48" s="373"/>
      <c r="O48" s="373"/>
      <c r="P48" s="373"/>
      <c r="Q48" s="1"/>
      <c r="R48" s="1"/>
      <c r="S48" s="590"/>
    </row>
    <row r="49" spans="1:19" s="87" customFormat="1" ht="12.95" customHeight="1" x14ac:dyDescent="0.3">
      <c r="B49" s="584"/>
      <c r="C49" s="585"/>
      <c r="D49" s="585"/>
      <c r="E49" s="585"/>
      <c r="F49" s="585"/>
      <c r="G49" s="585"/>
      <c r="H49" s="586"/>
      <c r="I49" s="636"/>
      <c r="J49" s="373"/>
      <c r="K49" s="373"/>
      <c r="L49" s="373"/>
      <c r="M49" s="373"/>
      <c r="N49" s="373"/>
      <c r="O49" s="373"/>
      <c r="P49" s="373"/>
      <c r="Q49" s="373"/>
      <c r="R49" s="373"/>
      <c r="S49" s="169"/>
    </row>
    <row r="50" spans="1:19" s="87" customFormat="1" ht="12.95" customHeight="1" x14ac:dyDescent="0.3">
      <c r="C50" s="585"/>
      <c r="D50" s="585"/>
      <c r="E50" s="622"/>
      <c r="F50" s="622"/>
      <c r="G50" s="585"/>
      <c r="H50" s="171"/>
      <c r="I50" s="623"/>
      <c r="J50" s="591"/>
      <c r="K50" s="585"/>
      <c r="L50" s="373"/>
      <c r="M50" s="373"/>
      <c r="N50" s="373"/>
      <c r="O50" s="373"/>
      <c r="P50" s="373"/>
      <c r="Q50" s="373"/>
      <c r="R50" s="373"/>
      <c r="S50" s="169"/>
    </row>
    <row r="51" spans="1:19" s="87" customFormat="1" ht="12" customHeight="1" x14ac:dyDescent="0.3">
      <c r="A51" s="373"/>
      <c r="B51" s="373"/>
      <c r="C51" s="585"/>
      <c r="D51" s="585"/>
      <c r="E51" s="622"/>
      <c r="F51" s="622"/>
      <c r="G51" s="585"/>
      <c r="H51" s="586"/>
      <c r="I51" s="585"/>
      <c r="J51" s="591"/>
      <c r="K51" s="585"/>
      <c r="L51" s="373"/>
      <c r="M51" s="373"/>
      <c r="N51" s="373"/>
      <c r="O51" s="373"/>
      <c r="P51" s="373"/>
      <c r="Q51" s="373"/>
      <c r="R51" s="373"/>
      <c r="S51" s="169"/>
    </row>
    <row r="52" spans="1:19" s="87" customFormat="1" ht="18.75" x14ac:dyDescent="0.3">
      <c r="A52" s="373"/>
      <c r="B52" s="373"/>
      <c r="C52" s="373"/>
      <c r="D52" s="373"/>
      <c r="E52" s="147"/>
      <c r="H52" s="586"/>
      <c r="I52" s="585"/>
      <c r="J52" s="591"/>
      <c r="K52" s="585"/>
      <c r="L52" s="373"/>
      <c r="M52" s="373"/>
      <c r="N52" s="373"/>
      <c r="O52" s="373"/>
      <c r="P52" s="373"/>
      <c r="Q52" s="373"/>
      <c r="R52" s="373"/>
      <c r="S52" s="169"/>
    </row>
    <row r="53" spans="1:19" s="87" customFormat="1" x14ac:dyDescent="0.25">
      <c r="A53" s="373"/>
      <c r="B53" s="373"/>
      <c r="C53" s="373"/>
      <c r="D53" s="373"/>
      <c r="E53" s="147"/>
      <c r="I53" s="146"/>
      <c r="J53" s="589"/>
      <c r="K53" s="373"/>
      <c r="L53" s="373"/>
      <c r="M53" s="373"/>
      <c r="N53" s="373"/>
      <c r="O53" s="373"/>
      <c r="P53" s="373"/>
      <c r="Q53" s="373"/>
      <c r="R53" s="373"/>
      <c r="S53" s="169"/>
    </row>
    <row r="54" spans="1:19" s="87" customFormat="1" ht="15" customHeight="1" x14ac:dyDescent="0.3">
      <c r="A54" s="373"/>
      <c r="B54" s="373"/>
      <c r="C54" s="373"/>
      <c r="D54" s="373"/>
      <c r="E54" s="147"/>
      <c r="H54" s="622"/>
      <c r="I54" s="373"/>
      <c r="J54" s="589"/>
      <c r="K54" s="373"/>
      <c r="L54" s="373"/>
      <c r="M54" s="373"/>
      <c r="N54" s="373"/>
      <c r="O54" s="373"/>
      <c r="P54" s="373"/>
      <c r="Q54" s="373"/>
      <c r="R54" s="373"/>
      <c r="S54" s="169"/>
    </row>
    <row r="55" spans="1:19" s="87" customFormat="1" ht="15" customHeight="1" x14ac:dyDescent="0.3">
      <c r="A55" s="373"/>
      <c r="B55" s="373"/>
      <c r="C55" s="373"/>
      <c r="D55" s="373"/>
      <c r="E55" s="147"/>
      <c r="H55" s="622"/>
      <c r="I55" s="373"/>
      <c r="J55" s="589"/>
      <c r="K55" s="373"/>
      <c r="L55" s="373"/>
      <c r="M55" s="373"/>
      <c r="N55" s="373"/>
      <c r="O55" s="373"/>
      <c r="P55" s="373"/>
      <c r="Q55" s="373"/>
      <c r="R55" s="373"/>
      <c r="S55" s="169"/>
    </row>
    <row r="56" spans="1:19" s="87" customFormat="1" ht="15" customHeight="1" x14ac:dyDescent="0.3">
      <c r="A56" s="373"/>
      <c r="B56" s="373"/>
      <c r="C56" s="373"/>
      <c r="D56" s="373"/>
      <c r="E56" s="147"/>
      <c r="H56" s="622"/>
      <c r="I56" s="373"/>
      <c r="J56" s="589"/>
      <c r="K56" s="373"/>
      <c r="L56" s="373"/>
      <c r="M56" s="373"/>
      <c r="N56" s="373"/>
      <c r="O56" s="373"/>
      <c r="P56" s="373"/>
      <c r="Q56" s="373"/>
      <c r="R56" s="373"/>
      <c r="S56" s="169"/>
    </row>
    <row r="57" spans="1:19" s="87" customFormat="1" x14ac:dyDescent="0.25">
      <c r="A57" s="373"/>
      <c r="B57" s="373"/>
      <c r="C57" s="373"/>
      <c r="D57" s="373"/>
      <c r="E57" s="147"/>
      <c r="H57" s="171"/>
      <c r="J57" s="589"/>
      <c r="K57" s="373"/>
      <c r="L57" s="373"/>
      <c r="M57" s="373"/>
      <c r="N57" s="373"/>
      <c r="O57" s="373"/>
      <c r="P57" s="373"/>
      <c r="Q57" s="373"/>
      <c r="R57" s="373"/>
      <c r="S57" s="169"/>
    </row>
    <row r="58" spans="1:19" s="87" customFormat="1" x14ac:dyDescent="0.25">
      <c r="A58" s="373"/>
      <c r="B58" s="373"/>
      <c r="C58" s="373"/>
      <c r="D58" s="373"/>
      <c r="E58" s="147"/>
      <c r="J58" s="589"/>
      <c r="K58" s="373"/>
      <c r="L58" s="373"/>
      <c r="M58" s="373"/>
      <c r="N58" s="373"/>
      <c r="O58" s="373"/>
      <c r="P58" s="373"/>
      <c r="Q58" s="373"/>
      <c r="R58" s="373"/>
      <c r="S58" s="169"/>
    </row>
    <row r="59" spans="1:19" s="87" customFormat="1" x14ac:dyDescent="0.25">
      <c r="A59" s="373"/>
      <c r="B59" s="373"/>
      <c r="C59" s="373"/>
      <c r="D59" s="373"/>
      <c r="E59" s="147"/>
      <c r="J59" s="589"/>
      <c r="K59" s="373"/>
      <c r="L59" s="373"/>
      <c r="M59" s="373"/>
      <c r="N59" s="373"/>
      <c r="O59" s="373"/>
      <c r="P59" s="373"/>
      <c r="Q59" s="373"/>
      <c r="R59" s="373"/>
      <c r="S59" s="169"/>
    </row>
    <row r="60" spans="1:19" s="87" customFormat="1" x14ac:dyDescent="0.25">
      <c r="A60" s="373"/>
      <c r="B60" s="373"/>
      <c r="C60" s="373"/>
      <c r="D60" s="373"/>
      <c r="E60" s="147"/>
      <c r="J60" s="589"/>
      <c r="K60" s="373"/>
      <c r="L60" s="373"/>
      <c r="M60" s="373"/>
      <c r="N60" s="373"/>
      <c r="O60" s="373"/>
      <c r="P60" s="373"/>
      <c r="Q60" s="373"/>
      <c r="R60" s="373"/>
      <c r="S60" s="169"/>
    </row>
    <row r="61" spans="1:19" s="87" customFormat="1" x14ac:dyDescent="0.25">
      <c r="A61" s="373"/>
      <c r="B61" s="373"/>
      <c r="C61" s="373"/>
      <c r="D61" s="373"/>
      <c r="E61" s="147"/>
      <c r="J61" s="589"/>
      <c r="K61" s="373"/>
      <c r="L61" s="373"/>
      <c r="M61" s="373"/>
      <c r="N61" s="373"/>
      <c r="O61" s="373"/>
      <c r="P61" s="373"/>
      <c r="Q61" s="373"/>
      <c r="R61" s="373"/>
      <c r="S61" s="169"/>
    </row>
    <row r="62" spans="1:19" x14ac:dyDescent="0.25">
      <c r="A62" s="1"/>
      <c r="B62" s="1"/>
      <c r="C62" s="1"/>
      <c r="D62" s="1"/>
      <c r="E62" s="11"/>
      <c r="J62" s="592"/>
      <c r="K62" s="593"/>
      <c r="L62" s="593"/>
      <c r="M62" s="593"/>
      <c r="N62" s="593"/>
      <c r="O62" s="593"/>
      <c r="P62" s="593"/>
      <c r="Q62" s="593"/>
      <c r="R62" s="593"/>
      <c r="S62" s="594"/>
    </row>
    <row r="63" spans="1:19" x14ac:dyDescent="0.25">
      <c r="A63" s="1"/>
      <c r="B63" s="1"/>
      <c r="C63" s="1"/>
      <c r="D63" s="1"/>
      <c r="E63" s="11"/>
    </row>
    <row r="64" spans="1:19" x14ac:dyDescent="0.25">
      <c r="A64" s="1"/>
      <c r="B64" s="1"/>
      <c r="C64" s="1"/>
      <c r="D64" s="1"/>
      <c r="E64" s="11"/>
    </row>
    <row r="65" spans="1:5" x14ac:dyDescent="0.25">
      <c r="A65" s="1"/>
      <c r="B65" s="1"/>
      <c r="C65" s="1"/>
      <c r="D65" s="1"/>
      <c r="E65" s="11"/>
    </row>
    <row r="66" spans="1:5" x14ac:dyDescent="0.25">
      <c r="A66" s="1"/>
      <c r="B66" s="1"/>
      <c r="C66" s="11"/>
      <c r="D66" s="1"/>
      <c r="E66" s="11"/>
    </row>
    <row r="67" spans="1:5" x14ac:dyDescent="0.25">
      <c r="A67" s="1"/>
      <c r="B67" s="1"/>
      <c r="C67" s="1"/>
      <c r="D67" s="1"/>
      <c r="E67" s="11"/>
    </row>
    <row r="68" spans="1:5" x14ac:dyDescent="0.25">
      <c r="A68" s="1"/>
      <c r="B68" s="1"/>
      <c r="C68" s="1"/>
      <c r="D68" s="1"/>
      <c r="E68" s="11"/>
    </row>
    <row r="69" spans="1:5" x14ac:dyDescent="0.25">
      <c r="A69" s="1"/>
      <c r="B69" s="1"/>
      <c r="C69" s="1"/>
      <c r="D69" s="1"/>
      <c r="E69" s="11"/>
    </row>
    <row r="70" spans="1:5" x14ac:dyDescent="0.25">
      <c r="A70" s="1"/>
      <c r="B70" s="1"/>
      <c r="C70" s="1"/>
      <c r="D70" s="1"/>
      <c r="E70" s="11"/>
    </row>
    <row r="71" spans="1:5" x14ac:dyDescent="0.25">
      <c r="A71" s="1"/>
      <c r="B71" s="1"/>
      <c r="C71" s="1"/>
      <c r="D71" s="1"/>
      <c r="E71" s="11"/>
    </row>
    <row r="72" spans="1:5" x14ac:dyDescent="0.25">
      <c r="A72" s="1"/>
      <c r="B72" s="1"/>
      <c r="C72" s="1"/>
      <c r="D72" s="1"/>
      <c r="E72" s="11"/>
    </row>
    <row r="73" spans="1:5" x14ac:dyDescent="0.25">
      <c r="A73" s="1"/>
      <c r="B73" s="1"/>
      <c r="C73" s="1"/>
      <c r="D73" s="1"/>
      <c r="E73" s="11"/>
    </row>
    <row r="74" spans="1:5" x14ac:dyDescent="0.25">
      <c r="A74" s="1"/>
      <c r="B74" s="1"/>
      <c r="C74" s="1"/>
      <c r="D74" s="1"/>
      <c r="E74" s="11"/>
    </row>
    <row r="75" spans="1:5" x14ac:dyDescent="0.25">
      <c r="A75" s="1"/>
      <c r="B75" s="1"/>
      <c r="C75" s="1"/>
      <c r="D75" s="1"/>
      <c r="E75" s="11"/>
    </row>
    <row r="76" spans="1:5" x14ac:dyDescent="0.25">
      <c r="A76" s="1"/>
      <c r="B76" s="1"/>
      <c r="C76" s="1"/>
      <c r="D76" s="1"/>
      <c r="E76" s="11"/>
    </row>
    <row r="77" spans="1:5" x14ac:dyDescent="0.25">
      <c r="A77" s="1"/>
      <c r="B77" s="1"/>
      <c r="C77" s="1"/>
      <c r="D77" s="1"/>
      <c r="E77" s="11"/>
    </row>
    <row r="78" spans="1:5" x14ac:dyDescent="0.25">
      <c r="A78" s="1"/>
      <c r="B78" s="1"/>
      <c r="C78" s="1"/>
      <c r="D78" s="1"/>
      <c r="E78" s="11"/>
    </row>
    <row r="79" spans="1:5" x14ac:dyDescent="0.25">
      <c r="A79" s="1"/>
      <c r="B79" s="1"/>
      <c r="C79" s="1"/>
      <c r="D79" s="1"/>
      <c r="E79" s="11"/>
    </row>
    <row r="80" spans="1:5" x14ac:dyDescent="0.25">
      <c r="A80" s="1"/>
      <c r="B80" s="1"/>
      <c r="C80" s="1"/>
      <c r="D80" s="1"/>
      <c r="E80" s="11"/>
    </row>
    <row r="81" spans="1:5" x14ac:dyDescent="0.25">
      <c r="A81" s="1"/>
      <c r="B81" s="1"/>
      <c r="C81" s="1"/>
      <c r="D81" s="1"/>
      <c r="E81" s="11"/>
    </row>
    <row r="82" spans="1:5" x14ac:dyDescent="0.25">
      <c r="A82" s="1"/>
      <c r="B82" s="1"/>
      <c r="C82" s="1"/>
      <c r="D82" s="1"/>
      <c r="E82" s="11"/>
    </row>
    <row r="83" spans="1:5" x14ac:dyDescent="0.25">
      <c r="A83" s="1"/>
      <c r="B83" s="1"/>
      <c r="C83" s="1"/>
      <c r="D83" s="1"/>
      <c r="E83" s="11"/>
    </row>
    <row r="84" spans="1:5" x14ac:dyDescent="0.25">
      <c r="A84" s="1"/>
      <c r="B84" s="1"/>
      <c r="C84" s="1"/>
      <c r="D84" s="1"/>
      <c r="E84" s="11"/>
    </row>
    <row r="85" spans="1:5" x14ac:dyDescent="0.25">
      <c r="A85" s="1"/>
      <c r="B85" s="1"/>
      <c r="C85" s="1"/>
      <c r="D85" s="1"/>
      <c r="E85" s="11"/>
    </row>
    <row r="86" spans="1:5" x14ac:dyDescent="0.25">
      <c r="A86" s="1"/>
      <c r="B86" s="1"/>
      <c r="C86" s="1"/>
      <c r="D86" s="1"/>
      <c r="E86" s="11"/>
    </row>
    <row r="87" spans="1:5" x14ac:dyDescent="0.25">
      <c r="A87" s="1"/>
      <c r="B87" s="1"/>
      <c r="C87" s="1"/>
      <c r="D87" s="1"/>
      <c r="E87" s="11"/>
    </row>
    <row r="88" spans="1:5" x14ac:dyDescent="0.25">
      <c r="A88" s="1"/>
      <c r="B88" s="1"/>
      <c r="C88" s="1"/>
      <c r="D88" s="1"/>
      <c r="E88" s="2"/>
    </row>
    <row r="89" spans="1:5" x14ac:dyDescent="0.25">
      <c r="A89" s="1"/>
      <c r="B89" s="1"/>
      <c r="C89" s="1"/>
      <c r="D89" s="1"/>
      <c r="E89" s="2"/>
    </row>
    <row r="90" spans="1:5" x14ac:dyDescent="0.25">
      <c r="A90" s="1"/>
      <c r="B90" s="1"/>
      <c r="E90" s="2"/>
    </row>
    <row r="91" spans="1:5" x14ac:dyDescent="0.25">
      <c r="A91" s="1"/>
      <c r="B91" s="1"/>
      <c r="E91" s="2"/>
    </row>
    <row r="92" spans="1:5" x14ac:dyDescent="0.25">
      <c r="A92" s="1"/>
      <c r="B92" s="1"/>
      <c r="E92" s="2"/>
    </row>
    <row r="93" spans="1:5" x14ac:dyDescent="0.25">
      <c r="B93" s="1"/>
      <c r="E93" s="2"/>
    </row>
    <row r="94" spans="1:5" x14ac:dyDescent="0.25">
      <c r="B94" s="1"/>
      <c r="E94" s="2"/>
    </row>
    <row r="95" spans="1:5" x14ac:dyDescent="0.25">
      <c r="E95" s="2"/>
    </row>
    <row r="96" spans="1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</sheetData>
  <conditionalFormatting sqref="F32:G32 B2:G2 D29:G31 D3:G3 F4:G4 D4 D26:F28 B3:C32 D5:G25">
    <cfRule type="expression" dxfId="1" priority="1">
      <formula>$B2=7</formula>
    </cfRule>
    <cfRule type="expression" dxfId="0" priority="2">
      <formula>$B2=6</formula>
    </cfRule>
  </conditionalFormatting>
  <pageMargins left="0.7" right="0.7" top="0.75" bottom="0.75" header="0.3" footer="0.3"/>
  <pageSetup paperSize="11"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7</vt:i4>
      </vt:variant>
    </vt:vector>
  </HeadingPairs>
  <TitlesOfParts>
    <vt:vector size="18" baseType="lpstr">
      <vt:lpstr>ОБЩЕЕ</vt:lpstr>
      <vt:lpstr>ОБЩАЯ СВЕРКА</vt:lpstr>
      <vt:lpstr>сверка ДЕКАБРЬ</vt:lpstr>
      <vt:lpstr>ЗП ДЕКАБРЬ</vt:lpstr>
      <vt:lpstr>сверка ЯНВАРЬ</vt:lpstr>
      <vt:lpstr>ЗП ЯНВАРЬ</vt:lpstr>
      <vt:lpstr>ФЕВРАЛЬ</vt:lpstr>
      <vt:lpstr>ЗП ФЕВРАЛЬ</vt:lpstr>
      <vt:lpstr>расчетный лист</vt:lpstr>
      <vt:lpstr>МАРТ</vt:lpstr>
      <vt:lpstr>ЗП МАРТ</vt:lpstr>
      <vt:lpstr>'ЗП МАРТ'!Область_печати</vt:lpstr>
      <vt:lpstr>'ЗП ФЕВРАЛЬ'!Область_печати</vt:lpstr>
      <vt:lpstr>МАРТ!Область_печати</vt:lpstr>
      <vt:lpstr>'ОБЩАЯ СВЕРКА'!Область_печати</vt:lpstr>
      <vt:lpstr>'сверка ДЕКАБРЬ'!Область_печати</vt:lpstr>
      <vt:lpstr>'сверка ЯНВАРЬ'!Область_печати</vt:lpstr>
      <vt:lpstr>ФЕВРАЛЬ!Область_печати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Admin</cp:lastModifiedBy>
  <cp:lastPrinted>2020-02-29T23:24:55Z</cp:lastPrinted>
  <dcterms:created xsi:type="dcterms:W3CDTF">2019-05-31T14:37:56Z</dcterms:created>
  <dcterms:modified xsi:type="dcterms:W3CDTF">2020-03-27T18:17:15Z</dcterms:modified>
</cp:coreProperties>
</file>