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0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8" ContentType="application/binary"/>
  <Override PartName="/xl/commentsmeta7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3" ContentType="application/binary"/>
  <Override PartName="/xl/commentsmeta12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  <Override PartName="/xl/commentsmeta18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itor\Google Drive\DS\R-DataVisualization\3\WaffleChart\"/>
    </mc:Choice>
  </mc:AlternateContent>
  <xr:revisionPtr revIDLastSave="0" documentId="13_ncr:1_{F8B9D5A3-01E5-493D-968F-113D3B3FEAC0}" xr6:coauthVersionLast="45" xr6:coauthVersionMax="45" xr10:uidLastSave="{00000000-0000-0000-0000-000000000000}"/>
  <bookViews>
    <workbookView xWindow="-120" yWindow="-120" windowWidth="29040" windowHeight="15840" firstSheet="17" activeTab="26" xr2:uid="{00000000-000D-0000-FFFF-FFFF00000000}"/>
  </bookViews>
  <sheets>
    <sheet name="Dinâmica" sheetId="1" r:id="rId1"/>
    <sheet name="Nov2017" sheetId="2" r:id="rId2"/>
    <sheet name="Fev2018" sheetId="3" r:id="rId3"/>
    <sheet name="Mar2018" sheetId="4" r:id="rId4"/>
    <sheet name="Abr2018" sheetId="5" r:id="rId5"/>
    <sheet name="Maio2018" sheetId="6" r:id="rId6"/>
    <sheet name="Jun2018" sheetId="7" r:id="rId7"/>
    <sheet name="Jul2018" sheetId="8" r:id="rId8"/>
    <sheet name="Ago2018" sheetId="9" r:id="rId9"/>
    <sheet name="Set2018" sheetId="10" r:id="rId10"/>
    <sheet name="Out2018" sheetId="11" r:id="rId11"/>
    <sheet name="Nov2018" sheetId="12" r:id="rId12"/>
    <sheet name="Dez2018" sheetId="13" r:id="rId13"/>
    <sheet name="Jan2019" sheetId="14" r:id="rId14"/>
    <sheet name="Fev2019" sheetId="15" r:id="rId15"/>
    <sheet name="Mar2019" sheetId="16" r:id="rId16"/>
    <sheet name="Abril2019" sheetId="17" r:id="rId17"/>
    <sheet name="Maio2019" sheetId="18" r:id="rId18"/>
    <sheet name="Jun2019" sheetId="19" r:id="rId19"/>
    <sheet name="Jul2019" sheetId="20" r:id="rId20"/>
    <sheet name="Ago2019" sheetId="21" r:id="rId21"/>
    <sheet name="Set2019" sheetId="22" r:id="rId22"/>
    <sheet name="Out2019" sheetId="23" r:id="rId23"/>
    <sheet name="Nov2019" sheetId="24" r:id="rId24"/>
    <sheet name="Dez2019" sheetId="26" r:id="rId25"/>
    <sheet name="Decimo32019" sheetId="36" r:id="rId26"/>
    <sheet name="Jan2020" sheetId="37" r:id="rId27"/>
    <sheet name="Fev2020" sheetId="38" r:id="rId28"/>
    <sheet name="Mar2020" sheetId="39" r:id="rId29"/>
    <sheet name="Meses" sheetId="28" r:id="rId30"/>
    <sheet name="Essencial" sheetId="29" r:id="rId31"/>
    <sheet name="Exemplo" sheetId="30" r:id="rId32"/>
    <sheet name="BUeBOM" sheetId="31" r:id="rId33"/>
    <sheet name="TabelaDinâmica" sheetId="32" r:id="rId34"/>
    <sheet name="BaseDeDados" sheetId="33" r:id="rId35"/>
    <sheet name="Dinâmico" sheetId="34" r:id="rId36"/>
    <sheet name="Filtro " sheetId="35" r:id="rId37"/>
  </sheets>
  <definedNames>
    <definedName name="_xlnm._FilterDatabase" localSheetId="36" hidden="1">'Filtro '!$D$3:$O$26</definedName>
    <definedName name="Categorias">#REF!</definedName>
    <definedName name="Mês">#REF!</definedName>
  </definedNames>
  <calcPr calcId="191029"/>
  <pivotCaches>
    <pivotCache cacheId="5" r:id="rId38"/>
    <pivotCache cacheId="8" r:id="rId39"/>
    <pivotCache cacheId="10" r:id="rId4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42" roundtripDataSignature="AMtx7mhvJlReXbtjRXBuUCgYCCYxFhOJiQ=="/>
    </ext>
  </extLst>
</workbook>
</file>

<file path=xl/calcChain.xml><?xml version="1.0" encoding="utf-8"?>
<calcChain xmlns="http://schemas.openxmlformats.org/spreadsheetml/2006/main">
  <c r="G29" i="39" l="1"/>
  <c r="E29" i="39"/>
  <c r="G28" i="38"/>
  <c r="G31" i="38"/>
  <c r="E28" i="38"/>
  <c r="E29" i="37"/>
  <c r="I28" i="24"/>
  <c r="J28" i="24" s="1"/>
  <c r="C27" i="13"/>
  <c r="C26" i="12"/>
  <c r="C25" i="11"/>
  <c r="I29" i="26"/>
  <c r="J29" i="26"/>
  <c r="J26" i="23"/>
  <c r="J29" i="23"/>
  <c r="I26" i="23"/>
  <c r="C29" i="22"/>
  <c r="C29" i="21"/>
  <c r="C29" i="20"/>
  <c r="C29" i="19"/>
  <c r="C29" i="18"/>
  <c r="C29" i="17"/>
  <c r="C29" i="16"/>
  <c r="C29" i="15"/>
  <c r="C29" i="14"/>
  <c r="G29" i="37" l="1"/>
  <c r="AJ9" i="39"/>
  <c r="AJ26" i="39" l="1"/>
  <c r="AJ13" i="39" l="1"/>
  <c r="AI21" i="39"/>
  <c r="AL7" i="39" l="1"/>
  <c r="AK7" i="39"/>
  <c r="AJ7" i="39"/>
  <c r="AH7" i="39"/>
  <c r="AG7" i="39"/>
  <c r="AE7" i="39"/>
  <c r="AC7" i="39"/>
  <c r="Y7" i="39"/>
  <c r="P7" i="39"/>
  <c r="AF23" i="39"/>
  <c r="AF7" i="39" s="1"/>
  <c r="AF32" i="39"/>
  <c r="AD21" i="39" l="1"/>
  <c r="AD7" i="39" s="1"/>
  <c r="AC44" i="39" l="1"/>
  <c r="AC43" i="39"/>
  <c r="AC42" i="39"/>
  <c r="AC41" i="39"/>
  <c r="AC40" i="39"/>
  <c r="AC38" i="39"/>
  <c r="AC37" i="39"/>
  <c r="W13" i="39"/>
  <c r="AB21" i="39"/>
  <c r="AB7" i="39" s="1"/>
  <c r="Z8" i="39"/>
  <c r="Z7" i="39" s="1"/>
  <c r="X8" i="39"/>
  <c r="X7" i="39" s="1"/>
  <c r="W25" i="39"/>
  <c r="W26" i="39"/>
  <c r="W21" i="39"/>
  <c r="W10" i="39"/>
  <c r="W7" i="39" s="1"/>
  <c r="AA11" i="39"/>
  <c r="AA7" i="39" s="1"/>
  <c r="Q12" i="39" l="1"/>
  <c r="E32" i="39" l="1"/>
  <c r="E31" i="39"/>
  <c r="E28" i="39"/>
  <c r="E27" i="39"/>
  <c r="E25" i="39"/>
  <c r="E24" i="39"/>
  <c r="E22" i="39"/>
  <c r="E20" i="39"/>
  <c r="E19" i="39"/>
  <c r="E17" i="39"/>
  <c r="E16" i="39"/>
  <c r="E15" i="39"/>
  <c r="U9" i="39"/>
  <c r="U7" i="39" s="1"/>
  <c r="V21" i="39"/>
  <c r="V7" i="39" s="1"/>
  <c r="T21" i="39"/>
  <c r="T9" i="39"/>
  <c r="T7" i="39" s="1"/>
  <c r="N26" i="39"/>
  <c r="E26" i="39" s="1"/>
  <c r="T10" i="39"/>
  <c r="R26" i="39"/>
  <c r="R10" i="39"/>
  <c r="S8" i="39"/>
  <c r="S7" i="39" s="1"/>
  <c r="Q8" i="39"/>
  <c r="Q7" i="39" s="1"/>
  <c r="R13" i="39"/>
  <c r="O13" i="39"/>
  <c r="O21" i="39"/>
  <c r="N21" i="39"/>
  <c r="N13" i="39"/>
  <c r="E13" i="39" s="1"/>
  <c r="N9" i="39"/>
  <c r="N11" i="39"/>
  <c r="E11" i="39" s="1"/>
  <c r="N7" i="39" l="1"/>
  <c r="R7" i="39"/>
  <c r="E9" i="39"/>
  <c r="L23" i="39"/>
  <c r="L7" i="39" l="1"/>
  <c r="E23" i="39"/>
  <c r="O47" i="39"/>
  <c r="O43" i="39"/>
  <c r="O42" i="39"/>
  <c r="O41" i="39"/>
  <c r="O40" i="39"/>
  <c r="O39" i="39"/>
  <c r="AC39" i="39" s="1"/>
  <c r="AC47" i="39" s="1"/>
  <c r="O38" i="39"/>
  <c r="O37" i="39"/>
  <c r="H12" i="39" l="1"/>
  <c r="H21" i="39"/>
  <c r="E21" i="39" s="1"/>
  <c r="J14" i="39"/>
  <c r="H7" i="39" l="1"/>
  <c r="E12" i="39"/>
  <c r="J7" i="39"/>
  <c r="E14" i="39"/>
  <c r="O30" i="39"/>
  <c r="E30" i="39" s="1"/>
  <c r="AI18" i="39"/>
  <c r="AI7" i="39" s="1"/>
  <c r="O18" i="39"/>
  <c r="D17" i="39"/>
  <c r="C17" i="39" s="1"/>
  <c r="M10" i="39"/>
  <c r="K8" i="39"/>
  <c r="K7" i="39" s="1"/>
  <c r="I8" i="39"/>
  <c r="U47" i="39"/>
  <c r="AP36" i="39"/>
  <c r="L33" i="39"/>
  <c r="D31" i="39"/>
  <c r="D30" i="39"/>
  <c r="D27" i="39"/>
  <c r="D26" i="39"/>
  <c r="D24" i="39"/>
  <c r="C23" i="39"/>
  <c r="D22" i="39"/>
  <c r="D21" i="39"/>
  <c r="C20" i="39"/>
  <c r="D20" i="39"/>
  <c r="D19" i="39"/>
  <c r="AN18" i="39"/>
  <c r="AN19" i="39" s="1"/>
  <c r="AN20" i="39" s="1"/>
  <c r="AN21" i="39" s="1"/>
  <c r="AN22" i="39" s="1"/>
  <c r="AN23" i="39" s="1"/>
  <c r="AN24" i="39" s="1"/>
  <c r="AN25" i="39" s="1"/>
  <c r="AN26" i="39" s="1"/>
  <c r="AN27" i="39" s="1"/>
  <c r="AN28" i="39" s="1"/>
  <c r="AN30" i="39" s="1"/>
  <c r="AN31" i="39" s="1"/>
  <c r="AN32" i="39" s="1"/>
  <c r="AN33" i="39" s="1"/>
  <c r="AN34" i="39" s="1"/>
  <c r="AN35" i="39" s="1"/>
  <c r="AN36" i="39" s="1"/>
  <c r="AN37" i="39" s="1"/>
  <c r="AN38" i="39" s="1"/>
  <c r="AN39" i="39" s="1"/>
  <c r="AN40" i="39" s="1"/>
  <c r="D18" i="39"/>
  <c r="D16" i="39"/>
  <c r="D15" i="39"/>
  <c r="D14" i="39"/>
  <c r="D13" i="39"/>
  <c r="D12" i="39"/>
  <c r="D11" i="39"/>
  <c r="D10" i="39"/>
  <c r="AS9" i="39"/>
  <c r="D9" i="39"/>
  <c r="D8" i="39"/>
  <c r="H6" i="39"/>
  <c r="I6" i="39" s="1"/>
  <c r="J6" i="39" s="1"/>
  <c r="C14" i="39" l="1"/>
  <c r="E18" i="39"/>
  <c r="O7" i="39"/>
  <c r="I7" i="39"/>
  <c r="E8" i="39"/>
  <c r="M7" i="39"/>
  <c r="E10" i="39"/>
  <c r="C10" i="39" s="1"/>
  <c r="E33" i="39"/>
  <c r="C19" i="39"/>
  <c r="C22" i="39"/>
  <c r="C27" i="39"/>
  <c r="C11" i="39"/>
  <c r="C13" i="39"/>
  <c r="C12" i="39"/>
  <c r="C16" i="39"/>
  <c r="H5" i="39"/>
  <c r="H4" i="39" s="1"/>
  <c r="I5" i="39"/>
  <c r="I4" i="39" s="1"/>
  <c r="J5" i="39"/>
  <c r="J4" i="39" s="1"/>
  <c r="K6" i="39"/>
  <c r="C15" i="39"/>
  <c r="H35" i="39"/>
  <c r="C26" i="39"/>
  <c r="C30" i="39"/>
  <c r="C24" i="39"/>
  <c r="AJ10" i="38"/>
  <c r="AJ8" i="38"/>
  <c r="AJ19" i="38"/>
  <c r="AI7" i="38"/>
  <c r="AG12" i="38"/>
  <c r="AG11" i="38"/>
  <c r="AP10" i="39" l="1"/>
  <c r="C8" i="39"/>
  <c r="F3" i="39"/>
  <c r="J35" i="39"/>
  <c r="AK35" i="39"/>
  <c r="AL35" i="39"/>
  <c r="O35" i="39"/>
  <c r="AA35" i="39"/>
  <c r="S35" i="39"/>
  <c r="W35" i="39"/>
  <c r="AD35" i="39"/>
  <c r="C21" i="39"/>
  <c r="C9" i="39"/>
  <c r="P35" i="39"/>
  <c r="I35" i="39"/>
  <c r="K5" i="39"/>
  <c r="K4" i="39" s="1"/>
  <c r="L6" i="39"/>
  <c r="AI35" i="39"/>
  <c r="X35" i="39"/>
  <c r="Q35" i="39"/>
  <c r="R35" i="39"/>
  <c r="AJ35" i="39"/>
  <c r="T35" i="39"/>
  <c r="AF35" i="39"/>
  <c r="Y35" i="39"/>
  <c r="C18" i="39"/>
  <c r="AE35" i="39"/>
  <c r="U35" i="39"/>
  <c r="L35" i="39"/>
  <c r="N35" i="39"/>
  <c r="AG35" i="39"/>
  <c r="C31" i="39"/>
  <c r="AH35" i="39"/>
  <c r="AB35" i="39"/>
  <c r="AC35" i="39"/>
  <c r="Z35" i="39"/>
  <c r="V35" i="39"/>
  <c r="K35" i="39"/>
  <c r="M35" i="39"/>
  <c r="R19" i="28"/>
  <c r="AG46" i="38"/>
  <c r="AG42" i="38"/>
  <c r="AG39" i="38"/>
  <c r="AG38" i="38"/>
  <c r="AG37" i="38"/>
  <c r="AG36" i="38"/>
  <c r="AF20" i="38"/>
  <c r="F5" i="39" l="1"/>
  <c r="F6" i="39" s="1"/>
  <c r="G32" i="39"/>
  <c r="G27" i="39"/>
  <c r="G23" i="39"/>
  <c r="G19" i="39"/>
  <c r="G15" i="39"/>
  <c r="G11" i="39"/>
  <c r="AL3" i="39"/>
  <c r="AH3" i="39"/>
  <c r="AD3" i="39"/>
  <c r="Z3" i="39"/>
  <c r="V3" i="39"/>
  <c r="R3" i="39"/>
  <c r="N3" i="39"/>
  <c r="J3" i="39"/>
  <c r="G31" i="39"/>
  <c r="G26" i="39"/>
  <c r="G22" i="39"/>
  <c r="G18" i="39"/>
  <c r="G14" i="39"/>
  <c r="G10" i="39"/>
  <c r="AK3" i="39"/>
  <c r="AG3" i="39"/>
  <c r="AC3" i="39"/>
  <c r="Y3" i="39"/>
  <c r="U3" i="39"/>
  <c r="Q3" i="39"/>
  <c r="M3" i="39"/>
  <c r="I3" i="39"/>
  <c r="G28" i="39"/>
  <c r="G20" i="39"/>
  <c r="G12" i="39"/>
  <c r="AI3" i="39"/>
  <c r="AA3" i="39"/>
  <c r="S3" i="39"/>
  <c r="K3" i="39"/>
  <c r="G30" i="39"/>
  <c r="G25" i="39"/>
  <c r="G21" i="39"/>
  <c r="G17" i="39"/>
  <c r="G13" i="39"/>
  <c r="G9" i="39"/>
  <c r="AJ3" i="39"/>
  <c r="AF3" i="39"/>
  <c r="AB3" i="39"/>
  <c r="X3" i="39"/>
  <c r="T3" i="39"/>
  <c r="P3" i="39"/>
  <c r="L3" i="39"/>
  <c r="H3" i="39"/>
  <c r="H2" i="39" s="1"/>
  <c r="G24" i="39"/>
  <c r="G16" i="39"/>
  <c r="G8" i="39"/>
  <c r="AE3" i="39"/>
  <c r="W3" i="39"/>
  <c r="O3" i="39"/>
  <c r="M6" i="39"/>
  <c r="L5" i="39"/>
  <c r="L4" i="39" s="1"/>
  <c r="AG7" i="38"/>
  <c r="AE8" i="38"/>
  <c r="AE20" i="38"/>
  <c r="I2" i="39" l="1"/>
  <c r="J2" i="39" s="1"/>
  <c r="K2" i="39" s="1"/>
  <c r="L2" i="39" s="1"/>
  <c r="M2" i="39" s="1"/>
  <c r="N2" i="39" s="1"/>
  <c r="O2" i="39" s="1"/>
  <c r="P2" i="39" s="1"/>
  <c r="Q2" i="39" s="1"/>
  <c r="R2" i="39" s="1"/>
  <c r="S2" i="39" s="1"/>
  <c r="T2" i="39" s="1"/>
  <c r="U2" i="39" s="1"/>
  <c r="V2" i="39" s="1"/>
  <c r="W2" i="39" s="1"/>
  <c r="X2" i="39" s="1"/>
  <c r="Y2" i="39" s="1"/>
  <c r="Z2" i="39" s="1"/>
  <c r="AA2" i="39" s="1"/>
  <c r="AB2" i="39" s="1"/>
  <c r="AC2" i="39" s="1"/>
  <c r="AD2" i="39" s="1"/>
  <c r="AE2" i="39" s="1"/>
  <c r="AF2" i="39" s="1"/>
  <c r="AG2" i="39" s="1"/>
  <c r="AH2" i="39" s="1"/>
  <c r="AI2" i="39" s="1"/>
  <c r="AJ2" i="39" s="1"/>
  <c r="AK2" i="39" s="1"/>
  <c r="AL2" i="39" s="1"/>
  <c r="G7" i="39"/>
  <c r="M5" i="39"/>
  <c r="M4" i="39" s="1"/>
  <c r="N6" i="39"/>
  <c r="Q29" i="38"/>
  <c r="N5" i="39" l="1"/>
  <c r="N4" i="39" s="1"/>
  <c r="O6" i="39"/>
  <c r="AD14" i="38"/>
  <c r="AD20" i="38"/>
  <c r="X12" i="38"/>
  <c r="AB7" i="38"/>
  <c r="Z8" i="38"/>
  <c r="W20" i="38"/>
  <c r="Z7" i="38"/>
  <c r="W8" i="38"/>
  <c r="Y22" i="38"/>
  <c r="Y13" i="38"/>
  <c r="W9" i="38"/>
  <c r="O5" i="39" l="1"/>
  <c r="O4" i="39" s="1"/>
  <c r="P6" i="39"/>
  <c r="R17" i="28"/>
  <c r="R16" i="28"/>
  <c r="S17" i="28" s="1"/>
  <c r="R15" i="28"/>
  <c r="S16" i="28" l="1"/>
  <c r="Q6" i="39"/>
  <c r="P5" i="39"/>
  <c r="P4" i="39" s="1"/>
  <c r="U12" i="38"/>
  <c r="V20" i="38"/>
  <c r="U20" i="38"/>
  <c r="U7" i="38"/>
  <c r="T7" i="38"/>
  <c r="S30" i="38"/>
  <c r="R12" i="38"/>
  <c r="R7" i="38"/>
  <c r="R9" i="38"/>
  <c r="R6" i="39" l="1"/>
  <c r="Q5" i="39"/>
  <c r="Q4" i="39" s="1"/>
  <c r="Q25" i="38"/>
  <c r="Q8" i="38"/>
  <c r="S6" i="39" l="1"/>
  <c r="R5" i="39"/>
  <c r="R4" i="39" s="1"/>
  <c r="P12" i="38"/>
  <c r="P20" i="38"/>
  <c r="P8" i="38"/>
  <c r="P10" i="38"/>
  <c r="S5" i="39" l="1"/>
  <c r="S4" i="39" s="1"/>
  <c r="T6" i="39"/>
  <c r="O8" i="38"/>
  <c r="O20" i="38"/>
  <c r="N20" i="38"/>
  <c r="J12" i="38"/>
  <c r="M14" i="38"/>
  <c r="L12" i="38"/>
  <c r="L7" i="38"/>
  <c r="T5" i="39" l="1"/>
  <c r="T4" i="39" s="1"/>
  <c r="U6" i="39"/>
  <c r="J32" i="38"/>
  <c r="I8" i="38"/>
  <c r="I10" i="38"/>
  <c r="I20" i="38"/>
  <c r="M8" i="38"/>
  <c r="U5" i="39" l="1"/>
  <c r="U4" i="39" s="1"/>
  <c r="V6" i="39"/>
  <c r="AN22" i="38"/>
  <c r="D14" i="38" s="1"/>
  <c r="L32" i="38"/>
  <c r="E25" i="38"/>
  <c r="C25" i="38" s="1"/>
  <c r="AG20" i="37"/>
  <c r="AB6" i="38"/>
  <c r="O6" i="38"/>
  <c r="O17" i="38"/>
  <c r="AF17" i="38"/>
  <c r="E15" i="38"/>
  <c r="T14" i="38"/>
  <c r="K14" i="38"/>
  <c r="AF6" i="38"/>
  <c r="AC6" i="38"/>
  <c r="V6" i="38"/>
  <c r="AQ8" i="38"/>
  <c r="U46" i="38"/>
  <c r="AN35" i="38"/>
  <c r="E32" i="38"/>
  <c r="AN9" i="38" s="1"/>
  <c r="E31" i="38"/>
  <c r="E30" i="38"/>
  <c r="C30" i="38" s="1"/>
  <c r="D30" i="38"/>
  <c r="E29" i="38"/>
  <c r="C29" i="38" s="1"/>
  <c r="D29" i="38"/>
  <c r="E27" i="38"/>
  <c r="E26" i="38"/>
  <c r="C26" i="38" s="1"/>
  <c r="D26" i="38"/>
  <c r="AJ6" i="38"/>
  <c r="D25" i="38"/>
  <c r="E24" i="38"/>
  <c r="E23" i="38"/>
  <c r="D23" i="38"/>
  <c r="E22" i="38"/>
  <c r="C22" i="38" s="1"/>
  <c r="E21" i="38"/>
  <c r="D21" i="38"/>
  <c r="D20" i="38"/>
  <c r="E19" i="38"/>
  <c r="D19" i="38"/>
  <c r="E18" i="38"/>
  <c r="D18" i="38"/>
  <c r="AL17" i="38"/>
  <c r="AL18" i="38" s="1"/>
  <c r="AL19" i="38" s="1"/>
  <c r="AL20" i="38" s="1"/>
  <c r="AL21" i="38" s="1"/>
  <c r="AL22" i="38" s="1"/>
  <c r="AL23" i="38" s="1"/>
  <c r="AL24" i="38" s="1"/>
  <c r="AL25" i="38" s="1"/>
  <c r="AL26" i="38" s="1"/>
  <c r="AL27" i="38" s="1"/>
  <c r="AL29" i="38" s="1"/>
  <c r="AL30" i="38" s="1"/>
  <c r="AL31" i="38" s="1"/>
  <c r="AL32" i="38" s="1"/>
  <c r="AL33" i="38" s="1"/>
  <c r="AL34" i="38" s="1"/>
  <c r="AL35" i="38" s="1"/>
  <c r="AL36" i="38" s="1"/>
  <c r="AL37" i="38" s="1"/>
  <c r="AL38" i="38" s="1"/>
  <c r="AL39" i="38" s="1"/>
  <c r="E17" i="38"/>
  <c r="C17" i="38" s="1"/>
  <c r="D17" i="38"/>
  <c r="E16" i="38"/>
  <c r="C16" i="38" s="1"/>
  <c r="D16" i="38"/>
  <c r="D15" i="38"/>
  <c r="E14" i="38"/>
  <c r="E13" i="38"/>
  <c r="D13" i="38"/>
  <c r="AH6" i="38"/>
  <c r="P6" i="38"/>
  <c r="D12" i="38"/>
  <c r="E11" i="38"/>
  <c r="D11" i="38"/>
  <c r="E10" i="38"/>
  <c r="D10" i="38"/>
  <c r="E9" i="38"/>
  <c r="C9" i="38" s="1"/>
  <c r="D9" i="38"/>
  <c r="Y6" i="38"/>
  <c r="D8" i="38"/>
  <c r="AI6" i="38"/>
  <c r="T6" i="38"/>
  <c r="D7" i="38"/>
  <c r="AG6" i="38"/>
  <c r="AE6" i="38"/>
  <c r="AD6" i="38"/>
  <c r="AA6" i="38"/>
  <c r="X6" i="38"/>
  <c r="W6" i="38"/>
  <c r="U6" i="38"/>
  <c r="R6" i="38"/>
  <c r="N6" i="38"/>
  <c r="M6" i="38"/>
  <c r="L6" i="38"/>
  <c r="K6" i="38"/>
  <c r="H6" i="38"/>
  <c r="H5" i="38"/>
  <c r="I5" i="38" s="1"/>
  <c r="AL42" i="37"/>
  <c r="AL41" i="37"/>
  <c r="AL40" i="37"/>
  <c r="AL39" i="37"/>
  <c r="AH12" i="37"/>
  <c r="AK14" i="37"/>
  <c r="AK8" i="37"/>
  <c r="AJ25" i="37"/>
  <c r="AI7" i="37"/>
  <c r="AI28" i="37"/>
  <c r="V5" i="39" l="1"/>
  <c r="V4" i="39" s="1"/>
  <c r="W6" i="39"/>
  <c r="C23" i="38"/>
  <c r="O2" i="38"/>
  <c r="G13" i="38"/>
  <c r="AJ2" i="38"/>
  <c r="T2" i="38"/>
  <c r="X2" i="38"/>
  <c r="AF2" i="38"/>
  <c r="AB2" i="38"/>
  <c r="Y2" i="38"/>
  <c r="P2" i="38"/>
  <c r="V2" i="38"/>
  <c r="Z6" i="38"/>
  <c r="Z2" i="38" s="1"/>
  <c r="Q6" i="38"/>
  <c r="Q2" i="38" s="1"/>
  <c r="AE2" i="38"/>
  <c r="AI2" i="38"/>
  <c r="C10" i="38"/>
  <c r="E20" i="38"/>
  <c r="C20" i="38" s="1"/>
  <c r="E12" i="38"/>
  <c r="G12" i="38" s="1"/>
  <c r="L2" i="38"/>
  <c r="W2" i="38"/>
  <c r="E8" i="38"/>
  <c r="G11" i="38"/>
  <c r="AH2" i="38"/>
  <c r="C18" i="38"/>
  <c r="C19" i="38"/>
  <c r="S6" i="38"/>
  <c r="S2" i="38" s="1"/>
  <c r="G21" i="38"/>
  <c r="C15" i="38"/>
  <c r="G15" i="38"/>
  <c r="G27" i="38"/>
  <c r="G23" i="38"/>
  <c r="G19" i="38"/>
  <c r="AC2" i="38"/>
  <c r="U2" i="38"/>
  <c r="M2" i="38"/>
  <c r="AD2" i="38"/>
  <c r="K2" i="38"/>
  <c r="G29" i="38"/>
  <c r="G17" i="38"/>
  <c r="AA2" i="38"/>
  <c r="G24" i="38"/>
  <c r="R2" i="38"/>
  <c r="N2" i="38"/>
  <c r="G30" i="38"/>
  <c r="AG2" i="38"/>
  <c r="J5" i="38"/>
  <c r="I4" i="38"/>
  <c r="I3" i="38" s="1"/>
  <c r="G14" i="38"/>
  <c r="C14" i="38"/>
  <c r="G22" i="38"/>
  <c r="H4" i="38"/>
  <c r="H3" i="38" s="1"/>
  <c r="G25" i="38"/>
  <c r="H2" i="38"/>
  <c r="I6" i="38"/>
  <c r="G9" i="38"/>
  <c r="G10" i="38"/>
  <c r="G18" i="38"/>
  <c r="G26" i="38"/>
  <c r="C11" i="38"/>
  <c r="C13" i="38"/>
  <c r="C21" i="38"/>
  <c r="H34" i="38"/>
  <c r="G16" i="38"/>
  <c r="W5" i="39" l="1"/>
  <c r="W4" i="39" s="1"/>
  <c r="X6" i="39"/>
  <c r="C12" i="38"/>
  <c r="G20" i="38"/>
  <c r="I34" i="38"/>
  <c r="C8" i="38"/>
  <c r="G8" i="38"/>
  <c r="I2" i="38"/>
  <c r="K5" i="38"/>
  <c r="J4" i="38"/>
  <c r="J3" i="38" s="1"/>
  <c r="AF15" i="37"/>
  <c r="AF8" i="37"/>
  <c r="AF20" i="37"/>
  <c r="Y6" i="39" l="1"/>
  <c r="X5" i="39"/>
  <c r="X4" i="39" s="1"/>
  <c r="G6" i="38"/>
  <c r="L5" i="38"/>
  <c r="K4" i="38"/>
  <c r="K3" i="38" s="1"/>
  <c r="AE9" i="37"/>
  <c r="AC7" i="37"/>
  <c r="AB13" i="37"/>
  <c r="AB25" i="37"/>
  <c r="AB7" i="37"/>
  <c r="AS10" i="39" l="1"/>
  <c r="Z6" i="39"/>
  <c r="Y5" i="39"/>
  <c r="Y4" i="39" s="1"/>
  <c r="M5" i="38"/>
  <c r="L4" i="38"/>
  <c r="L3" i="38" s="1"/>
  <c r="Y12" i="37"/>
  <c r="V27" i="37"/>
  <c r="W12" i="37"/>
  <c r="U12" i="37"/>
  <c r="Z20" i="37"/>
  <c r="Y8" i="37"/>
  <c r="V9" i="37"/>
  <c r="Y25" i="37"/>
  <c r="X20" i="37"/>
  <c r="W8" i="37"/>
  <c r="W25" i="37"/>
  <c r="W14" i="37"/>
  <c r="V8" i="37"/>
  <c r="T7" i="37"/>
  <c r="AA6" i="39" l="1"/>
  <c r="Z5" i="39"/>
  <c r="Z4" i="39" s="1"/>
  <c r="N5" i="38"/>
  <c r="M4" i="38"/>
  <c r="M3" i="38" s="1"/>
  <c r="U43" i="37"/>
  <c r="AL43" i="37" s="1"/>
  <c r="U42" i="37"/>
  <c r="U39" i="37"/>
  <c r="U38" i="37"/>
  <c r="AL38" i="37" s="1"/>
  <c r="AL46" i="37" s="1"/>
  <c r="R18" i="28" s="1"/>
  <c r="S19" i="28" l="1"/>
  <c r="S18" i="28"/>
  <c r="AA5" i="39"/>
  <c r="AA4" i="39" s="1"/>
  <c r="AB6" i="39"/>
  <c r="N4" i="38"/>
  <c r="N3" i="38" s="1"/>
  <c r="O5" i="38"/>
  <c r="U46" i="37"/>
  <c r="T12" i="37"/>
  <c r="P12" i="37"/>
  <c r="L12" i="37"/>
  <c r="AC6" i="39" l="1"/>
  <c r="AB5" i="39"/>
  <c r="AB4" i="39" s="1"/>
  <c r="O4" i="38"/>
  <c r="O3" i="38" s="1"/>
  <c r="P5" i="38"/>
  <c r="K8" i="37"/>
  <c r="S8" i="37"/>
  <c r="S20" i="37"/>
  <c r="Q8" i="37"/>
  <c r="K20" i="37"/>
  <c r="AC5" i="39" l="1"/>
  <c r="AC4" i="39" s="1"/>
  <c r="AD6" i="39"/>
  <c r="P4" i="38"/>
  <c r="P3" i="38" s="1"/>
  <c r="Q5" i="38"/>
  <c r="J8" i="37"/>
  <c r="AD5" i="39" l="1"/>
  <c r="AD4" i="39" s="1"/>
  <c r="AE6" i="39"/>
  <c r="R5" i="38"/>
  <c r="Q4" i="38"/>
  <c r="Q3" i="38" s="1"/>
  <c r="I8" i="37"/>
  <c r="I6" i="37" s="1"/>
  <c r="J32" i="37"/>
  <c r="E32" i="37" s="1"/>
  <c r="E31" i="37"/>
  <c r="E30" i="37"/>
  <c r="D30" i="37"/>
  <c r="E28" i="37"/>
  <c r="D28" i="37"/>
  <c r="AP35" i="37"/>
  <c r="E27" i="37"/>
  <c r="E26" i="37"/>
  <c r="D26" i="37"/>
  <c r="N6" i="37"/>
  <c r="D25" i="37"/>
  <c r="E24" i="37"/>
  <c r="E23" i="37"/>
  <c r="D23" i="37"/>
  <c r="E22" i="37"/>
  <c r="C22" i="37" s="1"/>
  <c r="E21" i="37"/>
  <c r="D21" i="37"/>
  <c r="E20" i="37"/>
  <c r="D20" i="37"/>
  <c r="E19" i="37"/>
  <c r="D19" i="37"/>
  <c r="E18" i="37"/>
  <c r="D18" i="37"/>
  <c r="E17" i="37"/>
  <c r="D17" i="37"/>
  <c r="E16" i="37"/>
  <c r="D16" i="37"/>
  <c r="E15" i="37"/>
  <c r="D15" i="37"/>
  <c r="E14" i="37"/>
  <c r="D14" i="37"/>
  <c r="E13" i="37"/>
  <c r="D13" i="37"/>
  <c r="E12" i="37"/>
  <c r="D12" i="37"/>
  <c r="AN17" i="37"/>
  <c r="AN18" i="37" s="1"/>
  <c r="AN19" i="37" s="1"/>
  <c r="AN20" i="37" s="1"/>
  <c r="AN21" i="37" s="1"/>
  <c r="AN22" i="37" s="1"/>
  <c r="AN23" i="37" s="1"/>
  <c r="AN24" i="37" s="1"/>
  <c r="AN25" i="37" s="1"/>
  <c r="AN26" i="37" s="1"/>
  <c r="AN27" i="37" s="1"/>
  <c r="AN28" i="37" s="1"/>
  <c r="AN30" i="37" s="1"/>
  <c r="AN31" i="37" s="1"/>
  <c r="AN32" i="37" s="1"/>
  <c r="AN33" i="37" s="1"/>
  <c r="AN34" i="37" s="1"/>
  <c r="AN35" i="37" s="1"/>
  <c r="AN36" i="37" s="1"/>
  <c r="AN37" i="37" s="1"/>
  <c r="AN38" i="37" s="1"/>
  <c r="AN39" i="37" s="1"/>
  <c r="E11" i="37"/>
  <c r="D11" i="37"/>
  <c r="AS8" i="37"/>
  <c r="E10" i="37"/>
  <c r="D10" i="37"/>
  <c r="E9" i="37"/>
  <c r="D9" i="37"/>
  <c r="AL6" i="37"/>
  <c r="U6" i="37"/>
  <c r="E8" i="37"/>
  <c r="D8" i="37"/>
  <c r="E7" i="37"/>
  <c r="D7" i="37"/>
  <c r="AK6" i="37"/>
  <c r="AJ6" i="37"/>
  <c r="AI6" i="37"/>
  <c r="AG6" i="37"/>
  <c r="AF6" i="37"/>
  <c r="AE6" i="37"/>
  <c r="AD6" i="37"/>
  <c r="AC6" i="37"/>
  <c r="AB6" i="37"/>
  <c r="AA6" i="37"/>
  <c r="Z6" i="37"/>
  <c r="Y6" i="37"/>
  <c r="X6" i="37"/>
  <c r="W6" i="37"/>
  <c r="V6" i="37"/>
  <c r="T6" i="37"/>
  <c r="S6" i="37"/>
  <c r="R6" i="37"/>
  <c r="Q6" i="37"/>
  <c r="P6" i="37"/>
  <c r="O6" i="37"/>
  <c r="M6" i="37"/>
  <c r="L6" i="37"/>
  <c r="K6" i="37"/>
  <c r="J6" i="37"/>
  <c r="H6" i="37"/>
  <c r="H5" i="37"/>
  <c r="H4" i="37" s="1"/>
  <c r="H3" i="37" s="1"/>
  <c r="AE5" i="39" l="1"/>
  <c r="AE4" i="39" s="1"/>
  <c r="AF6" i="39"/>
  <c r="S5" i="38"/>
  <c r="R4" i="38"/>
  <c r="R3" i="38" s="1"/>
  <c r="C17" i="37"/>
  <c r="S34" i="37"/>
  <c r="K34" i="37"/>
  <c r="P34" i="37"/>
  <c r="H34" i="37"/>
  <c r="J34" i="37"/>
  <c r="I34" i="37"/>
  <c r="O34" i="37"/>
  <c r="N34" i="37"/>
  <c r="M34" i="37"/>
  <c r="L34" i="37"/>
  <c r="R34" i="37"/>
  <c r="Q34" i="37"/>
  <c r="C18" i="37"/>
  <c r="C11" i="37"/>
  <c r="C28" i="37"/>
  <c r="C16" i="37"/>
  <c r="C30" i="37"/>
  <c r="AB34" i="37"/>
  <c r="T34" i="37"/>
  <c r="AA34" i="37"/>
  <c r="AG34" i="37"/>
  <c r="AF34" i="37"/>
  <c r="Z34" i="37"/>
  <c r="Y34" i="37"/>
  <c r="X34" i="37"/>
  <c r="AE34" i="37"/>
  <c r="W34" i="37"/>
  <c r="AD34" i="37"/>
  <c r="V34" i="37"/>
  <c r="AC34" i="37"/>
  <c r="U34" i="37"/>
  <c r="C14" i="37"/>
  <c r="C21" i="37"/>
  <c r="C13" i="37"/>
  <c r="C12" i="37"/>
  <c r="C7" i="37"/>
  <c r="C26" i="37"/>
  <c r="C20" i="37"/>
  <c r="C10" i="37"/>
  <c r="AP9" i="37"/>
  <c r="U2" i="37" s="1"/>
  <c r="I5" i="37"/>
  <c r="AH6" i="37"/>
  <c r="AI34" i="37" s="1"/>
  <c r="C19" i="37"/>
  <c r="C23" i="37"/>
  <c r="E25" i="37"/>
  <c r="F2" i="37" s="1"/>
  <c r="F4" i="37" s="1"/>
  <c r="F5" i="37" s="1"/>
  <c r="C8" i="37"/>
  <c r="C9" i="37"/>
  <c r="C15" i="37"/>
  <c r="AO47" i="26"/>
  <c r="AO43" i="26"/>
  <c r="AO42" i="26"/>
  <c r="AO39" i="26"/>
  <c r="AO40" i="26"/>
  <c r="AO38" i="26"/>
  <c r="AO8" i="26"/>
  <c r="AO10" i="26"/>
  <c r="AN8" i="26"/>
  <c r="AN20" i="26"/>
  <c r="AK20" i="26"/>
  <c r="AK26" i="26"/>
  <c r="AG6" i="39" l="1"/>
  <c r="AF5" i="39"/>
  <c r="AF4" i="39" s="1"/>
  <c r="T5" i="38"/>
  <c r="S4" i="38"/>
  <c r="S3" i="38" s="1"/>
  <c r="G9" i="37"/>
  <c r="G10" i="37"/>
  <c r="AL34" i="37"/>
  <c r="AH34" i="37"/>
  <c r="AK34" i="37"/>
  <c r="AJ34" i="37"/>
  <c r="G15" i="37"/>
  <c r="G17" i="37"/>
  <c r="G25" i="37"/>
  <c r="C25" i="37"/>
  <c r="G23" i="37"/>
  <c r="G19" i="37"/>
  <c r="G20" i="37"/>
  <c r="N2" i="37"/>
  <c r="G31" i="37"/>
  <c r="G28" i="37"/>
  <c r="G24" i="37"/>
  <c r="G21" i="37"/>
  <c r="G12" i="37"/>
  <c r="AG2" i="37"/>
  <c r="Q2" i="37"/>
  <c r="AF2" i="37"/>
  <c r="P2" i="37"/>
  <c r="G18" i="37"/>
  <c r="AE2" i="37"/>
  <c r="G30" i="37"/>
  <c r="G26" i="37"/>
  <c r="G13" i="37"/>
  <c r="AD2" i="37"/>
  <c r="V2" i="37"/>
  <c r="S2" i="37"/>
  <c r="O2" i="37"/>
  <c r="G22" i="37"/>
  <c r="G16" i="37"/>
  <c r="AK2" i="37"/>
  <c r="AC2" i="37"/>
  <c r="M2" i="37"/>
  <c r="K2" i="37"/>
  <c r="AJ2" i="37"/>
  <c r="AB2" i="37"/>
  <c r="T2" i="37"/>
  <c r="L2" i="37"/>
  <c r="G7" i="37"/>
  <c r="AA2" i="37"/>
  <c r="G27" i="37"/>
  <c r="G14" i="37"/>
  <c r="G11" i="37"/>
  <c r="AI2" i="37"/>
  <c r="W2" i="37"/>
  <c r="Z2" i="37"/>
  <c r="R2" i="37"/>
  <c r="J2" i="37"/>
  <c r="Y2" i="37"/>
  <c r="I2" i="37"/>
  <c r="X2" i="37"/>
  <c r="H2" i="37"/>
  <c r="AH2" i="37"/>
  <c r="J5" i="37"/>
  <c r="I4" i="37"/>
  <c r="I3" i="37" s="1"/>
  <c r="AL2" i="37"/>
  <c r="G8" i="37"/>
  <c r="AF20" i="26"/>
  <c r="AG5" i="39" l="1"/>
  <c r="AG4" i="39" s="1"/>
  <c r="AH6" i="39"/>
  <c r="U5" i="38"/>
  <c r="T4" i="38"/>
  <c r="T3" i="38" s="1"/>
  <c r="G6" i="37"/>
  <c r="K5" i="37"/>
  <c r="J4" i="37"/>
  <c r="J3" i="37" s="1"/>
  <c r="AM6" i="26"/>
  <c r="AL6" i="26"/>
  <c r="AK6" i="26"/>
  <c r="AJ6" i="26"/>
  <c r="AI6" i="26"/>
  <c r="AH6" i="26"/>
  <c r="AG6" i="26"/>
  <c r="AF6" i="26"/>
  <c r="AH5" i="39" l="1"/>
  <c r="AH4" i="39" s="1"/>
  <c r="AI6" i="39"/>
  <c r="V5" i="38"/>
  <c r="U4" i="38"/>
  <c r="U3" i="38" s="1"/>
  <c r="L5" i="37"/>
  <c r="K4" i="37"/>
  <c r="K3" i="37" s="1"/>
  <c r="D7" i="36"/>
  <c r="C5" i="36"/>
  <c r="E5" i="36" s="1"/>
  <c r="AD44" i="26"/>
  <c r="AD40" i="26"/>
  <c r="AI5" i="39" l="1"/>
  <c r="AI4" i="39" s="1"/>
  <c r="AJ6" i="39"/>
  <c r="V4" i="38"/>
  <c r="V3" i="38" s="1"/>
  <c r="W5" i="38"/>
  <c r="M5" i="37"/>
  <c r="L4" i="37"/>
  <c r="L3" i="37" s="1"/>
  <c r="D5" i="36"/>
  <c r="AA43" i="26"/>
  <c r="AD43" i="26" s="1"/>
  <c r="AA39" i="26"/>
  <c r="AD39" i="26" s="1"/>
  <c r="AJ5" i="39" l="1"/>
  <c r="AJ4" i="39" s="1"/>
  <c r="AK6" i="39"/>
  <c r="X5" i="38"/>
  <c r="W4" i="38"/>
  <c r="W3" i="38" s="1"/>
  <c r="N5" i="37"/>
  <c r="M4" i="37"/>
  <c r="M3" i="37" s="1"/>
  <c r="AA47" i="26"/>
  <c r="AH39" i="26"/>
  <c r="AD47" i="26"/>
  <c r="X8" i="26"/>
  <c r="X26" i="26"/>
  <c r="AK5" i="39" l="1"/>
  <c r="AK4" i="39" s="1"/>
  <c r="AL6" i="39"/>
  <c r="AL5" i="39" s="1"/>
  <c r="AL4" i="39" s="1"/>
  <c r="X4" i="38"/>
  <c r="X3" i="38" s="1"/>
  <c r="Y5" i="38"/>
  <c r="N4" i="37"/>
  <c r="N3" i="37" s="1"/>
  <c r="O5" i="37"/>
  <c r="I31" i="26"/>
  <c r="I30" i="26"/>
  <c r="I28" i="26"/>
  <c r="I27" i="26"/>
  <c r="I25" i="26"/>
  <c r="I24" i="26"/>
  <c r="I23" i="26"/>
  <c r="I21" i="26"/>
  <c r="I20" i="26"/>
  <c r="I19" i="26"/>
  <c r="I18" i="26"/>
  <c r="I17" i="26"/>
  <c r="I16" i="26"/>
  <c r="I15" i="26"/>
  <c r="I14" i="26"/>
  <c r="I13" i="26"/>
  <c r="I12" i="26"/>
  <c r="I11" i="26"/>
  <c r="I10" i="26"/>
  <c r="I9" i="26"/>
  <c r="I7" i="26"/>
  <c r="AO6" i="26"/>
  <c r="AE6" i="26"/>
  <c r="AD6" i="26"/>
  <c r="AB6" i="26"/>
  <c r="AA6" i="26"/>
  <c r="Z6" i="26"/>
  <c r="Y6" i="26"/>
  <c r="X6" i="26"/>
  <c r="W6" i="26"/>
  <c r="V6" i="26"/>
  <c r="U6" i="26"/>
  <c r="T6" i="26"/>
  <c r="S6" i="26"/>
  <c r="R6" i="26"/>
  <c r="P6" i="26"/>
  <c r="O6" i="26"/>
  <c r="N6" i="26"/>
  <c r="M6" i="26"/>
  <c r="L6" i="26"/>
  <c r="K6" i="26"/>
  <c r="AQ9" i="38" l="1"/>
  <c r="Z5" i="38"/>
  <c r="Y4" i="38"/>
  <c r="Y3" i="38" s="1"/>
  <c r="P5" i="37"/>
  <c r="O4" i="37"/>
  <c r="O3" i="37" s="1"/>
  <c r="S43" i="26"/>
  <c r="S41" i="26"/>
  <c r="S39" i="26"/>
  <c r="AA5" i="38" l="1"/>
  <c r="Z4" i="38"/>
  <c r="Z3" i="38" s="1"/>
  <c r="Q5" i="37"/>
  <c r="P4" i="37"/>
  <c r="P3" i="37" s="1"/>
  <c r="S47" i="26"/>
  <c r="G26" i="26"/>
  <c r="G31" i="26"/>
  <c r="Q26" i="26"/>
  <c r="AB5" i="38" l="1"/>
  <c r="AA4" i="38"/>
  <c r="AA3" i="38" s="1"/>
  <c r="Q4" i="37"/>
  <c r="Q3" i="37" s="1"/>
  <c r="R5" i="37"/>
  <c r="I26" i="26"/>
  <c r="Q6" i="26"/>
  <c r="AN41" i="24"/>
  <c r="AC5" i="38" l="1"/>
  <c r="AB4" i="38"/>
  <c r="AB3" i="38" s="1"/>
  <c r="S5" i="37"/>
  <c r="R4" i="37"/>
  <c r="R3" i="37" s="1"/>
  <c r="K33" i="26"/>
  <c r="AD5" i="38" l="1"/>
  <c r="AC4" i="38"/>
  <c r="AC3" i="38" s="1"/>
  <c r="T5" i="37"/>
  <c r="S4" i="37"/>
  <c r="S3" i="37" s="1"/>
  <c r="AN38" i="24"/>
  <c r="AM6" i="24"/>
  <c r="AL6" i="24"/>
  <c r="AK6" i="24"/>
  <c r="AJ6" i="24"/>
  <c r="AI6" i="24"/>
  <c r="AH6" i="24"/>
  <c r="AF6" i="24"/>
  <c r="AE6" i="24"/>
  <c r="AC6" i="24"/>
  <c r="AB6" i="24"/>
  <c r="AA6" i="24"/>
  <c r="Z6" i="24"/>
  <c r="Y6" i="24"/>
  <c r="X6" i="24"/>
  <c r="W6" i="24"/>
  <c r="V6" i="24"/>
  <c r="U6" i="24"/>
  <c r="T6" i="24"/>
  <c r="R6" i="24"/>
  <c r="P6" i="24"/>
  <c r="O6" i="24"/>
  <c r="N6" i="24"/>
  <c r="K6" i="24"/>
  <c r="K34" i="24" s="1"/>
  <c r="AN8" i="24"/>
  <c r="AN6" i="24" s="1"/>
  <c r="AD4" i="38" l="1"/>
  <c r="AD3" i="38" s="1"/>
  <c r="AE5" i="38"/>
  <c r="U5" i="37"/>
  <c r="T4" i="37"/>
  <c r="T3" i="37" s="1"/>
  <c r="AG20" i="24"/>
  <c r="AG6" i="24" s="1"/>
  <c r="AE4" i="38" l="1"/>
  <c r="AE3" i="38" s="1"/>
  <c r="AF5" i="38"/>
  <c r="V5" i="37"/>
  <c r="U4" i="37"/>
  <c r="U3" i="37" s="1"/>
  <c r="AE41" i="24"/>
  <c r="AF4" i="38" l="1"/>
  <c r="AF3" i="38" s="1"/>
  <c r="AG5" i="38"/>
  <c r="V4" i="37"/>
  <c r="V3" i="37" s="1"/>
  <c r="W5" i="37"/>
  <c r="AD10" i="24"/>
  <c r="AD6" i="24" s="1"/>
  <c r="AH5" i="38" l="1"/>
  <c r="AG4" i="38"/>
  <c r="AG3" i="38" s="1"/>
  <c r="X5" i="37"/>
  <c r="W4" i="37"/>
  <c r="W3" i="37" s="1"/>
  <c r="O26" i="35"/>
  <c r="N26" i="35"/>
  <c r="O25" i="35"/>
  <c r="N25" i="35"/>
  <c r="O24" i="35"/>
  <c r="N24" i="35"/>
  <c r="O23" i="35"/>
  <c r="N23" i="35"/>
  <c r="O22" i="35"/>
  <c r="N22" i="35"/>
  <c r="O21" i="35"/>
  <c r="N21" i="35"/>
  <c r="O20" i="35"/>
  <c r="N20" i="35"/>
  <c r="O19" i="35"/>
  <c r="N19" i="35"/>
  <c r="O18" i="35"/>
  <c r="N18" i="35"/>
  <c r="O17" i="35"/>
  <c r="N17" i="35"/>
  <c r="O16" i="35"/>
  <c r="N16" i="35"/>
  <c r="O15" i="35"/>
  <c r="N15" i="35"/>
  <c r="O14" i="35"/>
  <c r="N14" i="35"/>
  <c r="O13" i="35"/>
  <c r="N13" i="35"/>
  <c r="O12" i="35"/>
  <c r="N12" i="35"/>
  <c r="O11" i="35"/>
  <c r="N11" i="35"/>
  <c r="O10" i="35"/>
  <c r="N10" i="35"/>
  <c r="O9" i="35"/>
  <c r="N9" i="35"/>
  <c r="O8" i="35"/>
  <c r="N8" i="35"/>
  <c r="O7" i="35"/>
  <c r="N7" i="35"/>
  <c r="O6" i="35"/>
  <c r="N6" i="35"/>
  <c r="O5" i="35"/>
  <c r="N5" i="35"/>
  <c r="O4" i="35"/>
  <c r="N4" i="35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B22" i="32"/>
  <c r="T16" i="31"/>
  <c r="T14" i="31"/>
  <c r="T11" i="31"/>
  <c r="C10" i="31"/>
  <c r="H10" i="31" s="1"/>
  <c r="C9" i="31"/>
  <c r="D9" i="31" s="1"/>
  <c r="J9" i="31" s="1"/>
  <c r="T8" i="31"/>
  <c r="X8" i="31" s="1"/>
  <c r="AA8" i="31" s="1"/>
  <c r="AE8" i="31" s="1"/>
  <c r="C8" i="31"/>
  <c r="H8" i="31" s="1"/>
  <c r="X6" i="31"/>
  <c r="H4" i="31"/>
  <c r="D4" i="31"/>
  <c r="J4" i="31" s="1"/>
  <c r="H3" i="31"/>
  <c r="D3" i="31"/>
  <c r="J3" i="31" s="1"/>
  <c r="C32" i="30"/>
  <c r="C31" i="30"/>
  <c r="C30" i="30"/>
  <c r="C29" i="30"/>
  <c r="C28" i="30"/>
  <c r="C27" i="30"/>
  <c r="C26" i="30"/>
  <c r="C25" i="30"/>
  <c r="C24" i="30"/>
  <c r="C23" i="30"/>
  <c r="C22" i="30"/>
  <c r="C21" i="30"/>
  <c r="C20" i="30"/>
  <c r="C19" i="30"/>
  <c r="C18" i="30"/>
  <c r="C17" i="30"/>
  <c r="C16" i="30"/>
  <c r="C15" i="30"/>
  <c r="C14" i="30"/>
  <c r="C13" i="30"/>
  <c r="C12" i="30"/>
  <c r="C11" i="30"/>
  <c r="C10" i="30"/>
  <c r="C9" i="30"/>
  <c r="C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E5" i="30"/>
  <c r="F5" i="30" s="1"/>
  <c r="G5" i="30" s="1"/>
  <c r="AL4" i="30"/>
  <c r="E4" i="30"/>
  <c r="E3" i="30" s="1"/>
  <c r="I13" i="28"/>
  <c r="R7" i="28"/>
  <c r="I33" i="26"/>
  <c r="AM50" i="24" s="1"/>
  <c r="I32" i="26"/>
  <c r="H31" i="26"/>
  <c r="G30" i="26"/>
  <c r="C30" i="26"/>
  <c r="G27" i="26"/>
  <c r="H27" i="26" s="1"/>
  <c r="G24" i="26"/>
  <c r="G21" i="26"/>
  <c r="G20" i="26"/>
  <c r="H20" i="26" s="1"/>
  <c r="G19" i="26"/>
  <c r="G18" i="26"/>
  <c r="H18" i="26" s="1"/>
  <c r="G17" i="26"/>
  <c r="G16" i="26"/>
  <c r="G15" i="26"/>
  <c r="G14" i="26"/>
  <c r="H14" i="26" s="1"/>
  <c r="G13" i="26"/>
  <c r="G12" i="26"/>
  <c r="H12" i="26" s="1"/>
  <c r="A12" i="26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30" i="26" s="1"/>
  <c r="A31" i="26" s="1"/>
  <c r="A32" i="26" s="1"/>
  <c r="A33" i="26" s="1"/>
  <c r="A34" i="26" s="1"/>
  <c r="H11" i="26"/>
  <c r="G11" i="26"/>
  <c r="AS10" i="26"/>
  <c r="G10" i="26"/>
  <c r="G9" i="26"/>
  <c r="H9" i="26" s="1"/>
  <c r="G8" i="26"/>
  <c r="G7" i="26"/>
  <c r="H7" i="26" s="1"/>
  <c r="K35" i="26"/>
  <c r="K5" i="26"/>
  <c r="L5" i="26" s="1"/>
  <c r="O41" i="24"/>
  <c r="K41" i="24"/>
  <c r="O38" i="24"/>
  <c r="K38" i="24"/>
  <c r="O37" i="24"/>
  <c r="AE37" i="24" s="1"/>
  <c r="K37" i="24"/>
  <c r="O36" i="24"/>
  <c r="Q32" i="24"/>
  <c r="I32" i="24" s="1"/>
  <c r="I31" i="24"/>
  <c r="I30" i="24"/>
  <c r="G30" i="24"/>
  <c r="I29" i="24"/>
  <c r="G29" i="24"/>
  <c r="C30" i="24"/>
  <c r="G22" i="24" s="1"/>
  <c r="I27" i="24"/>
  <c r="I26" i="24"/>
  <c r="G26" i="24"/>
  <c r="I25" i="24"/>
  <c r="G25" i="24"/>
  <c r="I24" i="24"/>
  <c r="I23" i="24"/>
  <c r="G23" i="24"/>
  <c r="S22" i="24"/>
  <c r="I22" i="24" s="1"/>
  <c r="I21" i="24"/>
  <c r="G21" i="24"/>
  <c r="L20" i="24"/>
  <c r="G20" i="24"/>
  <c r="I19" i="24"/>
  <c r="G19" i="24"/>
  <c r="I18" i="24"/>
  <c r="G18" i="24"/>
  <c r="I17" i="24"/>
  <c r="G17" i="24"/>
  <c r="I16" i="24"/>
  <c r="G16" i="24"/>
  <c r="I15" i="24"/>
  <c r="G15" i="24"/>
  <c r="I14" i="24"/>
  <c r="G14" i="24"/>
  <c r="M13" i="24"/>
  <c r="I13" i="24" s="1"/>
  <c r="G13" i="24"/>
  <c r="Q12" i="24"/>
  <c r="Q6" i="24" s="1"/>
  <c r="M12" i="24"/>
  <c r="G12" i="24"/>
  <c r="A12" i="24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9" i="24" s="1"/>
  <c r="A30" i="24" s="1"/>
  <c r="A31" i="24" s="1"/>
  <c r="A32" i="24" s="1"/>
  <c r="A33" i="24" s="1"/>
  <c r="A34" i="24" s="1"/>
  <c r="I11" i="24"/>
  <c r="G11" i="24"/>
  <c r="AR10" i="24"/>
  <c r="I10" i="24"/>
  <c r="G10" i="24"/>
  <c r="I9" i="24"/>
  <c r="G9" i="24"/>
  <c r="S8" i="24"/>
  <c r="G8" i="24"/>
  <c r="I7" i="24"/>
  <c r="G7" i="24"/>
  <c r="K5" i="24"/>
  <c r="K4" i="24" s="1"/>
  <c r="K3" i="24" s="1"/>
  <c r="AH37" i="23"/>
  <c r="Q37" i="23"/>
  <c r="Q41" i="23" s="1"/>
  <c r="AH35" i="23"/>
  <c r="I30" i="23"/>
  <c r="C5" i="23" s="1"/>
  <c r="I29" i="23"/>
  <c r="I28" i="23"/>
  <c r="G28" i="23"/>
  <c r="I27" i="23"/>
  <c r="G27" i="23"/>
  <c r="I25" i="23"/>
  <c r="G25" i="23"/>
  <c r="I24" i="23"/>
  <c r="G24" i="23"/>
  <c r="AJ23" i="23"/>
  <c r="Q23" i="23"/>
  <c r="Q6" i="23" s="1"/>
  <c r="I22" i="23"/>
  <c r="G22" i="23"/>
  <c r="I21" i="23"/>
  <c r="G21" i="23"/>
  <c r="I20" i="23"/>
  <c r="H20" i="23" s="1"/>
  <c r="G20" i="23"/>
  <c r="I19" i="23"/>
  <c r="G19" i="23"/>
  <c r="V18" i="23"/>
  <c r="I18" i="23" s="1"/>
  <c r="G18" i="23"/>
  <c r="I17" i="23"/>
  <c r="G17" i="23"/>
  <c r="C17" i="23"/>
  <c r="G23" i="23" s="1"/>
  <c r="I16" i="23"/>
  <c r="G16" i="23"/>
  <c r="H16" i="23" s="1"/>
  <c r="I15" i="23"/>
  <c r="I14" i="23"/>
  <c r="G14" i="23"/>
  <c r="I13" i="23"/>
  <c r="G13" i="23"/>
  <c r="I12" i="23"/>
  <c r="G12" i="23"/>
  <c r="C12" i="23"/>
  <c r="C10" i="23" s="1"/>
  <c r="A12" i="23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7" i="23" s="1"/>
  <c r="A28" i="23" s="1"/>
  <c r="A29" i="23" s="1"/>
  <c r="A30" i="23" s="1"/>
  <c r="A31" i="23" s="1"/>
  <c r="A32" i="23" s="1"/>
  <c r="AL11" i="23"/>
  <c r="AL6" i="23" s="1"/>
  <c r="AG11" i="23"/>
  <c r="AE11" i="23"/>
  <c r="AE6" i="23" s="1"/>
  <c r="M11" i="23"/>
  <c r="G11" i="23"/>
  <c r="I10" i="23"/>
  <c r="G10" i="23"/>
  <c r="AS9" i="23"/>
  <c r="I9" i="23"/>
  <c r="G9" i="23"/>
  <c r="I8" i="23"/>
  <c r="G8" i="23"/>
  <c r="M7" i="23"/>
  <c r="I7" i="23" s="1"/>
  <c r="G7" i="23"/>
  <c r="AO6" i="23"/>
  <c r="AN6" i="23"/>
  <c r="AM6" i="23"/>
  <c r="AK6" i="23"/>
  <c r="AJ6" i="23"/>
  <c r="AI6" i="23"/>
  <c r="AH6" i="23"/>
  <c r="AG6" i="23"/>
  <c r="AF6" i="23"/>
  <c r="AD6" i="23"/>
  <c r="AC6" i="23"/>
  <c r="AB6" i="23"/>
  <c r="AA6" i="23"/>
  <c r="Z6" i="23"/>
  <c r="Y6" i="23"/>
  <c r="X6" i="23"/>
  <c r="W6" i="23"/>
  <c r="U6" i="23"/>
  <c r="T6" i="23"/>
  <c r="S6" i="23"/>
  <c r="R6" i="23"/>
  <c r="P6" i="23"/>
  <c r="O6" i="23"/>
  <c r="N6" i="23"/>
  <c r="L6" i="23"/>
  <c r="K6" i="23"/>
  <c r="K5" i="23"/>
  <c r="K4" i="23" s="1"/>
  <c r="K3" i="23" s="1"/>
  <c r="C4" i="23"/>
  <c r="M44" i="22"/>
  <c r="AH40" i="22"/>
  <c r="U40" i="22"/>
  <c r="U44" i="22" s="1"/>
  <c r="K40" i="22"/>
  <c r="K44" i="22" s="1"/>
  <c r="AH38" i="22"/>
  <c r="C33" i="22"/>
  <c r="C32" i="22"/>
  <c r="C31" i="22"/>
  <c r="Q25" i="33" s="1"/>
  <c r="C30" i="22"/>
  <c r="Q24" i="33" s="1"/>
  <c r="C28" i="22"/>
  <c r="Q23" i="33" s="1"/>
  <c r="C27" i="22"/>
  <c r="Q22" i="33" s="1"/>
  <c r="C26" i="22"/>
  <c r="Q21" i="33" s="1"/>
  <c r="C25" i="22"/>
  <c r="Q20" i="33" s="1"/>
  <c r="C24" i="22"/>
  <c r="Q19" i="33" s="1"/>
  <c r="C23" i="22"/>
  <c r="Q18" i="33" s="1"/>
  <c r="C22" i="22"/>
  <c r="Q17" i="33" s="1"/>
  <c r="AA21" i="22"/>
  <c r="U21" i="22"/>
  <c r="S21" i="22"/>
  <c r="S6" i="22" s="1"/>
  <c r="C20" i="22"/>
  <c r="C19" i="22"/>
  <c r="Q14" i="33" s="1"/>
  <c r="C18" i="22"/>
  <c r="C17" i="22"/>
  <c r="Q12" i="33" s="1"/>
  <c r="C16" i="22"/>
  <c r="C15" i="22"/>
  <c r="Q10" i="33" s="1"/>
  <c r="P14" i="22"/>
  <c r="C14" i="22" s="1"/>
  <c r="I13" i="22"/>
  <c r="I6" i="22" s="1"/>
  <c r="C12" i="22"/>
  <c r="J11" i="22"/>
  <c r="C11" i="22" s="1"/>
  <c r="Q6" i="33" s="1"/>
  <c r="P10" i="22"/>
  <c r="C10" i="22" s="1"/>
  <c r="C9" i="22"/>
  <c r="Q4" i="33" s="1"/>
  <c r="AE8" i="22"/>
  <c r="AE6" i="22" s="1"/>
  <c r="AA8" i="22"/>
  <c r="T8" i="22"/>
  <c r="F8" i="22"/>
  <c r="F6" i="22" s="1"/>
  <c r="C7" i="22"/>
  <c r="AH6" i="22"/>
  <c r="AG6" i="22"/>
  <c r="AF6" i="22"/>
  <c r="AD6" i="22"/>
  <c r="AC6" i="22"/>
  <c r="AB6" i="22"/>
  <c r="Z6" i="22"/>
  <c r="Y6" i="22"/>
  <c r="X6" i="22"/>
  <c r="W6" i="22"/>
  <c r="V6" i="22"/>
  <c r="U6" i="22"/>
  <c r="T6" i="22"/>
  <c r="R6" i="22"/>
  <c r="Q6" i="22"/>
  <c r="O6" i="22"/>
  <c r="N6" i="22"/>
  <c r="M6" i="22"/>
  <c r="L6" i="22"/>
  <c r="K6" i="22"/>
  <c r="H6" i="22"/>
  <c r="G6" i="22"/>
  <c r="E6" i="22"/>
  <c r="E5" i="22"/>
  <c r="E34" i="22" s="1"/>
  <c r="AL4" i="22"/>
  <c r="AI41" i="21"/>
  <c r="AI46" i="21" s="1"/>
  <c r="R13" i="28" s="1"/>
  <c r="Y41" i="21"/>
  <c r="Y46" i="21" s="1"/>
  <c r="O41" i="21"/>
  <c r="O46" i="21" s="1"/>
  <c r="E41" i="21"/>
  <c r="E46" i="21" s="1"/>
  <c r="C33" i="21"/>
  <c r="C32" i="21"/>
  <c r="C31" i="21"/>
  <c r="P25" i="33" s="1"/>
  <c r="C30" i="21"/>
  <c r="P24" i="33" s="1"/>
  <c r="C28" i="21"/>
  <c r="P23" i="33" s="1"/>
  <c r="C27" i="21"/>
  <c r="P22" i="33" s="1"/>
  <c r="C26" i="21"/>
  <c r="P21" i="33" s="1"/>
  <c r="C25" i="21"/>
  <c r="P20" i="33" s="1"/>
  <c r="C24" i="21"/>
  <c r="P19" i="33" s="1"/>
  <c r="C23" i="21"/>
  <c r="P18" i="33" s="1"/>
  <c r="C22" i="21"/>
  <c r="P17" i="33" s="1"/>
  <c r="AB21" i="21"/>
  <c r="C21" i="21" s="1"/>
  <c r="C20" i="21"/>
  <c r="C19" i="21"/>
  <c r="P14" i="33" s="1"/>
  <c r="C18" i="21"/>
  <c r="C17" i="21"/>
  <c r="P12" i="33" s="1"/>
  <c r="C16" i="21"/>
  <c r="C15" i="21"/>
  <c r="P10" i="33" s="1"/>
  <c r="C14" i="21"/>
  <c r="C13" i="21"/>
  <c r="AB12" i="21"/>
  <c r="C12" i="21" s="1"/>
  <c r="P7" i="33" s="1"/>
  <c r="AG11" i="21"/>
  <c r="AA11" i="21"/>
  <c r="C10" i="21"/>
  <c r="P5" i="33" s="1"/>
  <c r="C9" i="21"/>
  <c r="P4" i="33" s="1"/>
  <c r="P8" i="21"/>
  <c r="N8" i="21"/>
  <c r="N6" i="21" s="1"/>
  <c r="C7" i="21"/>
  <c r="AI6" i="21"/>
  <c r="AH6" i="21"/>
  <c r="AF6" i="21"/>
  <c r="AE6" i="21"/>
  <c r="AD6" i="21"/>
  <c r="AC6" i="21"/>
  <c r="AA6" i="21"/>
  <c r="Z6" i="21"/>
  <c r="Y6" i="21"/>
  <c r="X6" i="21"/>
  <c r="W6" i="21"/>
  <c r="V6" i="21"/>
  <c r="U6" i="21"/>
  <c r="T6" i="21"/>
  <c r="S6" i="21"/>
  <c r="R6" i="21"/>
  <c r="Q6" i="21"/>
  <c r="O6" i="21"/>
  <c r="M6" i="21"/>
  <c r="L6" i="21"/>
  <c r="K6" i="21"/>
  <c r="J6" i="21"/>
  <c r="I6" i="21"/>
  <c r="H6" i="21"/>
  <c r="G6" i="21"/>
  <c r="F6" i="21"/>
  <c r="E6" i="21"/>
  <c r="E5" i="21"/>
  <c r="E34" i="21" s="1"/>
  <c r="AM4" i="21"/>
  <c r="AB41" i="20"/>
  <c r="AB46" i="20" s="1"/>
  <c r="R12" i="28" s="1"/>
  <c r="U41" i="20"/>
  <c r="U46" i="20" s="1"/>
  <c r="L41" i="20"/>
  <c r="L46" i="20" s="1"/>
  <c r="C33" i="20"/>
  <c r="C32" i="20"/>
  <c r="C31" i="20"/>
  <c r="O25" i="33" s="1"/>
  <c r="C30" i="20"/>
  <c r="O24" i="33" s="1"/>
  <c r="C28" i="20"/>
  <c r="O23" i="33" s="1"/>
  <c r="C27" i="20"/>
  <c r="O22" i="33" s="1"/>
  <c r="AH26" i="20"/>
  <c r="X26" i="20"/>
  <c r="X6" i="20" s="1"/>
  <c r="C25" i="20"/>
  <c r="O20" i="33" s="1"/>
  <c r="C24" i="20"/>
  <c r="O19" i="33" s="1"/>
  <c r="C23" i="20"/>
  <c r="O18" i="33" s="1"/>
  <c r="C22" i="20"/>
  <c r="O17" i="33" s="1"/>
  <c r="R21" i="20"/>
  <c r="C21" i="20" s="1"/>
  <c r="C20" i="20"/>
  <c r="O15" i="33" s="1"/>
  <c r="C19" i="20"/>
  <c r="C18" i="20"/>
  <c r="C17" i="20"/>
  <c r="C16" i="20"/>
  <c r="O11" i="33" s="1"/>
  <c r="C15" i="20"/>
  <c r="C14" i="20"/>
  <c r="C13" i="20"/>
  <c r="C12" i="20"/>
  <c r="O7" i="33" s="1"/>
  <c r="AD11" i="20"/>
  <c r="AD6" i="20" s="1"/>
  <c r="K11" i="20"/>
  <c r="K6" i="20" s="1"/>
  <c r="C10" i="20"/>
  <c r="C9" i="20"/>
  <c r="AC8" i="20"/>
  <c r="Y8" i="20"/>
  <c r="Y6" i="20" s="1"/>
  <c r="R8" i="20"/>
  <c r="C7" i="20"/>
  <c r="AI6" i="20"/>
  <c r="AG6" i="20"/>
  <c r="AF6" i="20"/>
  <c r="AE6" i="20"/>
  <c r="AC6" i="20"/>
  <c r="AB6" i="20"/>
  <c r="AA6" i="20"/>
  <c r="Z6" i="20"/>
  <c r="W6" i="20"/>
  <c r="V6" i="20"/>
  <c r="U6" i="20"/>
  <c r="T6" i="20"/>
  <c r="S6" i="20"/>
  <c r="Q6" i="20"/>
  <c r="P6" i="20"/>
  <c r="O6" i="20"/>
  <c r="N6" i="20"/>
  <c r="M6" i="20"/>
  <c r="L6" i="20"/>
  <c r="J6" i="20"/>
  <c r="I6" i="20"/>
  <c r="H6" i="20"/>
  <c r="G6" i="20"/>
  <c r="F6" i="20"/>
  <c r="E6" i="20"/>
  <c r="E35" i="20" s="1"/>
  <c r="E5" i="20"/>
  <c r="AM4" i="20"/>
  <c r="AH41" i="19"/>
  <c r="S41" i="19"/>
  <c r="S46" i="19" s="1"/>
  <c r="K41" i="19"/>
  <c r="K46" i="19" s="1"/>
  <c r="AH38" i="19"/>
  <c r="AH46" i="19" s="1"/>
  <c r="R11" i="28" s="1"/>
  <c r="F33" i="19"/>
  <c r="C33" i="19" s="1"/>
  <c r="C32" i="19"/>
  <c r="C31" i="19"/>
  <c r="N25" i="33" s="1"/>
  <c r="C30" i="19"/>
  <c r="N24" i="33" s="1"/>
  <c r="C28" i="19"/>
  <c r="N23" i="33" s="1"/>
  <c r="C27" i="19"/>
  <c r="N22" i="33" s="1"/>
  <c r="C26" i="19"/>
  <c r="N21" i="33" s="1"/>
  <c r="C25" i="19"/>
  <c r="N20" i="33" s="1"/>
  <c r="C24" i="19"/>
  <c r="N19" i="33" s="1"/>
  <c r="C23" i="19"/>
  <c r="N18" i="33" s="1"/>
  <c r="C22" i="19"/>
  <c r="N17" i="33" s="1"/>
  <c r="AH21" i="19"/>
  <c r="E21" i="19"/>
  <c r="C20" i="19"/>
  <c r="N15" i="33" s="1"/>
  <c r="C19" i="19"/>
  <c r="N14" i="33" s="1"/>
  <c r="C18" i="19"/>
  <c r="N13" i="33" s="1"/>
  <c r="C17" i="19"/>
  <c r="N12" i="33" s="1"/>
  <c r="C16" i="19"/>
  <c r="N11" i="33" s="1"/>
  <c r="C15" i="19"/>
  <c r="N10" i="33" s="1"/>
  <c r="V14" i="19"/>
  <c r="V6" i="19" s="1"/>
  <c r="P14" i="19"/>
  <c r="C13" i="19"/>
  <c r="N8" i="33" s="1"/>
  <c r="C12" i="19"/>
  <c r="N7" i="33" s="1"/>
  <c r="X11" i="19"/>
  <c r="C10" i="19"/>
  <c r="C9" i="19"/>
  <c r="AH8" i="19"/>
  <c r="AB8" i="19"/>
  <c r="AB6" i="19" s="1"/>
  <c r="L8" i="19"/>
  <c r="C7" i="19"/>
  <c r="AG6" i="19"/>
  <c r="AF6" i="19"/>
  <c r="AE6" i="19"/>
  <c r="AD6" i="19"/>
  <c r="AC6" i="19"/>
  <c r="AA6" i="19"/>
  <c r="Z6" i="19"/>
  <c r="Y6" i="19"/>
  <c r="W6" i="19"/>
  <c r="U6" i="19"/>
  <c r="T6" i="19"/>
  <c r="S6" i="19"/>
  <c r="R6" i="19"/>
  <c r="Q6" i="19"/>
  <c r="O6" i="19"/>
  <c r="N6" i="19"/>
  <c r="M6" i="19"/>
  <c r="K6" i="19"/>
  <c r="J6" i="19"/>
  <c r="I6" i="19"/>
  <c r="H6" i="19"/>
  <c r="G6" i="19"/>
  <c r="F6" i="19"/>
  <c r="E6" i="19"/>
  <c r="E5" i="19"/>
  <c r="AL4" i="19"/>
  <c r="AI41" i="18"/>
  <c r="AI46" i="18" s="1"/>
  <c r="R10" i="28" s="1"/>
  <c r="AD41" i="18"/>
  <c r="AD46" i="18" s="1"/>
  <c r="V41" i="18"/>
  <c r="V46" i="18" s="1"/>
  <c r="K41" i="18"/>
  <c r="K46" i="18" s="1"/>
  <c r="C33" i="18"/>
  <c r="C32" i="18"/>
  <c r="C31" i="18"/>
  <c r="C30" i="18"/>
  <c r="C28" i="18"/>
  <c r="M23" i="33" s="1"/>
  <c r="C27" i="18"/>
  <c r="C26" i="18"/>
  <c r="C25" i="18"/>
  <c r="C24" i="18"/>
  <c r="M19" i="33" s="1"/>
  <c r="C23" i="18"/>
  <c r="C22" i="18"/>
  <c r="C21" i="18"/>
  <c r="C20" i="18"/>
  <c r="M15" i="33" s="1"/>
  <c r="C19" i="18"/>
  <c r="C18" i="18"/>
  <c r="C17" i="18"/>
  <c r="C16" i="18"/>
  <c r="M11" i="33" s="1"/>
  <c r="C15" i="18"/>
  <c r="M14" i="18"/>
  <c r="C14" i="18" s="1"/>
  <c r="M9" i="33" s="1"/>
  <c r="C13" i="18"/>
  <c r="AA12" i="18"/>
  <c r="E12" i="18"/>
  <c r="E6" i="18" s="1"/>
  <c r="AB11" i="18"/>
  <c r="C11" i="18" s="1"/>
  <c r="C10" i="18"/>
  <c r="C9" i="18"/>
  <c r="T8" i="18"/>
  <c r="T6" i="18" s="1"/>
  <c r="L8" i="18"/>
  <c r="L6" i="18" s="1"/>
  <c r="C7" i="18"/>
  <c r="AI6" i="18"/>
  <c r="AH6" i="18"/>
  <c r="AG6" i="18"/>
  <c r="AF6" i="18"/>
  <c r="AE6" i="18"/>
  <c r="AD6" i="18"/>
  <c r="AC6" i="18"/>
  <c r="AB6" i="18"/>
  <c r="Z6" i="18"/>
  <c r="Y6" i="18"/>
  <c r="X6" i="18"/>
  <c r="W6" i="18"/>
  <c r="V6" i="18"/>
  <c r="U6" i="18"/>
  <c r="S6" i="18"/>
  <c r="R6" i="18"/>
  <c r="Q6" i="18"/>
  <c r="P6" i="18"/>
  <c r="O6" i="18"/>
  <c r="N6" i="18"/>
  <c r="K6" i="18"/>
  <c r="J6" i="18"/>
  <c r="I6" i="18"/>
  <c r="H6" i="18"/>
  <c r="G6" i="18"/>
  <c r="F6" i="18"/>
  <c r="E5" i="18"/>
  <c r="E4" i="18" s="1"/>
  <c r="E3" i="18" s="1"/>
  <c r="AM4" i="18"/>
  <c r="AF46" i="17"/>
  <c r="R9" i="28" s="1"/>
  <c r="Z46" i="17"/>
  <c r="R46" i="17"/>
  <c r="K46" i="17"/>
  <c r="I41" i="17"/>
  <c r="I38" i="17"/>
  <c r="R33" i="17"/>
  <c r="C33" i="17" s="1"/>
  <c r="C32" i="17"/>
  <c r="C31" i="17"/>
  <c r="C30" i="17"/>
  <c r="C28" i="17"/>
  <c r="C27" i="17"/>
  <c r="L22" i="33" s="1"/>
  <c r="AH26" i="17"/>
  <c r="C26" i="17" s="1"/>
  <c r="C25" i="17"/>
  <c r="L20" i="33" s="1"/>
  <c r="C24" i="17"/>
  <c r="AC23" i="17"/>
  <c r="C23" i="17" s="1"/>
  <c r="C22" i="17"/>
  <c r="J21" i="17"/>
  <c r="C21" i="17" s="1"/>
  <c r="L16" i="33" s="1"/>
  <c r="C20" i="17"/>
  <c r="L15" i="33" s="1"/>
  <c r="C19" i="17"/>
  <c r="L14" i="33" s="1"/>
  <c r="C18" i="17"/>
  <c r="L13" i="33" s="1"/>
  <c r="C17" i="17"/>
  <c r="L12" i="33" s="1"/>
  <c r="C16" i="17"/>
  <c r="L11" i="33" s="1"/>
  <c r="C15" i="17"/>
  <c r="L10" i="33" s="1"/>
  <c r="C14" i="17"/>
  <c r="L9" i="33" s="1"/>
  <c r="C13" i="17"/>
  <c r="L8" i="33" s="1"/>
  <c r="C12" i="17"/>
  <c r="L7" i="33" s="1"/>
  <c r="C11" i="17"/>
  <c r="L6" i="33" s="1"/>
  <c r="K10" i="17"/>
  <c r="C9" i="17"/>
  <c r="L4" i="33" s="1"/>
  <c r="AE8" i="17"/>
  <c r="AE6" i="17" s="1"/>
  <c r="J8" i="17"/>
  <c r="AG6" i="17"/>
  <c r="AF6" i="17"/>
  <c r="AD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I6" i="17"/>
  <c r="H6" i="17"/>
  <c r="G6" i="17"/>
  <c r="F6" i="17"/>
  <c r="E6" i="17"/>
  <c r="E5" i="17"/>
  <c r="E4" i="17" s="1"/>
  <c r="E3" i="17" s="1"/>
  <c r="AL4" i="17"/>
  <c r="AF46" i="16"/>
  <c r="W46" i="16"/>
  <c r="K46" i="16"/>
  <c r="I46" i="16"/>
  <c r="AI39" i="16"/>
  <c r="AI46" i="16" s="1"/>
  <c r="X39" i="16"/>
  <c r="X46" i="16" s="1"/>
  <c r="E37" i="16"/>
  <c r="E46" i="16" s="1"/>
  <c r="C33" i="16"/>
  <c r="C32" i="16"/>
  <c r="C31" i="16"/>
  <c r="K25" i="33" s="1"/>
  <c r="C30" i="16"/>
  <c r="K24" i="33" s="1"/>
  <c r="C28" i="16"/>
  <c r="K23" i="33" s="1"/>
  <c r="C27" i="16"/>
  <c r="K22" i="33" s="1"/>
  <c r="H26" i="16"/>
  <c r="H6" i="16" s="1"/>
  <c r="F26" i="16"/>
  <c r="C25" i="16"/>
  <c r="K20" i="33" s="1"/>
  <c r="C24" i="16"/>
  <c r="K19" i="33" s="1"/>
  <c r="C23" i="16"/>
  <c r="K18" i="33" s="1"/>
  <c r="C22" i="16"/>
  <c r="K17" i="33" s="1"/>
  <c r="C21" i="16"/>
  <c r="K16" i="33" s="1"/>
  <c r="C20" i="16"/>
  <c r="K15" i="33" s="1"/>
  <c r="C19" i="16"/>
  <c r="K14" i="33" s="1"/>
  <c r="C18" i="16"/>
  <c r="K13" i="33" s="1"/>
  <c r="C17" i="16"/>
  <c r="K12" i="33" s="1"/>
  <c r="C16" i="16"/>
  <c r="K11" i="33" s="1"/>
  <c r="C15" i="16"/>
  <c r="K10" i="33" s="1"/>
  <c r="C14" i="16"/>
  <c r="K9" i="33" s="1"/>
  <c r="C13" i="16"/>
  <c r="K8" i="33" s="1"/>
  <c r="C12" i="16"/>
  <c r="K7" i="33" s="1"/>
  <c r="C11" i="16"/>
  <c r="K6" i="33" s="1"/>
  <c r="C10" i="16"/>
  <c r="K5" i="33" s="1"/>
  <c r="C9" i="16"/>
  <c r="K4" i="33" s="1"/>
  <c r="U8" i="16"/>
  <c r="G8" i="16"/>
  <c r="G6" i="16" s="1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F6" i="16"/>
  <c r="E6" i="16"/>
  <c r="E5" i="16"/>
  <c r="F5" i="16" s="1"/>
  <c r="AM4" i="16"/>
  <c r="C33" i="15"/>
  <c r="C32" i="15"/>
  <c r="C31" i="15"/>
  <c r="J25" i="33" s="1"/>
  <c r="C30" i="15"/>
  <c r="J24" i="33" s="1"/>
  <c r="C28" i="15"/>
  <c r="J23" i="33" s="1"/>
  <c r="C27" i="15"/>
  <c r="J22" i="33" s="1"/>
  <c r="C26" i="15"/>
  <c r="J21" i="33" s="1"/>
  <c r="C25" i="15"/>
  <c r="J20" i="33" s="1"/>
  <c r="C24" i="15"/>
  <c r="J19" i="33" s="1"/>
  <c r="C23" i="15"/>
  <c r="J18" i="33" s="1"/>
  <c r="C22" i="15"/>
  <c r="J17" i="33" s="1"/>
  <c r="AB21" i="15"/>
  <c r="AB6" i="15" s="1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AF6" i="15"/>
  <c r="AE6" i="15"/>
  <c r="AD6" i="15"/>
  <c r="AC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E5" i="15"/>
  <c r="AJ4" i="15"/>
  <c r="H40" i="14"/>
  <c r="H38" i="14"/>
  <c r="C33" i="14"/>
  <c r="C32" i="14"/>
  <c r="C31" i="14"/>
  <c r="C30" i="14"/>
  <c r="I24" i="33" s="1"/>
  <c r="C28" i="14"/>
  <c r="C27" i="14"/>
  <c r="I22" i="33" s="1"/>
  <c r="F26" i="14"/>
  <c r="C26" i="14" s="1"/>
  <c r="I21" i="33" s="1"/>
  <c r="C25" i="14"/>
  <c r="I20" i="33" s="1"/>
  <c r="C24" i="14"/>
  <c r="I19" i="33" s="1"/>
  <c r="C23" i="14"/>
  <c r="I18" i="33" s="1"/>
  <c r="Q22" i="14"/>
  <c r="Q6" i="14" s="1"/>
  <c r="P22" i="14"/>
  <c r="C21" i="14"/>
  <c r="I16" i="33" s="1"/>
  <c r="C20" i="14"/>
  <c r="I15" i="33" s="1"/>
  <c r="C19" i="14"/>
  <c r="I14" i="33" s="1"/>
  <c r="C18" i="14"/>
  <c r="I13" i="33" s="1"/>
  <c r="C17" i="14"/>
  <c r="I12" i="33" s="1"/>
  <c r="C16" i="14"/>
  <c r="I11" i="33" s="1"/>
  <c r="C15" i="14"/>
  <c r="I10" i="33" s="1"/>
  <c r="C14" i="14"/>
  <c r="I9" i="33" s="1"/>
  <c r="C13" i="14"/>
  <c r="I8" i="33" s="1"/>
  <c r="C12" i="14"/>
  <c r="I7" i="33" s="1"/>
  <c r="C11" i="14"/>
  <c r="I6" i="33" s="1"/>
  <c r="C10" i="14"/>
  <c r="I5" i="33" s="1"/>
  <c r="C9" i="14"/>
  <c r="I4" i="33" s="1"/>
  <c r="C8" i="14"/>
  <c r="I3" i="33" s="1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O6" i="14"/>
  <c r="N6" i="14"/>
  <c r="M6" i="14"/>
  <c r="L6" i="14"/>
  <c r="K6" i="14"/>
  <c r="J6" i="14"/>
  <c r="I6" i="14"/>
  <c r="H6" i="14"/>
  <c r="G6" i="14"/>
  <c r="E6" i="14"/>
  <c r="E35" i="14" s="1"/>
  <c r="E5" i="14"/>
  <c r="F5" i="14" s="1"/>
  <c r="AM4" i="14"/>
  <c r="AG43" i="13"/>
  <c r="R5" i="28" s="1"/>
  <c r="W43" i="13"/>
  <c r="C31" i="13"/>
  <c r="C30" i="13"/>
  <c r="C29" i="13"/>
  <c r="C28" i="13"/>
  <c r="H24" i="33" s="1"/>
  <c r="C26" i="13"/>
  <c r="H23" i="33" s="1"/>
  <c r="C25" i="13"/>
  <c r="H22" i="33" s="1"/>
  <c r="AA24" i="13"/>
  <c r="C24" i="13" s="1"/>
  <c r="H21" i="33" s="1"/>
  <c r="C23" i="13"/>
  <c r="C22" i="13"/>
  <c r="H19" i="33" s="1"/>
  <c r="C21" i="13"/>
  <c r="AA20" i="13"/>
  <c r="C20" i="13" s="1"/>
  <c r="C19" i="13"/>
  <c r="H15" i="33" s="1"/>
  <c r="C18" i="13"/>
  <c r="H14" i="33" s="1"/>
  <c r="Y17" i="13"/>
  <c r="AH16" i="13"/>
  <c r="R16" i="13"/>
  <c r="C15" i="13"/>
  <c r="C14" i="13"/>
  <c r="H10" i="33" s="1"/>
  <c r="AA13" i="13"/>
  <c r="M13" i="13"/>
  <c r="L12" i="13"/>
  <c r="C12" i="13" s="1"/>
  <c r="C11" i="13"/>
  <c r="H7" i="33" s="1"/>
  <c r="AD10" i="13"/>
  <c r="C9" i="13"/>
  <c r="L8" i="13"/>
  <c r="C8" i="13" s="1"/>
  <c r="AH7" i="13"/>
  <c r="AE7" i="13"/>
  <c r="S7" i="13"/>
  <c r="S6" i="13" s="1"/>
  <c r="AI6" i="13"/>
  <c r="AG6" i="13"/>
  <c r="AF6" i="13"/>
  <c r="AC6" i="13"/>
  <c r="AB6" i="13"/>
  <c r="Z6" i="13"/>
  <c r="X6" i="13"/>
  <c r="W6" i="13"/>
  <c r="V6" i="13"/>
  <c r="U6" i="13"/>
  <c r="T6" i="13"/>
  <c r="Q6" i="13"/>
  <c r="P6" i="13"/>
  <c r="O6" i="13"/>
  <c r="N6" i="13"/>
  <c r="K6" i="13"/>
  <c r="J6" i="13"/>
  <c r="I6" i="13"/>
  <c r="H6" i="13"/>
  <c r="G6" i="13"/>
  <c r="F6" i="13"/>
  <c r="E6" i="13"/>
  <c r="E33" i="13" s="1"/>
  <c r="E5" i="13"/>
  <c r="E32" i="13" s="1"/>
  <c r="AM4" i="13"/>
  <c r="X41" i="12"/>
  <c r="L38" i="12"/>
  <c r="L37" i="12"/>
  <c r="L35" i="12"/>
  <c r="AH34" i="12"/>
  <c r="AH33" i="12"/>
  <c r="C29" i="12"/>
  <c r="C28" i="12"/>
  <c r="C27" i="12"/>
  <c r="C25" i="12"/>
  <c r="AF24" i="12"/>
  <c r="C24" i="12" s="1"/>
  <c r="G22" i="33" s="1"/>
  <c r="C23" i="12"/>
  <c r="G21" i="33" s="1"/>
  <c r="C22" i="12"/>
  <c r="G20" i="33" s="1"/>
  <c r="C21" i="12"/>
  <c r="G19" i="33" s="1"/>
  <c r="C20" i="12"/>
  <c r="G18" i="33" s="1"/>
  <c r="V19" i="12"/>
  <c r="C18" i="12"/>
  <c r="C17" i="12"/>
  <c r="C16" i="12"/>
  <c r="C15" i="12"/>
  <c r="V14" i="12"/>
  <c r="C14" i="12" s="1"/>
  <c r="G11" i="33" s="1"/>
  <c r="C13" i="12"/>
  <c r="G10" i="33" s="1"/>
  <c r="C12" i="12"/>
  <c r="G9" i="33" s="1"/>
  <c r="C11" i="12"/>
  <c r="G8" i="33" s="1"/>
  <c r="C10" i="12"/>
  <c r="G7" i="33" s="1"/>
  <c r="W9" i="12"/>
  <c r="W6" i="12" s="1"/>
  <c r="C8" i="12"/>
  <c r="V7" i="12"/>
  <c r="S7" i="12"/>
  <c r="S6" i="12" s="1"/>
  <c r="R7" i="12"/>
  <c r="R6" i="12" s="1"/>
  <c r="H7" i="12"/>
  <c r="H6" i="12" s="1"/>
  <c r="AH6" i="12"/>
  <c r="AG6" i="12"/>
  <c r="AE6" i="12"/>
  <c r="AD6" i="12"/>
  <c r="AC6" i="12"/>
  <c r="AB6" i="12"/>
  <c r="AA6" i="12"/>
  <c r="Z6" i="12"/>
  <c r="Y6" i="12"/>
  <c r="X6" i="12"/>
  <c r="U6" i="12"/>
  <c r="T6" i="12"/>
  <c r="Q6" i="12"/>
  <c r="P6" i="12"/>
  <c r="O6" i="12"/>
  <c r="N6" i="12"/>
  <c r="M6" i="12"/>
  <c r="L6" i="12"/>
  <c r="K6" i="12"/>
  <c r="J6" i="12"/>
  <c r="I6" i="12"/>
  <c r="G6" i="12"/>
  <c r="F6" i="12"/>
  <c r="E6" i="12"/>
  <c r="E5" i="12"/>
  <c r="E4" i="12" s="1"/>
  <c r="E3" i="12" s="1"/>
  <c r="AL4" i="12"/>
  <c r="AI40" i="11"/>
  <c r="AE40" i="11"/>
  <c r="W40" i="11"/>
  <c r="O40" i="11"/>
  <c r="I40" i="11"/>
  <c r="C28" i="11"/>
  <c r="C27" i="11"/>
  <c r="C26" i="11"/>
  <c r="C24" i="11"/>
  <c r="C23" i="11"/>
  <c r="C22" i="11"/>
  <c r="C21" i="11"/>
  <c r="C20" i="11"/>
  <c r="C19" i="11"/>
  <c r="C18" i="11"/>
  <c r="C17" i="11"/>
  <c r="C16" i="11"/>
  <c r="C15" i="11"/>
  <c r="C14" i="11"/>
  <c r="I13" i="11"/>
  <c r="C13" i="11" s="1"/>
  <c r="F10" i="33" s="1"/>
  <c r="V12" i="11"/>
  <c r="V6" i="11" s="1"/>
  <c r="C11" i="11"/>
  <c r="C10" i="11"/>
  <c r="C9" i="11"/>
  <c r="C8" i="11"/>
  <c r="Q7" i="11"/>
  <c r="Q6" i="11" s="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U6" i="11"/>
  <c r="T6" i="11"/>
  <c r="S6" i="11"/>
  <c r="R6" i="11"/>
  <c r="P6" i="11"/>
  <c r="O6" i="11"/>
  <c r="N6" i="11"/>
  <c r="M6" i="11"/>
  <c r="L6" i="11"/>
  <c r="K6" i="11"/>
  <c r="J6" i="11"/>
  <c r="I6" i="11"/>
  <c r="H6" i="11"/>
  <c r="G6" i="11"/>
  <c r="F6" i="11"/>
  <c r="E6" i="11"/>
  <c r="E5" i="11"/>
  <c r="E29" i="11" s="1"/>
  <c r="AM4" i="11"/>
  <c r="J37" i="10"/>
  <c r="AG28" i="10"/>
  <c r="C27" i="10"/>
  <c r="C26" i="10"/>
  <c r="C25" i="10"/>
  <c r="AG24" i="10"/>
  <c r="AB24" i="10"/>
  <c r="AB6" i="10" s="1"/>
  <c r="C23" i="10"/>
  <c r="C22" i="10"/>
  <c r="C21" i="10"/>
  <c r="C20" i="10"/>
  <c r="C19" i="10"/>
  <c r="L18" i="10"/>
  <c r="E18" i="10"/>
  <c r="C17" i="10"/>
  <c r="C16" i="10"/>
  <c r="E14" i="33" s="1"/>
  <c r="AK15" i="10"/>
  <c r="C15" i="10"/>
  <c r="C14" i="10"/>
  <c r="H13" i="10"/>
  <c r="C13" i="10" s="1"/>
  <c r="N12" i="10"/>
  <c r="N6" i="10" s="1"/>
  <c r="C11" i="10"/>
  <c r="E8" i="33" s="1"/>
  <c r="K10" i="10"/>
  <c r="K9" i="10"/>
  <c r="C9" i="10" s="1"/>
  <c r="E6" i="33" s="1"/>
  <c r="C8" i="10"/>
  <c r="E4" i="33" s="1"/>
  <c r="AG7" i="10"/>
  <c r="AE7" i="10"/>
  <c r="AE6" i="10" s="1"/>
  <c r="Z7" i="10"/>
  <c r="Z6" i="10" s="1"/>
  <c r="R7" i="10"/>
  <c r="R6" i="10" s="1"/>
  <c r="L7" i="10"/>
  <c r="E7" i="10"/>
  <c r="AH6" i="10"/>
  <c r="AF6" i="10"/>
  <c r="AD6" i="10"/>
  <c r="AC6" i="10"/>
  <c r="AA6" i="10"/>
  <c r="Y6" i="10"/>
  <c r="X6" i="10"/>
  <c r="W6" i="10"/>
  <c r="V6" i="10"/>
  <c r="U6" i="10"/>
  <c r="T6" i="10"/>
  <c r="S6" i="10"/>
  <c r="Q6" i="10"/>
  <c r="P6" i="10"/>
  <c r="O6" i="10"/>
  <c r="M6" i="10"/>
  <c r="J6" i="10"/>
  <c r="I6" i="10"/>
  <c r="G6" i="10"/>
  <c r="F6" i="10"/>
  <c r="E5" i="10"/>
  <c r="E28" i="10" s="1"/>
  <c r="AL4" i="10"/>
  <c r="AH38" i="9"/>
  <c r="U38" i="9"/>
  <c r="U39" i="9" s="1"/>
  <c r="U40" i="9" s="1"/>
  <c r="O38" i="9"/>
  <c r="I38" i="9"/>
  <c r="F32" i="9"/>
  <c r="F38" i="9" s="1"/>
  <c r="C28" i="9"/>
  <c r="AJ27" i="9"/>
  <c r="C27" i="9"/>
  <c r="D25" i="33" s="1"/>
  <c r="AJ26" i="9"/>
  <c r="C26" i="9"/>
  <c r="AJ25" i="9"/>
  <c r="C25" i="9"/>
  <c r="D23" i="33" s="1"/>
  <c r="AJ24" i="9"/>
  <c r="C24" i="9"/>
  <c r="AJ23" i="9"/>
  <c r="C23" i="9"/>
  <c r="D21" i="33" s="1"/>
  <c r="AJ22" i="9"/>
  <c r="C22" i="9"/>
  <c r="AJ21" i="9"/>
  <c r="C21" i="9"/>
  <c r="D20" i="33" s="1"/>
  <c r="AJ20" i="9"/>
  <c r="C20" i="9"/>
  <c r="AJ19" i="9"/>
  <c r="C19" i="9"/>
  <c r="D18" i="33" s="1"/>
  <c r="AJ18" i="9"/>
  <c r="C18" i="9"/>
  <c r="AJ17" i="9"/>
  <c r="C17" i="9"/>
  <c r="D15" i="33" s="1"/>
  <c r="AJ16" i="9"/>
  <c r="C16" i="9"/>
  <c r="AJ15" i="9"/>
  <c r="C15" i="9"/>
  <c r="D13" i="33" s="1"/>
  <c r="AJ14" i="9"/>
  <c r="AI14" i="9"/>
  <c r="AF14" i="9"/>
  <c r="C14" i="9" s="1"/>
  <c r="AJ13" i="9"/>
  <c r="AF13" i="9"/>
  <c r="Z13" i="9"/>
  <c r="AJ12" i="9"/>
  <c r="C12" i="9"/>
  <c r="AJ11" i="9"/>
  <c r="C11" i="9"/>
  <c r="D8" i="33" s="1"/>
  <c r="AJ10" i="9"/>
  <c r="C10" i="9"/>
  <c r="AJ9" i="9"/>
  <c r="C9" i="9"/>
  <c r="D6" i="33" s="1"/>
  <c r="AJ8" i="9"/>
  <c r="C8" i="9"/>
  <c r="AJ7" i="9"/>
  <c r="AI7" i="9"/>
  <c r="AF7" i="9"/>
  <c r="AD7" i="9"/>
  <c r="AD6" i="9" s="1"/>
  <c r="AB7" i="9"/>
  <c r="AB6" i="9" s="1"/>
  <c r="AH6" i="9"/>
  <c r="AG6" i="9"/>
  <c r="AE6" i="9"/>
  <c r="AC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E5" i="9"/>
  <c r="E29" i="9" s="1"/>
  <c r="AN4" i="9"/>
  <c r="AJ38" i="8"/>
  <c r="AE38" i="8"/>
  <c r="P38" i="8"/>
  <c r="J36" i="8"/>
  <c r="J35" i="8"/>
  <c r="V34" i="8"/>
  <c r="J34" i="8"/>
  <c r="V33" i="8"/>
  <c r="G33" i="8"/>
  <c r="G38" i="8" s="1"/>
  <c r="J31" i="8"/>
  <c r="E28" i="8"/>
  <c r="D27" i="8"/>
  <c r="D26" i="8"/>
  <c r="D25" i="8"/>
  <c r="D24" i="8"/>
  <c r="D23" i="8"/>
  <c r="R22" i="8"/>
  <c r="D22" i="8" s="1"/>
  <c r="D21" i="8"/>
  <c r="D20" i="8"/>
  <c r="D19" i="8"/>
  <c r="D18" i="8"/>
  <c r="D17" i="8"/>
  <c r="D16" i="8"/>
  <c r="D15" i="8"/>
  <c r="D14" i="8"/>
  <c r="D13" i="8"/>
  <c r="D12" i="8"/>
  <c r="D11" i="8"/>
  <c r="G10" i="8"/>
  <c r="D10" i="8" s="1"/>
  <c r="D9" i="8"/>
  <c r="Q8" i="8"/>
  <c r="D8" i="8" s="1"/>
  <c r="D7" i="8"/>
  <c r="D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P5" i="8"/>
  <c r="O5" i="8"/>
  <c r="N5" i="8"/>
  <c r="M5" i="8"/>
  <c r="L5" i="8"/>
  <c r="K5" i="8"/>
  <c r="J5" i="8"/>
  <c r="I5" i="8"/>
  <c r="H5" i="8"/>
  <c r="F5" i="8"/>
  <c r="E5" i="8"/>
  <c r="F4" i="8"/>
  <c r="G4" i="8" s="1"/>
  <c r="AM3" i="8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D35" i="7"/>
  <c r="G28" i="7"/>
  <c r="H28" i="7" s="1"/>
  <c r="I28" i="7" s="1"/>
  <c r="J28" i="7" s="1"/>
  <c r="K28" i="7" s="1"/>
  <c r="L28" i="7" s="1"/>
  <c r="M28" i="7" s="1"/>
  <c r="N28" i="7" s="1"/>
  <c r="O28" i="7" s="1"/>
  <c r="P28" i="7" s="1"/>
  <c r="Q28" i="7" s="1"/>
  <c r="R28" i="7" s="1"/>
  <c r="S28" i="7" s="1"/>
  <c r="T28" i="7" s="1"/>
  <c r="U28" i="7" s="1"/>
  <c r="V28" i="7" s="1"/>
  <c r="W28" i="7" s="1"/>
  <c r="X28" i="7" s="1"/>
  <c r="Y28" i="7" s="1"/>
  <c r="Z28" i="7" s="1"/>
  <c r="AA28" i="7" s="1"/>
  <c r="AB28" i="7" s="1"/>
  <c r="AC28" i="7" s="1"/>
  <c r="AD28" i="7" s="1"/>
  <c r="AE28" i="7" s="1"/>
  <c r="AF28" i="7" s="1"/>
  <c r="AG28" i="7" s="1"/>
  <c r="AH28" i="7" s="1"/>
  <c r="AI28" i="7" s="1"/>
  <c r="AJ28" i="7" s="1"/>
  <c r="D27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U7" i="7"/>
  <c r="D7" i="7" s="1"/>
  <c r="N6" i="7"/>
  <c r="N5" i="7" s="1"/>
  <c r="H6" i="7"/>
  <c r="H5" i="7" s="1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T5" i="7"/>
  <c r="S5" i="7"/>
  <c r="R5" i="7"/>
  <c r="Q5" i="7"/>
  <c r="P5" i="7"/>
  <c r="O5" i="7"/>
  <c r="M5" i="7"/>
  <c r="L5" i="7"/>
  <c r="K5" i="7"/>
  <c r="J5" i="7"/>
  <c r="I5" i="7"/>
  <c r="G5" i="7"/>
  <c r="E5" i="7"/>
  <c r="G4" i="7"/>
  <c r="H4" i="7" s="1"/>
  <c r="E39" i="6"/>
  <c r="W28" i="6"/>
  <c r="B19" i="6"/>
  <c r="B17" i="6"/>
  <c r="B16" i="6"/>
  <c r="B15" i="6"/>
  <c r="B14" i="6"/>
  <c r="B13" i="6"/>
  <c r="B12" i="6"/>
  <c r="B11" i="6"/>
  <c r="E10" i="6"/>
  <c r="B10" i="6" s="1"/>
  <c r="B9" i="6"/>
  <c r="B8" i="6"/>
  <c r="B7" i="6"/>
  <c r="B6" i="6"/>
  <c r="B5" i="6"/>
  <c r="AC4" i="6"/>
  <c r="AC3" i="6" s="1"/>
  <c r="AC23" i="6" s="1"/>
  <c r="T4" i="6"/>
  <c r="T3" i="6" s="1"/>
  <c r="T23" i="6" s="1"/>
  <c r="G4" i="6"/>
  <c r="G3" i="6" s="1"/>
  <c r="G23" i="6" s="1"/>
  <c r="E4" i="6"/>
  <c r="AG3" i="6"/>
  <c r="AG23" i="6" s="1"/>
  <c r="AF3" i="6"/>
  <c r="AF23" i="6" s="1"/>
  <c r="AE3" i="6"/>
  <c r="AE23" i="6" s="1"/>
  <c r="AD3" i="6"/>
  <c r="AD23" i="6" s="1"/>
  <c r="AB3" i="6"/>
  <c r="AB23" i="6" s="1"/>
  <c r="AA3" i="6"/>
  <c r="AA23" i="6" s="1"/>
  <c r="Z3" i="6"/>
  <c r="Z23" i="6" s="1"/>
  <c r="Y3" i="6"/>
  <c r="Y23" i="6" s="1"/>
  <c r="X3" i="6"/>
  <c r="X23" i="6" s="1"/>
  <c r="W3" i="6"/>
  <c r="W23" i="6" s="1"/>
  <c r="V3" i="6"/>
  <c r="V23" i="6" s="1"/>
  <c r="U3" i="6"/>
  <c r="U23" i="6" s="1"/>
  <c r="S3" i="6"/>
  <c r="S23" i="6" s="1"/>
  <c r="R3" i="6"/>
  <c r="R23" i="6" s="1"/>
  <c r="Q3" i="6"/>
  <c r="Q23" i="6" s="1"/>
  <c r="P3" i="6"/>
  <c r="P23" i="6" s="1"/>
  <c r="O3" i="6"/>
  <c r="O23" i="6" s="1"/>
  <c r="N3" i="6"/>
  <c r="N23" i="6" s="1"/>
  <c r="M3" i="6"/>
  <c r="M23" i="6" s="1"/>
  <c r="L3" i="6"/>
  <c r="L23" i="6" s="1"/>
  <c r="K3" i="6"/>
  <c r="K23" i="6" s="1"/>
  <c r="J3" i="6"/>
  <c r="J23" i="6" s="1"/>
  <c r="I3" i="6"/>
  <c r="I23" i="6" s="1"/>
  <c r="H3" i="6"/>
  <c r="H23" i="6" s="1"/>
  <c r="F3" i="6"/>
  <c r="F23" i="6" s="1"/>
  <c r="D3" i="6"/>
  <c r="D23" i="6" s="1"/>
  <c r="C3" i="6"/>
  <c r="C23" i="6" s="1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B17" i="5"/>
  <c r="B16" i="5"/>
  <c r="B15" i="5"/>
  <c r="D14" i="5"/>
  <c r="B14" i="5" s="1"/>
  <c r="R13" i="5"/>
  <c r="B13" i="5" s="1"/>
  <c r="D12" i="5"/>
  <c r="B12" i="5" s="1"/>
  <c r="B11" i="5"/>
  <c r="B10" i="5"/>
  <c r="B9" i="5"/>
  <c r="AC8" i="5"/>
  <c r="B8" i="5" s="1"/>
  <c r="B7" i="5"/>
  <c r="J6" i="5"/>
  <c r="B6" i="5" s="1"/>
  <c r="B5" i="5"/>
  <c r="K4" i="5"/>
  <c r="J4" i="5"/>
  <c r="D4" i="5"/>
  <c r="B3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B17" i="4"/>
  <c r="B16" i="4"/>
  <c r="B15" i="4"/>
  <c r="B14" i="4"/>
  <c r="B13" i="4"/>
  <c r="B12" i="4"/>
  <c r="B11" i="4"/>
  <c r="V10" i="4"/>
  <c r="B10" i="4" s="1"/>
  <c r="B9" i="4"/>
  <c r="B8" i="4"/>
  <c r="B7" i="4"/>
  <c r="B6" i="4"/>
  <c r="B5" i="4"/>
  <c r="Y4" i="4"/>
  <c r="U4" i="4"/>
  <c r="L4" i="4"/>
  <c r="B3" i="4"/>
  <c r="D2" i="4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C26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D4" i="3"/>
  <c r="E4" i="3" s="1"/>
  <c r="F4" i="3" s="1"/>
  <c r="D26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F3" i="2"/>
  <c r="G3" i="2" s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I5" i="38" l="1"/>
  <c r="AH4" i="38"/>
  <c r="AH3" i="38" s="1"/>
  <c r="Y5" i="37"/>
  <c r="X4" i="37"/>
  <c r="X3" i="37" s="1"/>
  <c r="F6" i="14"/>
  <c r="C13" i="22"/>
  <c r="B4" i="6"/>
  <c r="C12" i="18"/>
  <c r="M7" i="33" s="1"/>
  <c r="B4" i="4"/>
  <c r="AA6" i="13"/>
  <c r="C14" i="19"/>
  <c r="N9" i="33" s="1"/>
  <c r="D3" i="3"/>
  <c r="D2" i="3" s="1"/>
  <c r="AH6" i="13"/>
  <c r="AA6" i="18"/>
  <c r="C7" i="11"/>
  <c r="F3" i="33" s="1"/>
  <c r="L41" i="12"/>
  <c r="F35" i="17"/>
  <c r="Y2" i="23"/>
  <c r="H22" i="23"/>
  <c r="AH41" i="23"/>
  <c r="E29" i="8"/>
  <c r="C12" i="10"/>
  <c r="O45" i="24"/>
  <c r="E4" i="22"/>
  <c r="E3" i="22" s="1"/>
  <c r="I46" i="17"/>
  <c r="C8" i="21"/>
  <c r="H14" i="23"/>
  <c r="M6" i="24"/>
  <c r="I20" i="24"/>
  <c r="H20" i="24" s="1"/>
  <c r="L6" i="24"/>
  <c r="R5" i="8"/>
  <c r="AH6" i="17"/>
  <c r="AG2" i="23"/>
  <c r="C8" i="17"/>
  <c r="L3" i="33" s="1"/>
  <c r="C8" i="22"/>
  <c r="C8" i="18"/>
  <c r="P6" i="22"/>
  <c r="K45" i="24"/>
  <c r="H17" i="23"/>
  <c r="I8" i="24"/>
  <c r="S6" i="24"/>
  <c r="AE45" i="24"/>
  <c r="AN37" i="24"/>
  <c r="AN45" i="24" s="1"/>
  <c r="AM49" i="24" s="1"/>
  <c r="K4" i="26"/>
  <c r="K3" i="26" s="1"/>
  <c r="H10" i="24"/>
  <c r="H21" i="24"/>
  <c r="H29" i="24"/>
  <c r="H23" i="24"/>
  <c r="I12" i="24"/>
  <c r="H14" i="24"/>
  <c r="H18" i="24"/>
  <c r="H25" i="24"/>
  <c r="C28" i="3"/>
  <c r="C29" i="3" s="1"/>
  <c r="C2" i="8"/>
  <c r="C5" i="8" s="1"/>
  <c r="J33" i="8"/>
  <c r="V6" i="12"/>
  <c r="AD31" i="12" s="1"/>
  <c r="M35" i="15"/>
  <c r="L35" i="21"/>
  <c r="H24" i="23"/>
  <c r="J27" i="23"/>
  <c r="H16" i="26"/>
  <c r="H9" i="31"/>
  <c r="H12" i="31" s="1"/>
  <c r="E3" i="3"/>
  <c r="E2" i="3" s="1"/>
  <c r="G5" i="8"/>
  <c r="J29" i="8" s="1"/>
  <c r="V38" i="8"/>
  <c r="AI6" i="9"/>
  <c r="K6" i="10"/>
  <c r="N35" i="16"/>
  <c r="S10" i="28"/>
  <c r="C8" i="19"/>
  <c r="N3" i="33" s="1"/>
  <c r="C11" i="20"/>
  <c r="O6" i="33" s="1"/>
  <c r="AH44" i="22"/>
  <c r="R14" i="28" s="1"/>
  <c r="S15" i="28" s="1"/>
  <c r="H12" i="23"/>
  <c r="Q2" i="23"/>
  <c r="H25" i="23"/>
  <c r="H16" i="24"/>
  <c r="F2" i="2"/>
  <c r="F1" i="2" s="1"/>
  <c r="U5" i="7"/>
  <c r="Y29" i="7" s="1"/>
  <c r="AG30" i="7"/>
  <c r="AG35" i="7" s="1"/>
  <c r="AH30" i="7" s="1"/>
  <c r="AH35" i="7" s="1"/>
  <c r="AI30" i="7" s="1"/>
  <c r="AI35" i="7" s="1"/>
  <c r="AJ30" i="7" s="1"/>
  <c r="E30" i="8" s="1"/>
  <c r="E37" i="8" s="1"/>
  <c r="F30" i="8" s="1"/>
  <c r="F37" i="8" s="1"/>
  <c r="G30" i="8" s="1"/>
  <c r="G37" i="8" s="1"/>
  <c r="H30" i="8" s="1"/>
  <c r="H37" i="8" s="1"/>
  <c r="I30" i="8" s="1"/>
  <c r="I37" i="8" s="1"/>
  <c r="J30" i="8" s="1"/>
  <c r="J37" i="8" s="1"/>
  <c r="K30" i="8" s="1"/>
  <c r="K37" i="8" s="1"/>
  <c r="L30" i="8" s="1"/>
  <c r="L37" i="8" s="1"/>
  <c r="M30" i="8" s="1"/>
  <c r="M37" i="8" s="1"/>
  <c r="N30" i="8" s="1"/>
  <c r="N37" i="8" s="1"/>
  <c r="O30" i="8" s="1"/>
  <c r="O37" i="8" s="1"/>
  <c r="P30" i="8" s="1"/>
  <c r="P37" i="8" s="1"/>
  <c r="D6" i="7"/>
  <c r="C7" i="10"/>
  <c r="AG6" i="10"/>
  <c r="AK11" i="10" s="1"/>
  <c r="C24" i="10"/>
  <c r="F33" i="13"/>
  <c r="K35" i="15"/>
  <c r="E4" i="16"/>
  <c r="E3" i="16" s="1"/>
  <c r="E34" i="16"/>
  <c r="F5" i="22"/>
  <c r="F34" i="22" s="1"/>
  <c r="J6" i="22"/>
  <c r="AO2" i="23"/>
  <c r="J16" i="23"/>
  <c r="AH34" i="30"/>
  <c r="C2" i="30"/>
  <c r="D20" i="30" s="1"/>
  <c r="D10" i="31"/>
  <c r="J10" i="31" s="1"/>
  <c r="M5" i="26"/>
  <c r="L4" i="26"/>
  <c r="L3" i="26" s="1"/>
  <c r="L6" i="10"/>
  <c r="F5" i="11"/>
  <c r="C7" i="13"/>
  <c r="U35" i="15"/>
  <c r="F5" i="18"/>
  <c r="G5" i="18" s="1"/>
  <c r="G35" i="21"/>
  <c r="L5" i="23"/>
  <c r="L5" i="24"/>
  <c r="H7" i="24"/>
  <c r="O34" i="30"/>
  <c r="J6" i="31"/>
  <c r="D8" i="31"/>
  <c r="J8" i="31" s="1"/>
  <c r="E3" i="6"/>
  <c r="E23" i="6" s="1"/>
  <c r="T22" i="6" s="1"/>
  <c r="Q5" i="8"/>
  <c r="V29" i="8" s="1"/>
  <c r="F5" i="9"/>
  <c r="F4" i="9" s="1"/>
  <c r="F3" i="9" s="1"/>
  <c r="E4" i="10"/>
  <c r="E3" i="10" s="1"/>
  <c r="F5" i="10"/>
  <c r="H6" i="10"/>
  <c r="E6" i="10"/>
  <c r="E4" i="11"/>
  <c r="E3" i="11" s="1"/>
  <c r="AH30" i="11"/>
  <c r="L6" i="13"/>
  <c r="E4" i="14"/>
  <c r="E3" i="14" s="1"/>
  <c r="E35" i="15"/>
  <c r="AA35" i="15"/>
  <c r="F35" i="16"/>
  <c r="J6" i="17"/>
  <c r="M6" i="18"/>
  <c r="Z35" i="18" s="1"/>
  <c r="AH6" i="19"/>
  <c r="R6" i="20"/>
  <c r="T35" i="20" s="1"/>
  <c r="J25" i="23"/>
  <c r="AG34" i="30"/>
  <c r="H6" i="31"/>
  <c r="X10" i="31"/>
  <c r="T31" i="12"/>
  <c r="AD35" i="16"/>
  <c r="D28" i="2"/>
  <c r="D29" i="2" s="1"/>
  <c r="B4" i="5"/>
  <c r="B1" i="5" s="1"/>
  <c r="B2" i="5" s="1"/>
  <c r="G3" i="7"/>
  <c r="G2" i="7" s="1"/>
  <c r="D1" i="7"/>
  <c r="D4" i="7" s="1"/>
  <c r="E4" i="9"/>
  <c r="E3" i="9" s="1"/>
  <c r="AC30" i="9"/>
  <c r="C10" i="10"/>
  <c r="C9" i="12"/>
  <c r="C19" i="12"/>
  <c r="G16" i="33" s="1"/>
  <c r="C8" i="16"/>
  <c r="K3" i="33" s="1"/>
  <c r="AC6" i="17"/>
  <c r="E34" i="18"/>
  <c r="AB6" i="21"/>
  <c r="S13" i="28"/>
  <c r="R2" i="23"/>
  <c r="V6" i="23"/>
  <c r="V2" i="23" s="1"/>
  <c r="Z2" i="23"/>
  <c r="AD2" i="23"/>
  <c r="M6" i="23"/>
  <c r="AL2" i="23"/>
  <c r="I23" i="23"/>
  <c r="H27" i="23"/>
  <c r="AE6" i="31"/>
  <c r="G2" i="2"/>
  <c r="G1" i="2" s="1"/>
  <c r="H3" i="2"/>
  <c r="G3" i="8"/>
  <c r="G2" i="8" s="1"/>
  <c r="H4" i="8"/>
  <c r="G28" i="8"/>
  <c r="B30" i="6"/>
  <c r="B21" i="6" s="1"/>
  <c r="G4" i="3"/>
  <c r="F3" i="3"/>
  <c r="F2" i="3" s="1"/>
  <c r="D2" i="7"/>
  <c r="D3" i="7" s="1"/>
  <c r="B1" i="4"/>
  <c r="B2" i="4" s="1"/>
  <c r="X22" i="6"/>
  <c r="D22" i="6"/>
  <c r="K22" i="6"/>
  <c r="F22" i="6"/>
  <c r="AG22" i="6"/>
  <c r="I22" i="6"/>
  <c r="I4" i="7"/>
  <c r="H3" i="7"/>
  <c r="H2" i="7" s="1"/>
  <c r="I29" i="7"/>
  <c r="M29" i="7"/>
  <c r="Q29" i="7"/>
  <c r="E22" i="33"/>
  <c r="J29" i="7"/>
  <c r="N29" i="7"/>
  <c r="R29" i="7"/>
  <c r="Z29" i="8"/>
  <c r="N29" i="8"/>
  <c r="F29" i="8"/>
  <c r="AB29" i="8"/>
  <c r="P29" i="8"/>
  <c r="L29" i="8"/>
  <c r="H29" i="8"/>
  <c r="M29" i="8"/>
  <c r="K29" i="8"/>
  <c r="O29" i="8"/>
  <c r="G29" i="8"/>
  <c r="K29" i="7"/>
  <c r="O29" i="7"/>
  <c r="S29" i="7"/>
  <c r="W29" i="7"/>
  <c r="C3" i="8"/>
  <c r="C4" i="8" s="1"/>
  <c r="H29" i="7"/>
  <c r="L29" i="7"/>
  <c r="P29" i="7"/>
  <c r="T29" i="7"/>
  <c r="F28" i="8"/>
  <c r="F3" i="8"/>
  <c r="F2" i="8" s="1"/>
  <c r="E10" i="33"/>
  <c r="C7" i="9"/>
  <c r="D14" i="33"/>
  <c r="D22" i="33"/>
  <c r="K30" i="9"/>
  <c r="S30" i="9"/>
  <c r="AA30" i="9"/>
  <c r="E3" i="33"/>
  <c r="E29" i="10"/>
  <c r="E20" i="33"/>
  <c r="F4" i="33"/>
  <c r="C12" i="11"/>
  <c r="F11" i="33"/>
  <c r="F16" i="33"/>
  <c r="F21" i="33"/>
  <c r="F25" i="33"/>
  <c r="H30" i="11"/>
  <c r="P30" i="11"/>
  <c r="X30" i="11"/>
  <c r="AF30" i="11"/>
  <c r="G12" i="33"/>
  <c r="G23" i="33"/>
  <c r="P31" i="12"/>
  <c r="H8" i="33"/>
  <c r="D4" i="33"/>
  <c r="D11" i="33"/>
  <c r="D16" i="33"/>
  <c r="D24" i="33"/>
  <c r="E30" i="9"/>
  <c r="M30" i="9"/>
  <c r="U30" i="9"/>
  <c r="E7" i="33"/>
  <c r="E9" i="33"/>
  <c r="E11" i="33"/>
  <c r="F6" i="33"/>
  <c r="F13" i="33"/>
  <c r="F18" i="33"/>
  <c r="F22" i="33"/>
  <c r="J30" i="11"/>
  <c r="R30" i="11"/>
  <c r="Z30" i="11"/>
  <c r="C7" i="12"/>
  <c r="G13" i="33"/>
  <c r="G24" i="33"/>
  <c r="H5" i="33"/>
  <c r="H11" i="33"/>
  <c r="G5" i="9"/>
  <c r="AD30" i="9"/>
  <c r="Z30" i="9"/>
  <c r="V30" i="9"/>
  <c r="R30" i="9"/>
  <c r="N30" i="9"/>
  <c r="J30" i="9"/>
  <c r="F30" i="9"/>
  <c r="AB30" i="9"/>
  <c r="X30" i="9"/>
  <c r="T30" i="9"/>
  <c r="P30" i="9"/>
  <c r="L30" i="9"/>
  <c r="H30" i="9"/>
  <c r="D7" i="33"/>
  <c r="D19" i="33"/>
  <c r="G30" i="9"/>
  <c r="O30" i="9"/>
  <c r="W30" i="9"/>
  <c r="AE30" i="9"/>
  <c r="E13" i="33"/>
  <c r="E15" i="33"/>
  <c r="E18" i="33"/>
  <c r="E21" i="33"/>
  <c r="E24" i="33"/>
  <c r="F7" i="33"/>
  <c r="F14" i="33"/>
  <c r="F19" i="33"/>
  <c r="F23" i="33"/>
  <c r="L30" i="11"/>
  <c r="T30" i="11"/>
  <c r="AB30" i="11"/>
  <c r="R3" i="28"/>
  <c r="AI45" i="11"/>
  <c r="D32" i="12" s="1"/>
  <c r="D40" i="12" s="1"/>
  <c r="E32" i="12" s="1"/>
  <c r="E40" i="12" s="1"/>
  <c r="F32" i="12" s="1"/>
  <c r="F40" i="12" s="1"/>
  <c r="G32" i="12" s="1"/>
  <c r="G40" i="12" s="1"/>
  <c r="H32" i="12" s="1"/>
  <c r="H40" i="12" s="1"/>
  <c r="I32" i="12" s="1"/>
  <c r="I40" i="12" s="1"/>
  <c r="J32" i="12" s="1"/>
  <c r="J40" i="12" s="1"/>
  <c r="K32" i="12" s="1"/>
  <c r="K40" i="12" s="1"/>
  <c r="L32" i="12" s="1"/>
  <c r="L40" i="12" s="1"/>
  <c r="M32" i="12" s="1"/>
  <c r="M40" i="12" s="1"/>
  <c r="N32" i="12" s="1"/>
  <c r="N40" i="12" s="1"/>
  <c r="O32" i="12" s="1"/>
  <c r="O40" i="12" s="1"/>
  <c r="P32" i="12" s="1"/>
  <c r="P40" i="12" s="1"/>
  <c r="Q32" i="12" s="1"/>
  <c r="Q40" i="12" s="1"/>
  <c r="R32" i="12" s="1"/>
  <c r="R40" i="12" s="1"/>
  <c r="S32" i="12" s="1"/>
  <c r="S40" i="12" s="1"/>
  <c r="T32" i="12" s="1"/>
  <c r="T40" i="12" s="1"/>
  <c r="U32" i="12" s="1"/>
  <c r="U40" i="12" s="1"/>
  <c r="V32" i="12" s="1"/>
  <c r="V40" i="12" s="1"/>
  <c r="W32" i="12" s="1"/>
  <c r="W40" i="12" s="1"/>
  <c r="X32" i="12" s="1"/>
  <c r="X40" i="12" s="1"/>
  <c r="Y32" i="12" s="1"/>
  <c r="Y40" i="12" s="1"/>
  <c r="Z32" i="12" s="1"/>
  <c r="Z40" i="12" s="1"/>
  <c r="AA32" i="12" s="1"/>
  <c r="AA40" i="12" s="1"/>
  <c r="AB32" i="12" s="1"/>
  <c r="AB40" i="12" s="1"/>
  <c r="AC32" i="12" s="1"/>
  <c r="AC40" i="12" s="1"/>
  <c r="AD32" i="12" s="1"/>
  <c r="AD40" i="12" s="1"/>
  <c r="AE32" i="12" s="1"/>
  <c r="AE40" i="12" s="1"/>
  <c r="E30" i="12"/>
  <c r="F5" i="12"/>
  <c r="Z31" i="12"/>
  <c r="V31" i="12"/>
  <c r="R31" i="12"/>
  <c r="N31" i="12"/>
  <c r="J31" i="12"/>
  <c r="F31" i="12"/>
  <c r="AC31" i="12"/>
  <c r="U31" i="12"/>
  <c r="Q31" i="12"/>
  <c r="M31" i="12"/>
  <c r="I31" i="12"/>
  <c r="E31" i="12"/>
  <c r="AA31" i="12"/>
  <c r="S31" i="12"/>
  <c r="K31" i="12"/>
  <c r="AE31" i="12"/>
  <c r="W31" i="12"/>
  <c r="O31" i="12"/>
  <c r="G31" i="12"/>
  <c r="G4" i="33"/>
  <c r="G14" i="33"/>
  <c r="G25" i="33"/>
  <c r="H31" i="12"/>
  <c r="X31" i="12"/>
  <c r="H3" i="33"/>
  <c r="C13" i="13"/>
  <c r="M6" i="13"/>
  <c r="H25" i="33"/>
  <c r="J38" i="8"/>
  <c r="D9" i="33"/>
  <c r="C13" i="9"/>
  <c r="AF6" i="9"/>
  <c r="AI30" i="9" s="1"/>
  <c r="F29" i="9"/>
  <c r="I30" i="9"/>
  <c r="Q30" i="9"/>
  <c r="Y30" i="9"/>
  <c r="C18" i="10"/>
  <c r="C2" i="10" s="1"/>
  <c r="E19" i="33"/>
  <c r="E25" i="33"/>
  <c r="F29" i="11"/>
  <c r="G5" i="11"/>
  <c r="F4" i="11"/>
  <c r="F3" i="11" s="1"/>
  <c r="AI30" i="11"/>
  <c r="AE30" i="11"/>
  <c r="AA30" i="11"/>
  <c r="W30" i="11"/>
  <c r="S30" i="11"/>
  <c r="O30" i="11"/>
  <c r="K30" i="11"/>
  <c r="G30" i="11"/>
  <c r="AK12" i="10"/>
  <c r="AG30" i="11"/>
  <c r="AC30" i="11"/>
  <c r="Y30" i="11"/>
  <c r="U30" i="11"/>
  <c r="Q30" i="11"/>
  <c r="M30" i="11"/>
  <c r="I30" i="11"/>
  <c r="E30" i="11"/>
  <c r="F8" i="33"/>
  <c r="F15" i="33"/>
  <c r="F20" i="33"/>
  <c r="F24" i="33"/>
  <c r="F30" i="11"/>
  <c r="N30" i="11"/>
  <c r="V30" i="11"/>
  <c r="AD30" i="11"/>
  <c r="G6" i="33"/>
  <c r="G15" i="33"/>
  <c r="L31" i="12"/>
  <c r="AB31" i="12"/>
  <c r="F5" i="13"/>
  <c r="E4" i="13"/>
  <c r="E3" i="13" s="1"/>
  <c r="J33" i="13"/>
  <c r="Q33" i="13"/>
  <c r="I33" i="13"/>
  <c r="I23" i="33"/>
  <c r="I35" i="14"/>
  <c r="F5" i="15"/>
  <c r="E34" i="15"/>
  <c r="E4" i="15"/>
  <c r="E3" i="15" s="1"/>
  <c r="J5" i="33"/>
  <c r="J9" i="33"/>
  <c r="J13" i="33"/>
  <c r="M10" i="33"/>
  <c r="C17" i="13"/>
  <c r="Y6" i="13"/>
  <c r="H16" i="33"/>
  <c r="H20" i="33"/>
  <c r="C22" i="14"/>
  <c r="C2" i="14" s="1"/>
  <c r="D29" i="14" s="1"/>
  <c r="P6" i="14"/>
  <c r="Q35" i="14" s="1"/>
  <c r="L35" i="14"/>
  <c r="H45" i="14"/>
  <c r="R6" i="28" s="1"/>
  <c r="AH35" i="16"/>
  <c r="P35" i="16"/>
  <c r="AF35" i="16"/>
  <c r="AG35" i="18"/>
  <c r="AC35" i="18"/>
  <c r="U35" i="18"/>
  <c r="Q35" i="18"/>
  <c r="M35" i="18"/>
  <c r="I35" i="18"/>
  <c r="E35" i="18"/>
  <c r="AI35" i="18"/>
  <c r="AD35" i="18"/>
  <c r="S35" i="18"/>
  <c r="N35" i="18"/>
  <c r="H35" i="18"/>
  <c r="AB35" i="18"/>
  <c r="W35" i="18"/>
  <c r="AF35" i="18"/>
  <c r="V35" i="18"/>
  <c r="P35" i="18"/>
  <c r="K35" i="18"/>
  <c r="F35" i="18"/>
  <c r="T35" i="18"/>
  <c r="J35" i="18"/>
  <c r="R35" i="18"/>
  <c r="G35" i="18"/>
  <c r="AE35" i="18"/>
  <c r="O35" i="18"/>
  <c r="M6" i="33"/>
  <c r="AA35" i="20"/>
  <c r="U35" i="20"/>
  <c r="P35" i="20"/>
  <c r="K35" i="20"/>
  <c r="AE35" i="20"/>
  <c r="Y35" i="20"/>
  <c r="AC35" i="20"/>
  <c r="S35" i="20"/>
  <c r="M35" i="20"/>
  <c r="H35" i="20"/>
  <c r="Q35" i="20"/>
  <c r="G35" i="20"/>
  <c r="O35" i="20"/>
  <c r="AB35" i="20"/>
  <c r="L35" i="20"/>
  <c r="I35" i="20"/>
  <c r="P13" i="33"/>
  <c r="C10" i="13"/>
  <c r="AD6" i="13"/>
  <c r="C16" i="13"/>
  <c r="R6" i="13"/>
  <c r="H18" i="33"/>
  <c r="F34" i="14"/>
  <c r="F4" i="14"/>
  <c r="F3" i="14" s="1"/>
  <c r="M35" i="14"/>
  <c r="U35" i="14"/>
  <c r="AC35" i="15"/>
  <c r="V35" i="16"/>
  <c r="L25" i="33"/>
  <c r="F4" i="18"/>
  <c r="F3" i="18" s="1"/>
  <c r="AF6" i="12"/>
  <c r="AF31" i="12" s="1"/>
  <c r="AH41" i="12"/>
  <c r="AE6" i="13"/>
  <c r="H4" i="33"/>
  <c r="G5" i="14"/>
  <c r="I25" i="33"/>
  <c r="H35" i="14"/>
  <c r="AF35" i="15"/>
  <c r="AB35" i="15"/>
  <c r="X35" i="15"/>
  <c r="T35" i="15"/>
  <c r="P35" i="15"/>
  <c r="L35" i="15"/>
  <c r="H35" i="15"/>
  <c r="AD35" i="15"/>
  <c r="Z35" i="15"/>
  <c r="V35" i="15"/>
  <c r="R35" i="15"/>
  <c r="N35" i="15"/>
  <c r="J35" i="15"/>
  <c r="F35" i="15"/>
  <c r="Y35" i="15"/>
  <c r="Q35" i="15"/>
  <c r="I35" i="15"/>
  <c r="AE35" i="15"/>
  <c r="W35" i="15"/>
  <c r="O35" i="15"/>
  <c r="G35" i="15"/>
  <c r="J4" i="33"/>
  <c r="J8" i="33"/>
  <c r="J12" i="33"/>
  <c r="C21" i="15"/>
  <c r="C2" i="15" s="1"/>
  <c r="D29" i="15" s="1"/>
  <c r="S35" i="15"/>
  <c r="H35" i="16"/>
  <c r="X35" i="16"/>
  <c r="L19" i="33"/>
  <c r="M13" i="33"/>
  <c r="L35" i="18"/>
  <c r="G33" i="13"/>
  <c r="K33" i="13"/>
  <c r="W33" i="13"/>
  <c r="E34" i="14"/>
  <c r="F35" i="14"/>
  <c r="J35" i="14"/>
  <c r="N35" i="14"/>
  <c r="J6" i="33"/>
  <c r="J10" i="33"/>
  <c r="J14" i="33"/>
  <c r="J35" i="16"/>
  <c r="R35" i="16"/>
  <c r="Z35" i="16"/>
  <c r="K6" i="17"/>
  <c r="V35" i="17" s="1"/>
  <c r="C10" i="17"/>
  <c r="L17" i="33"/>
  <c r="I35" i="17"/>
  <c r="T35" i="17"/>
  <c r="M8" i="33"/>
  <c r="M14" i="33"/>
  <c r="M17" i="33"/>
  <c r="E34" i="19"/>
  <c r="F5" i="19"/>
  <c r="E4" i="19"/>
  <c r="E3" i="19" s="1"/>
  <c r="J35" i="19"/>
  <c r="F35" i="19"/>
  <c r="H35" i="19"/>
  <c r="G35" i="19"/>
  <c r="E35" i="19"/>
  <c r="K35" i="19"/>
  <c r="Q3" i="33"/>
  <c r="Q9" i="33"/>
  <c r="H33" i="13"/>
  <c r="L33" i="13"/>
  <c r="P33" i="13"/>
  <c r="G35" i="14"/>
  <c r="K35" i="14"/>
  <c r="O35" i="14"/>
  <c r="AA35" i="14"/>
  <c r="AE35" i="14"/>
  <c r="J3" i="33"/>
  <c r="J7" i="33"/>
  <c r="J11" i="33"/>
  <c r="J15" i="33"/>
  <c r="F4" i="16"/>
  <c r="F3" i="16" s="1"/>
  <c r="F34" i="16"/>
  <c r="G5" i="16"/>
  <c r="AG35" i="16"/>
  <c r="AC35" i="16"/>
  <c r="Y35" i="16"/>
  <c r="U35" i="16"/>
  <c r="Q35" i="16"/>
  <c r="M35" i="16"/>
  <c r="I35" i="16"/>
  <c r="E35" i="16"/>
  <c r="AI35" i="16"/>
  <c r="AE35" i="16"/>
  <c r="AA35" i="16"/>
  <c r="W35" i="16"/>
  <c r="S35" i="16"/>
  <c r="O35" i="16"/>
  <c r="K35" i="16"/>
  <c r="G35" i="16"/>
  <c r="C26" i="16"/>
  <c r="L35" i="16"/>
  <c r="T35" i="16"/>
  <c r="AB35" i="16"/>
  <c r="L18" i="33"/>
  <c r="L21" i="33"/>
  <c r="M18" i="33"/>
  <c r="M21" i="33"/>
  <c r="I35" i="19"/>
  <c r="O14" i="33"/>
  <c r="J13" i="23"/>
  <c r="H13" i="23"/>
  <c r="R8" i="28"/>
  <c r="S8" i="28" s="1"/>
  <c r="AI49" i="16"/>
  <c r="F5" i="17"/>
  <c r="E34" i="17"/>
  <c r="S35" i="17"/>
  <c r="G35" i="17"/>
  <c r="X35" i="17"/>
  <c r="H35" i="17"/>
  <c r="U35" i="17"/>
  <c r="E35" i="17"/>
  <c r="L24" i="33"/>
  <c r="Y35" i="17"/>
  <c r="M3" i="33"/>
  <c r="M5" i="33"/>
  <c r="M22" i="33"/>
  <c r="M25" i="33"/>
  <c r="X6" i="19"/>
  <c r="C11" i="19"/>
  <c r="AA6" i="22"/>
  <c r="AB35" i="22" s="1"/>
  <c r="C21" i="22"/>
  <c r="C2" i="22" s="1"/>
  <c r="L2" i="23"/>
  <c r="Q32" i="23"/>
  <c r="AJ32" i="23"/>
  <c r="L32" i="23"/>
  <c r="AB32" i="23"/>
  <c r="V32" i="23"/>
  <c r="M16" i="33"/>
  <c r="M24" i="33"/>
  <c r="N4" i="33"/>
  <c r="C21" i="19"/>
  <c r="S11" i="28"/>
  <c r="O4" i="33"/>
  <c r="P6" i="21"/>
  <c r="Z35" i="21" s="1"/>
  <c r="W35" i="22"/>
  <c r="S35" i="22"/>
  <c r="O35" i="22"/>
  <c r="K35" i="22"/>
  <c r="G35" i="22"/>
  <c r="Z35" i="22"/>
  <c r="R35" i="22"/>
  <c r="J35" i="22"/>
  <c r="X35" i="22"/>
  <c r="P35" i="22"/>
  <c r="H35" i="22"/>
  <c r="V35" i="22"/>
  <c r="N35" i="22"/>
  <c r="F35" i="22"/>
  <c r="Q7" i="33"/>
  <c r="AA35" i="26"/>
  <c r="S35" i="26"/>
  <c r="N5" i="33"/>
  <c r="F5" i="20"/>
  <c r="E4" i="20"/>
  <c r="E3" i="20" s="1"/>
  <c r="O5" i="33"/>
  <c r="O9" i="33"/>
  <c r="AH6" i="20"/>
  <c r="C26" i="20"/>
  <c r="E34" i="20"/>
  <c r="P3" i="33"/>
  <c r="P8" i="33"/>
  <c r="Q5" i="33"/>
  <c r="Q13" i="33"/>
  <c r="J23" i="23"/>
  <c r="H23" i="23"/>
  <c r="L23" i="33"/>
  <c r="M4" i="33"/>
  <c r="M12" i="33"/>
  <c r="M20" i="33"/>
  <c r="O10" i="33"/>
  <c r="O13" i="33"/>
  <c r="O16" i="33"/>
  <c r="E4" i="21"/>
  <c r="E3" i="21" s="1"/>
  <c r="F5" i="21"/>
  <c r="C11" i="21"/>
  <c r="AG6" i="21"/>
  <c r="P16" i="33"/>
  <c r="L35" i="22"/>
  <c r="S14" i="28"/>
  <c r="J20" i="23"/>
  <c r="AM2" i="23"/>
  <c r="W2" i="23"/>
  <c r="O2" i="23"/>
  <c r="J22" i="23"/>
  <c r="J12" i="23"/>
  <c r="AK2" i="23"/>
  <c r="AC2" i="23"/>
  <c r="U2" i="23"/>
  <c r="M2" i="23"/>
  <c r="J17" i="23"/>
  <c r="J14" i="23"/>
  <c r="AI2" i="23"/>
  <c r="AA2" i="23"/>
  <c r="S2" i="23"/>
  <c r="K2" i="23"/>
  <c r="J7" i="23"/>
  <c r="H7" i="23"/>
  <c r="J10" i="23"/>
  <c r="H10" i="23"/>
  <c r="AE2" i="23"/>
  <c r="H18" i="23"/>
  <c r="J18" i="23"/>
  <c r="O12" i="33"/>
  <c r="N35" i="21"/>
  <c r="J35" i="21"/>
  <c r="F35" i="21"/>
  <c r="P11" i="33"/>
  <c r="H35" i="21"/>
  <c r="M35" i="21"/>
  <c r="F4" i="22"/>
  <c r="F3" i="22" s="1"/>
  <c r="Q11" i="33"/>
  <c r="N2" i="23"/>
  <c r="AF2" i="23"/>
  <c r="AJ2" i="23"/>
  <c r="AN2" i="23"/>
  <c r="H9" i="23"/>
  <c r="J9" i="23"/>
  <c r="I11" i="23"/>
  <c r="I2" i="23" s="1"/>
  <c r="I4" i="23" s="1"/>
  <c r="I5" i="23" s="1"/>
  <c r="H21" i="23"/>
  <c r="J21" i="23"/>
  <c r="H26" i="26"/>
  <c r="P9" i="33"/>
  <c r="I35" i="21"/>
  <c r="O35" i="21"/>
  <c r="Q8" i="33"/>
  <c r="T2" i="23"/>
  <c r="X2" i="23"/>
  <c r="AB2" i="23"/>
  <c r="C8" i="23"/>
  <c r="G15" i="23"/>
  <c r="H15" i="23" s="1"/>
  <c r="J19" i="23"/>
  <c r="H19" i="23"/>
  <c r="J24" i="23"/>
  <c r="H28" i="23"/>
  <c r="J28" i="23"/>
  <c r="C4" i="24"/>
  <c r="AK2" i="24" s="1"/>
  <c r="S9" i="28"/>
  <c r="L6" i="19"/>
  <c r="P6" i="19"/>
  <c r="C8" i="20"/>
  <c r="O8" i="33"/>
  <c r="S12" i="28"/>
  <c r="P15" i="33"/>
  <c r="E35" i="21"/>
  <c r="K35" i="21"/>
  <c r="G5" i="22"/>
  <c r="Q15" i="33"/>
  <c r="M5" i="23"/>
  <c r="L4" i="23"/>
  <c r="L3" i="23" s="1"/>
  <c r="P2" i="23"/>
  <c r="AH2" i="23"/>
  <c r="H8" i="23"/>
  <c r="J8" i="23"/>
  <c r="J15" i="23"/>
  <c r="J13" i="24"/>
  <c r="H13" i="24"/>
  <c r="H26" i="24"/>
  <c r="AM32" i="23"/>
  <c r="AI32" i="23"/>
  <c r="AE32" i="23"/>
  <c r="AA32" i="23"/>
  <c r="W32" i="23"/>
  <c r="S32" i="23"/>
  <c r="O32" i="23"/>
  <c r="K32" i="23"/>
  <c r="AO32" i="23"/>
  <c r="AK32" i="23"/>
  <c r="AG32" i="23"/>
  <c r="AC32" i="23"/>
  <c r="M32" i="23"/>
  <c r="R32" i="23"/>
  <c r="X32" i="23"/>
  <c r="AD32" i="23"/>
  <c r="AL32" i="23"/>
  <c r="H9" i="24"/>
  <c r="H11" i="24"/>
  <c r="H12" i="24"/>
  <c r="H19" i="24"/>
  <c r="H22" i="24"/>
  <c r="N32" i="23"/>
  <c r="T32" i="23"/>
  <c r="Y32" i="23"/>
  <c r="AF32" i="23"/>
  <c r="AN32" i="23"/>
  <c r="J8" i="24"/>
  <c r="I2" i="24"/>
  <c r="I4" i="24" s="1"/>
  <c r="I5" i="24" s="1"/>
  <c r="H8" i="24"/>
  <c r="H17" i="24"/>
  <c r="J17" i="24"/>
  <c r="G33" i="30"/>
  <c r="H5" i="30"/>
  <c r="G4" i="30"/>
  <c r="G3" i="30" s="1"/>
  <c r="F35" i="20"/>
  <c r="J35" i="20"/>
  <c r="N35" i="20"/>
  <c r="R35" i="20"/>
  <c r="V35" i="20"/>
  <c r="Z35" i="20"/>
  <c r="AD35" i="20"/>
  <c r="E35" i="22"/>
  <c r="I35" i="22"/>
  <c r="M35" i="22"/>
  <c r="Q35" i="22"/>
  <c r="U35" i="22"/>
  <c r="Y35" i="22"/>
  <c r="P32" i="23"/>
  <c r="U32" i="23"/>
  <c r="Z32" i="23"/>
  <c r="AH32" i="23"/>
  <c r="M5" i="24"/>
  <c r="L4" i="24"/>
  <c r="L3" i="24" s="1"/>
  <c r="H15" i="24"/>
  <c r="H30" i="24"/>
  <c r="H15" i="26"/>
  <c r="H10" i="26"/>
  <c r="H13" i="26"/>
  <c r="H21" i="26"/>
  <c r="M35" i="26"/>
  <c r="U35" i="26"/>
  <c r="H2" i="30"/>
  <c r="P2" i="30"/>
  <c r="X2" i="30"/>
  <c r="AF2" i="30"/>
  <c r="D10" i="30"/>
  <c r="D13" i="30"/>
  <c r="D18" i="30"/>
  <c r="S34" i="30"/>
  <c r="H19" i="26"/>
  <c r="H24" i="26"/>
  <c r="O35" i="26"/>
  <c r="W35" i="26"/>
  <c r="G34" i="30"/>
  <c r="W34" i="30"/>
  <c r="H17" i="26"/>
  <c r="H30" i="26"/>
  <c r="C4" i="26"/>
  <c r="Z2" i="26" s="1"/>
  <c r="Q35" i="26"/>
  <c r="Y35" i="26"/>
  <c r="S7" i="28"/>
  <c r="D31" i="30"/>
  <c r="D29" i="30"/>
  <c r="D27" i="30"/>
  <c r="D25" i="30"/>
  <c r="D23" i="30"/>
  <c r="D21" i="30"/>
  <c r="D19" i="30"/>
  <c r="D17" i="30"/>
  <c r="C4" i="30"/>
  <c r="C5" i="30" s="1"/>
  <c r="AG2" i="30"/>
  <c r="AC2" i="30"/>
  <c r="Y2" i="30"/>
  <c r="U2" i="30"/>
  <c r="Q2" i="30"/>
  <c r="M2" i="30"/>
  <c r="I2" i="30"/>
  <c r="E2" i="30"/>
  <c r="L2" i="30"/>
  <c r="T2" i="30"/>
  <c r="AB2" i="30"/>
  <c r="F4" i="30"/>
  <c r="F3" i="30" s="1"/>
  <c r="F33" i="30"/>
  <c r="D9" i="30"/>
  <c r="D14" i="30"/>
  <c r="D22" i="30"/>
  <c r="D30" i="30"/>
  <c r="K34" i="30"/>
  <c r="AA34" i="30"/>
  <c r="N35" i="26"/>
  <c r="R35" i="26"/>
  <c r="V35" i="26"/>
  <c r="Z35" i="26"/>
  <c r="E33" i="30"/>
  <c r="H34" i="30"/>
  <c r="L34" i="30"/>
  <c r="P34" i="30"/>
  <c r="T34" i="30"/>
  <c r="X34" i="30"/>
  <c r="AC34" i="30"/>
  <c r="AF34" i="30"/>
  <c r="AB34" i="30"/>
  <c r="E34" i="30"/>
  <c r="I34" i="30"/>
  <c r="M34" i="30"/>
  <c r="Q34" i="30"/>
  <c r="U34" i="30"/>
  <c r="Y34" i="30"/>
  <c r="AD34" i="30"/>
  <c r="L35" i="26"/>
  <c r="P35" i="26"/>
  <c r="T35" i="26"/>
  <c r="X35" i="26"/>
  <c r="AB35" i="26"/>
  <c r="F34" i="30"/>
  <c r="J34" i="30"/>
  <c r="N34" i="30"/>
  <c r="R34" i="30"/>
  <c r="V34" i="30"/>
  <c r="Z34" i="30"/>
  <c r="AE34" i="30"/>
  <c r="AF2" i="22" l="1"/>
  <c r="D29" i="22"/>
  <c r="C2" i="18"/>
  <c r="AJ5" i="38"/>
  <c r="AI4" i="38"/>
  <c r="AI3" i="38" s="1"/>
  <c r="Y4" i="37"/>
  <c r="Y3" i="37" s="1"/>
  <c r="AS9" i="37"/>
  <c r="Z5" i="37"/>
  <c r="AJ35" i="7"/>
  <c r="S35" i="14"/>
  <c r="AD35" i="14"/>
  <c r="P35" i="14"/>
  <c r="O22" i="6"/>
  <c r="R35" i="14"/>
  <c r="P22" i="6"/>
  <c r="R22" i="6"/>
  <c r="Y35" i="21"/>
  <c r="AC35" i="21"/>
  <c r="AA35" i="21"/>
  <c r="X35" i="21"/>
  <c r="R35" i="21"/>
  <c r="U20" i="33"/>
  <c r="Z35" i="14"/>
  <c r="X35" i="14"/>
  <c r="X35" i="20"/>
  <c r="AF35" i="20"/>
  <c r="AH35" i="18"/>
  <c r="Y31" i="12"/>
  <c r="I29" i="8"/>
  <c r="U29" i="7"/>
  <c r="E22" i="6"/>
  <c r="J22" i="6"/>
  <c r="W22" i="6"/>
  <c r="AB22" i="6"/>
  <c r="P35" i="21"/>
  <c r="S35" i="21"/>
  <c r="V35" i="21"/>
  <c r="AE35" i="21"/>
  <c r="AA22" i="6"/>
  <c r="AF22" i="6"/>
  <c r="D15" i="30"/>
  <c r="AD35" i="21"/>
  <c r="Q22" i="6"/>
  <c r="V22" i="6"/>
  <c r="AE22" i="6"/>
  <c r="AE2" i="30"/>
  <c r="V29" i="7"/>
  <c r="U22" i="6"/>
  <c r="Z22" i="6"/>
  <c r="K2" i="30"/>
  <c r="N2" i="30"/>
  <c r="T35" i="22"/>
  <c r="J15" i="24"/>
  <c r="AA35" i="18"/>
  <c r="X35" i="18"/>
  <c r="Y35" i="18"/>
  <c r="Y22" i="6"/>
  <c r="AD22" i="6"/>
  <c r="H22" i="6"/>
  <c r="AB35" i="21"/>
  <c r="Q35" i="21"/>
  <c r="AC22" i="6"/>
  <c r="G22" i="6"/>
  <c r="L22" i="6"/>
  <c r="AI35" i="14"/>
  <c r="T35" i="14"/>
  <c r="W2" i="30"/>
  <c r="J12" i="31"/>
  <c r="J15" i="31" s="1"/>
  <c r="F2" i="30"/>
  <c r="D12" i="30"/>
  <c r="AF35" i="21"/>
  <c r="AH35" i="21"/>
  <c r="AH35" i="14"/>
  <c r="AG30" i="9"/>
  <c r="S2" i="30"/>
  <c r="L35" i="17"/>
  <c r="AE29" i="10"/>
  <c r="D32" i="30"/>
  <c r="U34" i="24"/>
  <c r="W34" i="24"/>
  <c r="R34" i="24"/>
  <c r="AB34" i="24"/>
  <c r="AC34" i="24"/>
  <c r="AA34" i="24"/>
  <c r="AF34" i="24"/>
  <c r="AK34" i="24"/>
  <c r="AE34" i="24"/>
  <c r="AH34" i="24"/>
  <c r="AJ34" i="24"/>
  <c r="N34" i="24"/>
  <c r="AI34" i="24"/>
  <c r="AL34" i="24"/>
  <c r="AN34" i="24"/>
  <c r="Z34" i="24"/>
  <c r="V34" i="24"/>
  <c r="AM34" i="24"/>
  <c r="L34" i="24"/>
  <c r="T34" i="24"/>
  <c r="AG34" i="24"/>
  <c r="AD34" i="24"/>
  <c r="Q34" i="24"/>
  <c r="P34" i="24"/>
  <c r="M34" i="24"/>
  <c r="O34" i="24"/>
  <c r="Y34" i="24"/>
  <c r="S34" i="24"/>
  <c r="X34" i="24"/>
  <c r="M22" i="6"/>
  <c r="N22" i="6"/>
  <c r="S22" i="6"/>
  <c r="O2" i="30"/>
  <c r="D26" i="30"/>
  <c r="AC35" i="22"/>
  <c r="U35" i="21"/>
  <c r="T35" i="21"/>
  <c r="AI35" i="21"/>
  <c r="AF35" i="14"/>
  <c r="AA35" i="22"/>
  <c r="G2" i="30"/>
  <c r="D16" i="30"/>
  <c r="J2" i="30"/>
  <c r="W35" i="14"/>
  <c r="B32" i="6"/>
  <c r="B20" i="6" s="1"/>
  <c r="AA2" i="30"/>
  <c r="AD2" i="30"/>
  <c r="J12" i="24"/>
  <c r="J9" i="24"/>
  <c r="J32" i="26"/>
  <c r="AH2" i="22"/>
  <c r="AF35" i="17"/>
  <c r="AH35" i="17"/>
  <c r="AA35" i="17"/>
  <c r="F34" i="18"/>
  <c r="AD29" i="10"/>
  <c r="G29" i="10"/>
  <c r="Q29" i="10"/>
  <c r="AF29" i="7"/>
  <c r="AI29" i="7"/>
  <c r="AH29" i="7"/>
  <c r="AG29" i="7"/>
  <c r="AC29" i="10"/>
  <c r="D28" i="30"/>
  <c r="R2" i="22"/>
  <c r="C2" i="19"/>
  <c r="Z2" i="19" s="1"/>
  <c r="D26" i="18"/>
  <c r="AH29" i="10"/>
  <c r="AD33" i="13"/>
  <c r="AF29" i="10"/>
  <c r="F29" i="10"/>
  <c r="O29" i="10"/>
  <c r="AG29" i="10"/>
  <c r="AB29" i="7"/>
  <c r="AE29" i="7"/>
  <c r="AD29" i="7"/>
  <c r="AC29" i="7"/>
  <c r="AJ29" i="7"/>
  <c r="R2" i="30"/>
  <c r="D24" i="30"/>
  <c r="AH2" i="30"/>
  <c r="AG2" i="24"/>
  <c r="J35" i="17"/>
  <c r="M35" i="17"/>
  <c r="K35" i="17"/>
  <c r="R29" i="10"/>
  <c r="L29" i="10"/>
  <c r="X29" i="7"/>
  <c r="AA29" i="7"/>
  <c r="Z29" i="7"/>
  <c r="D11" i="30"/>
  <c r="Z2" i="30"/>
  <c r="V2" i="30"/>
  <c r="D9" i="15"/>
  <c r="D17" i="15"/>
  <c r="D15" i="15"/>
  <c r="D12" i="15"/>
  <c r="D20" i="15"/>
  <c r="D8" i="15"/>
  <c r="D16" i="15"/>
  <c r="K2" i="24"/>
  <c r="J24" i="24"/>
  <c r="J19" i="24"/>
  <c r="J11" i="24"/>
  <c r="J26" i="24"/>
  <c r="D20" i="22"/>
  <c r="AD2" i="22"/>
  <c r="N2" i="22"/>
  <c r="U23" i="33"/>
  <c r="Q2" i="24"/>
  <c r="D18" i="22"/>
  <c r="P2" i="22"/>
  <c r="AG2" i="18"/>
  <c r="Z35" i="17"/>
  <c r="R35" i="17"/>
  <c r="W35" i="17"/>
  <c r="K2" i="18"/>
  <c r="AB33" i="13"/>
  <c r="AD35" i="17"/>
  <c r="V35" i="14"/>
  <c r="O33" i="13"/>
  <c r="T8" i="33"/>
  <c r="X17" i="33" s="1"/>
  <c r="AC33" i="13"/>
  <c r="AC35" i="14"/>
  <c r="W35" i="20"/>
  <c r="AG35" i="20"/>
  <c r="Z29" i="10"/>
  <c r="X29" i="10"/>
  <c r="V29" i="10"/>
  <c r="S29" i="10"/>
  <c r="U29" i="10"/>
  <c r="Q29" i="8"/>
  <c r="S29" i="8"/>
  <c r="U29" i="8"/>
  <c r="AF29" i="8"/>
  <c r="AD29" i="8"/>
  <c r="G5" i="10"/>
  <c r="F4" i="10"/>
  <c r="F3" i="10" s="1"/>
  <c r="F28" i="10"/>
  <c r="D13" i="22"/>
  <c r="Z2" i="22"/>
  <c r="J2" i="22"/>
  <c r="L2" i="22"/>
  <c r="D12" i="22"/>
  <c r="AA2" i="22"/>
  <c r="X33" i="13"/>
  <c r="U25" i="33"/>
  <c r="M33" i="13"/>
  <c r="U18" i="33"/>
  <c r="N33" i="13"/>
  <c r="P29" i="10"/>
  <c r="N29" i="10"/>
  <c r="AB29" i="10"/>
  <c r="W29" i="10"/>
  <c r="I29" i="10"/>
  <c r="Y29" i="10"/>
  <c r="W29" i="8"/>
  <c r="Y29" i="8"/>
  <c r="AA29" i="8"/>
  <c r="AC29" i="8"/>
  <c r="T29" i="8"/>
  <c r="AJ29" i="8"/>
  <c r="R29" i="8"/>
  <c r="AH29" i="8"/>
  <c r="M4" i="26"/>
  <c r="M3" i="26" s="1"/>
  <c r="N5" i="26"/>
  <c r="J30" i="24"/>
  <c r="J22" i="24"/>
  <c r="D17" i="22"/>
  <c r="S2" i="24"/>
  <c r="V2" i="22"/>
  <c r="AG35" i="22"/>
  <c r="D16" i="22"/>
  <c r="D10" i="22"/>
  <c r="G2" i="22"/>
  <c r="T2" i="22"/>
  <c r="N35" i="17"/>
  <c r="P35" i="17"/>
  <c r="AC35" i="17"/>
  <c r="O35" i="17"/>
  <c r="AE35" i="17"/>
  <c r="U15" i="33"/>
  <c r="T33" i="13"/>
  <c r="D22" i="18"/>
  <c r="AA33" i="13"/>
  <c r="AB35" i="14"/>
  <c r="J29" i="10"/>
  <c r="H29" i="10"/>
  <c r="T29" i="10"/>
  <c r="K29" i="10"/>
  <c r="AA29" i="10"/>
  <c r="M29" i="10"/>
  <c r="AE29" i="8"/>
  <c r="AG29" i="8"/>
  <c r="AI29" i="8"/>
  <c r="X29" i="8"/>
  <c r="Q30" i="8"/>
  <c r="Q37" i="8" s="1"/>
  <c r="R30" i="8" s="1"/>
  <c r="R37" i="8" s="1"/>
  <c r="S30" i="8" s="1"/>
  <c r="S37" i="8" s="1"/>
  <c r="T30" i="8" s="1"/>
  <c r="T37" i="8" s="1"/>
  <c r="U30" i="8" s="1"/>
  <c r="U37" i="8" s="1"/>
  <c r="V30" i="8" s="1"/>
  <c r="V37" i="8" s="1"/>
  <c r="W30" i="8" s="1"/>
  <c r="W37" i="8" s="1"/>
  <c r="X30" i="8" s="1"/>
  <c r="X37" i="8" s="1"/>
  <c r="Y30" i="8" s="1"/>
  <c r="Y37" i="8" s="1"/>
  <c r="Z30" i="8" s="1"/>
  <c r="Z37" i="8" s="1"/>
  <c r="AA30" i="8" s="1"/>
  <c r="AA37" i="8" s="1"/>
  <c r="AB30" i="8" s="1"/>
  <c r="AB37" i="8" s="1"/>
  <c r="AC30" i="8" s="1"/>
  <c r="AC37" i="8" s="1"/>
  <c r="AD30" i="8" s="1"/>
  <c r="AD37" i="8" s="1"/>
  <c r="AE30" i="8" s="1"/>
  <c r="AE37" i="8" s="1"/>
  <c r="AF30" i="8" s="1"/>
  <c r="AF37" i="8" s="1"/>
  <c r="AG30" i="8" s="1"/>
  <c r="AG37" i="8" s="1"/>
  <c r="AH30" i="8" s="1"/>
  <c r="AH37" i="8" s="1"/>
  <c r="AI30" i="8" s="1"/>
  <c r="AI37" i="8" s="1"/>
  <c r="AJ30" i="8" s="1"/>
  <c r="AJ37" i="8" s="1"/>
  <c r="Y2" i="10"/>
  <c r="Q2" i="10"/>
  <c r="I2" i="10"/>
  <c r="D8" i="10"/>
  <c r="AE2" i="10"/>
  <c r="W2" i="10"/>
  <c r="O2" i="10"/>
  <c r="G2" i="10"/>
  <c r="D16" i="10"/>
  <c r="AC2" i="10"/>
  <c r="U2" i="10"/>
  <c r="M2" i="10"/>
  <c r="E2" i="10"/>
  <c r="D11" i="10"/>
  <c r="AA2" i="10"/>
  <c r="S2" i="10"/>
  <c r="K2" i="10"/>
  <c r="D24" i="10"/>
  <c r="D13" i="10"/>
  <c r="L2" i="10"/>
  <c r="AB2" i="10"/>
  <c r="D21" i="10"/>
  <c r="D10" i="10"/>
  <c r="D14" i="10"/>
  <c r="V2" i="10"/>
  <c r="D9" i="10"/>
  <c r="C4" i="10"/>
  <c r="C5" i="10" s="1"/>
  <c r="P2" i="10"/>
  <c r="AF2" i="10"/>
  <c r="H2" i="10"/>
  <c r="D22" i="10"/>
  <c r="Z2" i="10"/>
  <c r="D15" i="10"/>
  <c r="D19" i="10"/>
  <c r="D25" i="10"/>
  <c r="F2" i="10"/>
  <c r="D26" i="10"/>
  <c r="AG2" i="10"/>
  <c r="T2" i="10"/>
  <c r="AH2" i="10"/>
  <c r="D12" i="10"/>
  <c r="N2" i="10"/>
  <c r="AD2" i="10"/>
  <c r="J2" i="10"/>
  <c r="X2" i="10"/>
  <c r="R2" i="10"/>
  <c r="D7" i="10"/>
  <c r="D17" i="10"/>
  <c r="D23" i="10"/>
  <c r="D20" i="10"/>
  <c r="AG2" i="14"/>
  <c r="AC2" i="14"/>
  <c r="Y2" i="14"/>
  <c r="U2" i="14"/>
  <c r="M2" i="14"/>
  <c r="I2" i="14"/>
  <c r="E2" i="14"/>
  <c r="D27" i="14"/>
  <c r="AF2" i="14"/>
  <c r="X2" i="14"/>
  <c r="H2" i="14"/>
  <c r="D30" i="14"/>
  <c r="D17" i="14"/>
  <c r="D9" i="14"/>
  <c r="AE2" i="14"/>
  <c r="W2" i="14"/>
  <c r="O2" i="14"/>
  <c r="G2" i="14"/>
  <c r="D32" i="14"/>
  <c r="AB2" i="14"/>
  <c r="T2" i="14"/>
  <c r="L2" i="14"/>
  <c r="D26" i="14"/>
  <c r="D21" i="14"/>
  <c r="D13" i="14"/>
  <c r="C4" i="14"/>
  <c r="C5" i="14" s="1"/>
  <c r="AI2" i="14"/>
  <c r="AA2" i="14"/>
  <c r="S2" i="14"/>
  <c r="K2" i="14"/>
  <c r="F2" i="14"/>
  <c r="D28" i="14"/>
  <c r="D11" i="14"/>
  <c r="D24" i="14"/>
  <c r="R2" i="14"/>
  <c r="AH2" i="14"/>
  <c r="D10" i="14"/>
  <c r="D18" i="14"/>
  <c r="J2" i="14"/>
  <c r="D19" i="14"/>
  <c r="V2" i="14"/>
  <c r="Q2" i="14"/>
  <c r="D15" i="14"/>
  <c r="D12" i="14"/>
  <c r="D20" i="14"/>
  <c r="N2" i="14"/>
  <c r="Z2" i="14"/>
  <c r="D14" i="14"/>
  <c r="D23" i="14"/>
  <c r="AD2" i="14"/>
  <c r="D31" i="14"/>
  <c r="D8" i="14"/>
  <c r="D16" i="14"/>
  <c r="D25" i="14"/>
  <c r="M4" i="24"/>
  <c r="M3" i="24" s="1"/>
  <c r="N5" i="24"/>
  <c r="Q35" i="19"/>
  <c r="Y35" i="19"/>
  <c r="D20" i="19"/>
  <c r="T2" i="19"/>
  <c r="AD2" i="19"/>
  <c r="N2" i="19"/>
  <c r="H2" i="19"/>
  <c r="D19" i="19"/>
  <c r="D17" i="19"/>
  <c r="R2" i="19"/>
  <c r="D31" i="19"/>
  <c r="D22" i="19"/>
  <c r="V2" i="19"/>
  <c r="D24" i="19"/>
  <c r="AF2" i="19"/>
  <c r="K2" i="19"/>
  <c r="AA2" i="19"/>
  <c r="F2" i="19"/>
  <c r="O21" i="33"/>
  <c r="AH2" i="26"/>
  <c r="R2" i="26"/>
  <c r="N2" i="26"/>
  <c r="D14" i="19"/>
  <c r="M27" i="33"/>
  <c r="F4" i="17"/>
  <c r="F3" i="17" s="1"/>
  <c r="G5" i="17"/>
  <c r="F34" i="17"/>
  <c r="S35" i="19"/>
  <c r="U35" i="19"/>
  <c r="W35" i="19"/>
  <c r="P35" i="19"/>
  <c r="AF35" i="19"/>
  <c r="N35" i="19"/>
  <c r="AD35" i="19"/>
  <c r="C4" i="15"/>
  <c r="C5" i="15" s="1"/>
  <c r="D31" i="15"/>
  <c r="D28" i="15"/>
  <c r="D26" i="15"/>
  <c r="D24" i="15"/>
  <c r="D22" i="15"/>
  <c r="AF2" i="15"/>
  <c r="X2" i="15"/>
  <c r="T2" i="15"/>
  <c r="P2" i="15"/>
  <c r="L2" i="15"/>
  <c r="H2" i="15"/>
  <c r="AA2" i="15"/>
  <c r="W2" i="15"/>
  <c r="S2" i="15"/>
  <c r="O2" i="15"/>
  <c r="K2" i="15"/>
  <c r="G2" i="15"/>
  <c r="D32" i="15"/>
  <c r="D23" i="15"/>
  <c r="AC2" i="15"/>
  <c r="U2" i="15"/>
  <c r="M2" i="15"/>
  <c r="E2" i="15"/>
  <c r="D25" i="15"/>
  <c r="Z2" i="15"/>
  <c r="R2" i="15"/>
  <c r="J2" i="15"/>
  <c r="D27" i="15"/>
  <c r="Y2" i="15"/>
  <c r="Q2" i="15"/>
  <c r="I2" i="15"/>
  <c r="D30" i="15"/>
  <c r="AD2" i="15"/>
  <c r="V2" i="15"/>
  <c r="N2" i="15"/>
  <c r="F2" i="15"/>
  <c r="G4" i="14"/>
  <c r="G3" i="14" s="1"/>
  <c r="G34" i="14"/>
  <c r="H5" i="14"/>
  <c r="T23" i="33"/>
  <c r="X23" i="33" s="1"/>
  <c r="T15" i="33"/>
  <c r="X7" i="33" s="1"/>
  <c r="H6" i="33"/>
  <c r="E2" i="18"/>
  <c r="P2" i="14"/>
  <c r="T25" i="33"/>
  <c r="X14" i="33" s="1"/>
  <c r="T18" i="33"/>
  <c r="X19" i="33" s="1"/>
  <c r="U8" i="33"/>
  <c r="AB2" i="15"/>
  <c r="Y35" i="14"/>
  <c r="G4" i="11"/>
  <c r="G3" i="11" s="1"/>
  <c r="G29" i="11"/>
  <c r="H5" i="11"/>
  <c r="AK13" i="10"/>
  <c r="AK16" i="10" s="1"/>
  <c r="D10" i="33"/>
  <c r="H9" i="33"/>
  <c r="G29" i="9"/>
  <c r="H5" i="9"/>
  <c r="G4" i="9"/>
  <c r="G3" i="9" s="1"/>
  <c r="T24" i="33"/>
  <c r="X3" i="33" s="1"/>
  <c r="U24" i="33"/>
  <c r="T11" i="33"/>
  <c r="X18" i="33" s="1"/>
  <c r="U11" i="33"/>
  <c r="G3" i="3"/>
  <c r="G2" i="3" s="1"/>
  <c r="H4" i="3"/>
  <c r="J21" i="26"/>
  <c r="AF2" i="26"/>
  <c r="AG2" i="19"/>
  <c r="G5" i="20"/>
  <c r="F34" i="20"/>
  <c r="F4" i="20"/>
  <c r="F3" i="20" s="1"/>
  <c r="U2" i="19"/>
  <c r="AD2" i="26"/>
  <c r="D9" i="19"/>
  <c r="N6" i="33"/>
  <c r="D11" i="19"/>
  <c r="C4" i="22"/>
  <c r="C5" i="22" s="1"/>
  <c r="AG2" i="22"/>
  <c r="W2" i="22"/>
  <c r="Q2" i="22"/>
  <c r="D31" i="22"/>
  <c r="D28" i="22"/>
  <c r="D26" i="22"/>
  <c r="D24" i="22"/>
  <c r="D22" i="22"/>
  <c r="D19" i="22"/>
  <c r="D11" i="22"/>
  <c r="D9" i="22"/>
  <c r="U2" i="22"/>
  <c r="K2" i="22"/>
  <c r="E2" i="22"/>
  <c r="AE2" i="22"/>
  <c r="Y2" i="22"/>
  <c r="O2" i="22"/>
  <c r="I2" i="22"/>
  <c r="D32" i="22"/>
  <c r="D23" i="22"/>
  <c r="D15" i="22"/>
  <c r="M2" i="22"/>
  <c r="D25" i="22"/>
  <c r="AC2" i="22"/>
  <c r="H2" i="22"/>
  <c r="D27" i="22"/>
  <c r="X2" i="22"/>
  <c r="S2" i="22"/>
  <c r="D30" i="22"/>
  <c r="AB2" i="22"/>
  <c r="S2" i="19"/>
  <c r="AA35" i="19"/>
  <c r="AC35" i="19"/>
  <c r="AE35" i="19"/>
  <c r="T35" i="19"/>
  <c r="E2" i="19"/>
  <c r="R35" i="19"/>
  <c r="AH35" i="19"/>
  <c r="L5" i="33"/>
  <c r="L27" i="33" s="1"/>
  <c r="C2" i="17"/>
  <c r="AI35" i="20"/>
  <c r="I17" i="33"/>
  <c r="D22" i="14"/>
  <c r="AF33" i="13"/>
  <c r="D18" i="15"/>
  <c r="D10" i="15"/>
  <c r="R33" i="13"/>
  <c r="G5" i="13"/>
  <c r="F32" i="13"/>
  <c r="F4" i="13"/>
  <c r="F3" i="13" s="1"/>
  <c r="C2" i="13"/>
  <c r="M2" i="13" s="1"/>
  <c r="AF32" i="12"/>
  <c r="AF40" i="12" s="1"/>
  <c r="AG32" i="12" s="1"/>
  <c r="AG40" i="12" s="1"/>
  <c r="AH32" i="12" s="1"/>
  <c r="U19" i="33"/>
  <c r="T19" i="33"/>
  <c r="X12" i="33" s="1"/>
  <c r="G3" i="33"/>
  <c r="G27" i="33" s="1"/>
  <c r="C2" i="12"/>
  <c r="AF2" i="12" s="1"/>
  <c r="F9" i="33"/>
  <c r="F27" i="33" s="1"/>
  <c r="C2" i="11"/>
  <c r="T14" i="33"/>
  <c r="X6" i="33" s="1"/>
  <c r="U14" i="33"/>
  <c r="J19" i="26"/>
  <c r="J10" i="26"/>
  <c r="D7" i="30"/>
  <c r="J28" i="26"/>
  <c r="J15" i="26"/>
  <c r="I5" i="30"/>
  <c r="H4" i="30"/>
  <c r="H3" i="30" s="1"/>
  <c r="H33" i="30"/>
  <c r="X2" i="26"/>
  <c r="M4" i="23"/>
  <c r="M3" i="23" s="1"/>
  <c r="N5" i="23"/>
  <c r="G34" i="22"/>
  <c r="G4" i="22"/>
  <c r="G3" i="22" s="1"/>
  <c r="H5" i="22"/>
  <c r="AH35" i="20"/>
  <c r="AL2" i="24"/>
  <c r="AH2" i="24"/>
  <c r="AD2" i="24"/>
  <c r="Z2" i="24"/>
  <c r="V2" i="24"/>
  <c r="R2" i="24"/>
  <c r="N2" i="24"/>
  <c r="AN2" i="24"/>
  <c r="AJ2" i="24"/>
  <c r="AF2" i="24"/>
  <c r="AB2" i="24"/>
  <c r="X2" i="24"/>
  <c r="T2" i="24"/>
  <c r="P2" i="24"/>
  <c r="L2" i="24"/>
  <c r="J23" i="24"/>
  <c r="J21" i="24"/>
  <c r="J18" i="24"/>
  <c r="J31" i="24"/>
  <c r="J25" i="24"/>
  <c r="J10" i="24"/>
  <c r="J29" i="24"/>
  <c r="J20" i="24"/>
  <c r="J14" i="24"/>
  <c r="AM2" i="24"/>
  <c r="AE2" i="24"/>
  <c r="W2" i="24"/>
  <c r="O2" i="24"/>
  <c r="J27" i="24"/>
  <c r="J16" i="24"/>
  <c r="J7" i="24"/>
  <c r="AC2" i="24"/>
  <c r="AI2" i="24"/>
  <c r="P6" i="33"/>
  <c r="P27" i="33" s="1"/>
  <c r="AC2" i="19"/>
  <c r="Y2" i="24"/>
  <c r="M2" i="24"/>
  <c r="D10" i="19"/>
  <c r="Q2" i="19"/>
  <c r="AE35" i="22"/>
  <c r="W35" i="21"/>
  <c r="AG35" i="21"/>
  <c r="X2" i="19"/>
  <c r="AB2" i="18"/>
  <c r="F2" i="18"/>
  <c r="AD2" i="18"/>
  <c r="N2" i="18"/>
  <c r="D20" i="18"/>
  <c r="U2" i="18"/>
  <c r="D16" i="18"/>
  <c r="D14" i="18"/>
  <c r="R2" i="18"/>
  <c r="H2" i="18"/>
  <c r="D28" i="18"/>
  <c r="P2" i="18"/>
  <c r="AH2" i="18"/>
  <c r="X2" i="18"/>
  <c r="Y2" i="18"/>
  <c r="AE2" i="19"/>
  <c r="D23" i="18"/>
  <c r="G34" i="16"/>
  <c r="G4" i="16"/>
  <c r="G3" i="16" s="1"/>
  <c r="H5" i="16"/>
  <c r="D8" i="22"/>
  <c r="AG35" i="19"/>
  <c r="I2" i="19"/>
  <c r="X35" i="19"/>
  <c r="V35" i="19"/>
  <c r="AA2" i="18"/>
  <c r="K2" i="17"/>
  <c r="AB35" i="17"/>
  <c r="Q35" i="17"/>
  <c r="D19" i="15"/>
  <c r="D11" i="15"/>
  <c r="AI33" i="13"/>
  <c r="S33" i="13"/>
  <c r="D13" i="15"/>
  <c r="U33" i="13"/>
  <c r="R4" i="28"/>
  <c r="AH44" i="12"/>
  <c r="D34" i="13" s="1"/>
  <c r="D42" i="13" s="1"/>
  <c r="E34" i="13" s="1"/>
  <c r="E42" i="13" s="1"/>
  <c r="F34" i="13" s="1"/>
  <c r="F42" i="13" s="1"/>
  <c r="G34" i="13" s="1"/>
  <c r="G42" i="13" s="1"/>
  <c r="H34" i="13" s="1"/>
  <c r="H42" i="13" s="1"/>
  <c r="I34" i="13" s="1"/>
  <c r="I42" i="13" s="1"/>
  <c r="J34" i="13" s="1"/>
  <c r="J42" i="13" s="1"/>
  <c r="K34" i="13" s="1"/>
  <c r="K42" i="13" s="1"/>
  <c r="L34" i="13" s="1"/>
  <c r="L42" i="13" s="1"/>
  <c r="M34" i="13" s="1"/>
  <c r="M42" i="13" s="1"/>
  <c r="N34" i="13" s="1"/>
  <c r="N42" i="13" s="1"/>
  <c r="O34" i="13" s="1"/>
  <c r="O42" i="13" s="1"/>
  <c r="P34" i="13" s="1"/>
  <c r="P42" i="13" s="1"/>
  <c r="Q34" i="13" s="1"/>
  <c r="Q42" i="13" s="1"/>
  <c r="R34" i="13" s="1"/>
  <c r="R42" i="13" s="1"/>
  <c r="S34" i="13" s="1"/>
  <c r="S42" i="13" s="1"/>
  <c r="T34" i="13" s="1"/>
  <c r="T42" i="13" s="1"/>
  <c r="U34" i="13" s="1"/>
  <c r="U42" i="13" s="1"/>
  <c r="V34" i="13" s="1"/>
  <c r="V42" i="13" s="1"/>
  <c r="W34" i="13" s="1"/>
  <c r="W42" i="13" s="1"/>
  <c r="X34" i="13" s="1"/>
  <c r="X42" i="13" s="1"/>
  <c r="Y34" i="13" s="1"/>
  <c r="Y42" i="13" s="1"/>
  <c r="Z34" i="13" s="1"/>
  <c r="Z42" i="13" s="1"/>
  <c r="AA34" i="13" s="1"/>
  <c r="AA42" i="13" s="1"/>
  <c r="AB34" i="13" s="1"/>
  <c r="AB42" i="13" s="1"/>
  <c r="AC34" i="13" s="1"/>
  <c r="AC42" i="13" s="1"/>
  <c r="AD34" i="13" s="1"/>
  <c r="AD42" i="13" s="1"/>
  <c r="AE34" i="13" s="1"/>
  <c r="AE42" i="13" s="1"/>
  <c r="AF34" i="13" s="1"/>
  <c r="AF42" i="13" s="1"/>
  <c r="AG34" i="13" s="1"/>
  <c r="AG42" i="13" s="1"/>
  <c r="AH34" i="13" s="1"/>
  <c r="AH42" i="13" s="1"/>
  <c r="AI34" i="13" s="1"/>
  <c r="T20" i="33"/>
  <c r="X22" i="33" s="1"/>
  <c r="G34" i="18"/>
  <c r="G4" i="18"/>
  <c r="G3" i="18" s="1"/>
  <c r="H5" i="18"/>
  <c r="H12" i="33"/>
  <c r="U12" i="33" s="1"/>
  <c r="Q2" i="18"/>
  <c r="AG35" i="17"/>
  <c r="H13" i="33"/>
  <c r="F4" i="15"/>
  <c r="F3" i="15" s="1"/>
  <c r="F34" i="15"/>
  <c r="G5" i="15"/>
  <c r="Y33" i="13"/>
  <c r="Z33" i="13"/>
  <c r="E16" i="33"/>
  <c r="E27" i="33" s="1"/>
  <c r="D18" i="10"/>
  <c r="T9" i="33"/>
  <c r="X5" i="33" s="1"/>
  <c r="AG31" i="12"/>
  <c r="AH31" i="12"/>
  <c r="AF30" i="9"/>
  <c r="AH30" i="9"/>
  <c r="U4" i="33"/>
  <c r="T4" i="33"/>
  <c r="D3" i="33"/>
  <c r="C2" i="9"/>
  <c r="D7" i="9" s="1"/>
  <c r="I3" i="2"/>
  <c r="H2" i="2"/>
  <c r="H1" i="2" s="1"/>
  <c r="AO2" i="26"/>
  <c r="AK2" i="26"/>
  <c r="AG2" i="26"/>
  <c r="Y2" i="26"/>
  <c r="U2" i="26"/>
  <c r="Q2" i="26"/>
  <c r="M2" i="26"/>
  <c r="J20" i="26"/>
  <c r="J12" i="26"/>
  <c r="J9" i="26"/>
  <c r="AA2" i="26"/>
  <c r="K2" i="26"/>
  <c r="J25" i="26"/>
  <c r="J14" i="26"/>
  <c r="J11" i="26"/>
  <c r="J27" i="26"/>
  <c r="J16" i="26"/>
  <c r="AI2" i="26"/>
  <c r="S2" i="26"/>
  <c r="AM2" i="26"/>
  <c r="AB2" i="26"/>
  <c r="AJ2" i="26"/>
  <c r="O2" i="26"/>
  <c r="J31" i="26"/>
  <c r="J18" i="26"/>
  <c r="W2" i="26"/>
  <c r="L2" i="26"/>
  <c r="AE2" i="26"/>
  <c r="T2" i="26"/>
  <c r="J7" i="26"/>
  <c r="J17" i="26"/>
  <c r="J30" i="26"/>
  <c r="J24" i="26"/>
  <c r="J13" i="26"/>
  <c r="P2" i="26"/>
  <c r="O3" i="33"/>
  <c r="C2" i="20"/>
  <c r="P2" i="19"/>
  <c r="AA2" i="24"/>
  <c r="J26" i="26"/>
  <c r="H11" i="23"/>
  <c r="J11" i="23"/>
  <c r="J6" i="23" s="1"/>
  <c r="G5" i="21"/>
  <c r="F34" i="21"/>
  <c r="F4" i="21"/>
  <c r="F3" i="21" s="1"/>
  <c r="M2" i="19"/>
  <c r="U2" i="24"/>
  <c r="C2" i="21"/>
  <c r="AL2" i="26"/>
  <c r="V2" i="26"/>
  <c r="AD35" i="22"/>
  <c r="AF35" i="22"/>
  <c r="AH35" i="22"/>
  <c r="F2" i="22"/>
  <c r="N16" i="33"/>
  <c r="D21" i="19"/>
  <c r="D8" i="19"/>
  <c r="Q16" i="33"/>
  <c r="Q27" i="33" s="1"/>
  <c r="D21" i="22"/>
  <c r="G2" i="19"/>
  <c r="D8" i="18"/>
  <c r="O2" i="19"/>
  <c r="O2" i="18"/>
  <c r="K21" i="33"/>
  <c r="C2" i="16"/>
  <c r="D29" i="16" s="1"/>
  <c r="D14" i="22"/>
  <c r="AH2" i="19"/>
  <c r="M35" i="19"/>
  <c r="O35" i="19"/>
  <c r="L35" i="19"/>
  <c r="AB35" i="19"/>
  <c r="Z35" i="19"/>
  <c r="F4" i="19"/>
  <c r="F3" i="19" s="1"/>
  <c r="G5" i="19"/>
  <c r="F34" i="19"/>
  <c r="D19" i="18"/>
  <c r="T2" i="18"/>
  <c r="W2" i="18"/>
  <c r="AE33" i="13"/>
  <c r="D18" i="18"/>
  <c r="J16" i="33"/>
  <c r="J27" i="33" s="1"/>
  <c r="D21" i="15"/>
  <c r="D32" i="18"/>
  <c r="I2" i="18"/>
  <c r="AC2" i="18"/>
  <c r="D14" i="15"/>
  <c r="AE2" i="15"/>
  <c r="AG35" i="14"/>
  <c r="AG33" i="13"/>
  <c r="AH33" i="13"/>
  <c r="F4" i="12"/>
  <c r="F3" i="12" s="1"/>
  <c r="G5" i="12"/>
  <c r="F30" i="12"/>
  <c r="T7" i="33"/>
  <c r="X16" i="33" s="1"/>
  <c r="U7" i="33"/>
  <c r="V33" i="13"/>
  <c r="U22" i="33"/>
  <c r="T22" i="33"/>
  <c r="X20" i="33" s="1"/>
  <c r="J4" i="7"/>
  <c r="I3" i="7"/>
  <c r="I2" i="7" s="1"/>
  <c r="I4" i="8"/>
  <c r="H28" i="8"/>
  <c r="H3" i="8"/>
  <c r="H2" i="8" s="1"/>
  <c r="AD2" i="13" l="1"/>
  <c r="D17" i="13"/>
  <c r="D27" i="13"/>
  <c r="D16" i="13"/>
  <c r="AE2" i="13"/>
  <c r="D7" i="12"/>
  <c r="D26" i="12"/>
  <c r="D12" i="11"/>
  <c r="D25" i="11"/>
  <c r="D11" i="21"/>
  <c r="D29" i="21"/>
  <c r="AH2" i="20"/>
  <c r="D29" i="20"/>
  <c r="C4" i="19"/>
  <c r="C5" i="19" s="1"/>
  <c r="D29" i="19"/>
  <c r="D12" i="19"/>
  <c r="D27" i="19"/>
  <c r="D32" i="19"/>
  <c r="J2" i="19"/>
  <c r="G2" i="18"/>
  <c r="D29" i="18"/>
  <c r="D10" i="17"/>
  <c r="D29" i="17"/>
  <c r="S2" i="18"/>
  <c r="Z2" i="18"/>
  <c r="AF2" i="18"/>
  <c r="D11" i="18"/>
  <c r="D30" i="18"/>
  <c r="AE2" i="18"/>
  <c r="AI2" i="18"/>
  <c r="D10" i="18"/>
  <c r="D13" i="18"/>
  <c r="L2" i="18"/>
  <c r="D31" i="18"/>
  <c r="M2" i="18"/>
  <c r="D24" i="18"/>
  <c r="J2" i="18"/>
  <c r="V2" i="18"/>
  <c r="D12" i="18"/>
  <c r="D21" i="18"/>
  <c r="D27" i="18"/>
  <c r="D15" i="18"/>
  <c r="D25" i="18"/>
  <c r="D9" i="18"/>
  <c r="C4" i="18"/>
  <c r="C5" i="18" s="1"/>
  <c r="D17" i="18"/>
  <c r="AP39" i="39"/>
  <c r="AN38" i="38"/>
  <c r="AP38" i="37"/>
  <c r="AJ4" i="38"/>
  <c r="AJ3" i="38" s="1"/>
  <c r="AA5" i="37"/>
  <c r="Z4" i="37"/>
  <c r="Z3" i="37" s="1"/>
  <c r="D28" i="19"/>
  <c r="W2" i="19"/>
  <c r="D30" i="19"/>
  <c r="L2" i="19"/>
  <c r="D26" i="19"/>
  <c r="AB2" i="19"/>
  <c r="D23" i="19"/>
  <c r="D16" i="19"/>
  <c r="Y2" i="19"/>
  <c r="D13" i="19"/>
  <c r="D15" i="19"/>
  <c r="D25" i="19"/>
  <c r="D18" i="19"/>
  <c r="U9" i="33"/>
  <c r="O27" i="33"/>
  <c r="D6" i="15"/>
  <c r="O5" i="26"/>
  <c r="N4" i="26"/>
  <c r="N3" i="26" s="1"/>
  <c r="H5" i="10"/>
  <c r="G28" i="10"/>
  <c r="G4" i="10"/>
  <c r="G3" i="10" s="1"/>
  <c r="H27" i="33"/>
  <c r="U16" i="33"/>
  <c r="J6" i="24"/>
  <c r="H5" i="21"/>
  <c r="G34" i="21"/>
  <c r="G4" i="21"/>
  <c r="G3" i="21" s="1"/>
  <c r="C4" i="16"/>
  <c r="C5" i="16" s="1"/>
  <c r="D24" i="16"/>
  <c r="D22" i="16"/>
  <c r="D20" i="16"/>
  <c r="D18" i="16"/>
  <c r="D16" i="16"/>
  <c r="D14" i="16"/>
  <c r="D12" i="16"/>
  <c r="D10" i="16"/>
  <c r="AH2" i="16"/>
  <c r="Z2" i="16"/>
  <c r="R2" i="16"/>
  <c r="J2" i="16"/>
  <c r="D32" i="16"/>
  <c r="D30" i="16"/>
  <c r="D27" i="16"/>
  <c r="AF2" i="16"/>
  <c r="X2" i="16"/>
  <c r="P2" i="16"/>
  <c r="D31" i="16"/>
  <c r="D25" i="16"/>
  <c r="D17" i="16"/>
  <c r="D9" i="16"/>
  <c r="D8" i="16"/>
  <c r="AB2" i="16"/>
  <c r="L2" i="16"/>
  <c r="D19" i="16"/>
  <c r="D11" i="16"/>
  <c r="V2" i="16"/>
  <c r="F2" i="16"/>
  <c r="D21" i="16"/>
  <c r="D13" i="16"/>
  <c r="T2" i="16"/>
  <c r="D28" i="16"/>
  <c r="D23" i="16"/>
  <c r="D15" i="16"/>
  <c r="AD2" i="16"/>
  <c r="N2" i="16"/>
  <c r="S2" i="16"/>
  <c r="AI2" i="16"/>
  <c r="Q2" i="16"/>
  <c r="AG2" i="16"/>
  <c r="W2" i="16"/>
  <c r="U2" i="16"/>
  <c r="H2" i="16"/>
  <c r="K2" i="16"/>
  <c r="AA2" i="16"/>
  <c r="G2" i="16"/>
  <c r="I2" i="16"/>
  <c r="Y2" i="16"/>
  <c r="E2" i="16"/>
  <c r="O2" i="16"/>
  <c r="AE2" i="16"/>
  <c r="M2" i="16"/>
  <c r="AC2" i="16"/>
  <c r="H34" i="16"/>
  <c r="I5" i="16"/>
  <c r="H4" i="16"/>
  <c r="H3" i="16" s="1"/>
  <c r="N4" i="23"/>
  <c r="N3" i="23" s="1"/>
  <c r="O5" i="23"/>
  <c r="T5" i="33"/>
  <c r="U10" i="33"/>
  <c r="T10" i="33"/>
  <c r="X8" i="33" s="1"/>
  <c r="G4" i="17"/>
  <c r="G3" i="17" s="1"/>
  <c r="G34" i="17"/>
  <c r="H5" i="17"/>
  <c r="K4" i="7"/>
  <c r="J3" i="7"/>
  <c r="J2" i="7" s="1"/>
  <c r="AG2" i="20"/>
  <c r="Q2" i="20"/>
  <c r="O2" i="20"/>
  <c r="I2" i="20"/>
  <c r="D25" i="20"/>
  <c r="D23" i="20"/>
  <c r="AC2" i="20"/>
  <c r="S2" i="20"/>
  <c r="D31" i="20"/>
  <c r="D28" i="20"/>
  <c r="D20" i="20"/>
  <c r="P2" i="20"/>
  <c r="E2" i="20"/>
  <c r="D24" i="20"/>
  <c r="D22" i="20"/>
  <c r="D16" i="20"/>
  <c r="C4" i="20"/>
  <c r="C5" i="20" s="1"/>
  <c r="AI2" i="20"/>
  <c r="M2" i="20"/>
  <c r="D32" i="20"/>
  <c r="D12" i="20"/>
  <c r="D11" i="20"/>
  <c r="AF2" i="20"/>
  <c r="U2" i="20"/>
  <c r="D27" i="20"/>
  <c r="K2" i="20"/>
  <c r="D30" i="20"/>
  <c r="J2" i="20"/>
  <c r="AA2" i="20"/>
  <c r="X2" i="20"/>
  <c r="AB2" i="20"/>
  <c r="L2" i="20"/>
  <c r="Y2" i="20"/>
  <c r="D18" i="20"/>
  <c r="F2" i="20"/>
  <c r="N2" i="20"/>
  <c r="AE2" i="20"/>
  <c r="T2" i="20"/>
  <c r="D14" i="20"/>
  <c r="D17" i="20"/>
  <c r="R2" i="20"/>
  <c r="D19" i="20"/>
  <c r="G2" i="20"/>
  <c r="D9" i="20"/>
  <c r="D15" i="20"/>
  <c r="D21" i="20"/>
  <c r="Z2" i="20"/>
  <c r="D13" i="20"/>
  <c r="V2" i="20"/>
  <c r="H2" i="20"/>
  <c r="W2" i="20"/>
  <c r="D10" i="20"/>
  <c r="AD2" i="20"/>
  <c r="S4" i="28"/>
  <c r="S5" i="28"/>
  <c r="G32" i="13"/>
  <c r="G4" i="13"/>
  <c r="G3" i="13" s="1"/>
  <c r="H5" i="13"/>
  <c r="I28" i="8"/>
  <c r="J4" i="8"/>
  <c r="I3" i="8"/>
  <c r="I2" i="8" s="1"/>
  <c r="AF2" i="9"/>
  <c r="C30" i="33" a="1"/>
  <c r="D27" i="33"/>
  <c r="T3" i="33"/>
  <c r="X10" i="33" s="1"/>
  <c r="U3" i="33"/>
  <c r="T16" i="33"/>
  <c r="X13" i="33" s="1"/>
  <c r="H5" i="15"/>
  <c r="G4" i="15"/>
  <c r="G3" i="15" s="1"/>
  <c r="G34" i="15"/>
  <c r="U13" i="33"/>
  <c r="T13" i="33"/>
  <c r="X4" i="33" s="1"/>
  <c r="C33" i="26"/>
  <c r="C33" i="24"/>
  <c r="I5" i="22"/>
  <c r="H4" i="22"/>
  <c r="H3" i="22" s="1"/>
  <c r="H34" i="22"/>
  <c r="J5" i="30"/>
  <c r="I4" i="30"/>
  <c r="I3" i="30" s="1"/>
  <c r="I33" i="30"/>
  <c r="T12" i="33"/>
  <c r="X15" i="33" s="1"/>
  <c r="Z2" i="13"/>
  <c r="V2" i="13"/>
  <c r="N2" i="13"/>
  <c r="J2" i="13"/>
  <c r="F2" i="13"/>
  <c r="D14" i="13"/>
  <c r="AC2" i="13"/>
  <c r="U2" i="13"/>
  <c r="E2" i="13"/>
  <c r="D26" i="13"/>
  <c r="D24" i="13"/>
  <c r="AB2" i="13"/>
  <c r="T2" i="13"/>
  <c r="AG2" i="13"/>
  <c r="Q2" i="13"/>
  <c r="I2" i="13"/>
  <c r="P2" i="13"/>
  <c r="AF2" i="13"/>
  <c r="D22" i="13"/>
  <c r="D19" i="13"/>
  <c r="X2" i="13"/>
  <c r="H2" i="13"/>
  <c r="D9" i="13"/>
  <c r="L2" i="13"/>
  <c r="W2" i="13"/>
  <c r="D20" i="13"/>
  <c r="O2" i="13"/>
  <c r="D21" i="13"/>
  <c r="D28" i="13"/>
  <c r="D7" i="13"/>
  <c r="AA2" i="13"/>
  <c r="AI2" i="13"/>
  <c r="D30" i="13"/>
  <c r="D11" i="13"/>
  <c r="D15" i="13"/>
  <c r="D29" i="13"/>
  <c r="D23" i="13"/>
  <c r="AH2" i="13"/>
  <c r="G2" i="13"/>
  <c r="D8" i="13"/>
  <c r="D18" i="13"/>
  <c r="D12" i="13"/>
  <c r="S2" i="13"/>
  <c r="K2" i="13"/>
  <c r="C4" i="13"/>
  <c r="C5" i="13" s="1"/>
  <c r="D25" i="13"/>
  <c r="Y2" i="13"/>
  <c r="R2" i="13"/>
  <c r="N27" i="33"/>
  <c r="U5" i="33"/>
  <c r="D13" i="13"/>
  <c r="D10" i="13"/>
  <c r="I5" i="14"/>
  <c r="H4" i="14"/>
  <c r="H3" i="14" s="1"/>
  <c r="H34" i="14"/>
  <c r="D6" i="10"/>
  <c r="E4" i="28"/>
  <c r="AH40" i="12"/>
  <c r="AK40" i="12" s="1"/>
  <c r="G30" i="12"/>
  <c r="H5" i="12"/>
  <c r="G4" i="12"/>
  <c r="G3" i="12" s="1"/>
  <c r="G34" i="19"/>
  <c r="H5" i="19"/>
  <c r="G4" i="19"/>
  <c r="G3" i="19" s="1"/>
  <c r="D26" i="16"/>
  <c r="U21" i="33"/>
  <c r="T21" i="33"/>
  <c r="X9" i="33" s="1"/>
  <c r="K27" i="33"/>
  <c r="C4" i="21"/>
  <c r="C5" i="21" s="1"/>
  <c r="AI2" i="21"/>
  <c r="S2" i="21"/>
  <c r="D32" i="21"/>
  <c r="D30" i="21"/>
  <c r="D27" i="21"/>
  <c r="D25" i="21"/>
  <c r="D23" i="21"/>
  <c r="D19" i="21"/>
  <c r="D12" i="21"/>
  <c r="D9" i="21"/>
  <c r="AH2" i="21"/>
  <c r="AC2" i="21"/>
  <c r="W2" i="21"/>
  <c r="R2" i="21"/>
  <c r="M2" i="21"/>
  <c r="G2" i="21"/>
  <c r="AA2" i="21"/>
  <c r="Q2" i="21"/>
  <c r="K2" i="21"/>
  <c r="D28" i="21"/>
  <c r="U2" i="21"/>
  <c r="D31" i="21"/>
  <c r="D22" i="21"/>
  <c r="O2" i="21"/>
  <c r="D24" i="21"/>
  <c r="D15" i="21"/>
  <c r="D10" i="21"/>
  <c r="AE2" i="21"/>
  <c r="J2" i="21"/>
  <c r="D26" i="21"/>
  <c r="Z2" i="21"/>
  <c r="E2" i="21"/>
  <c r="L2" i="21"/>
  <c r="AB2" i="21"/>
  <c r="AD2" i="21"/>
  <c r="D21" i="21"/>
  <c r="D16" i="21"/>
  <c r="D17" i="21"/>
  <c r="AF2" i="21"/>
  <c r="I2" i="21"/>
  <c r="D8" i="21"/>
  <c r="T2" i="21"/>
  <c r="Y2" i="21"/>
  <c r="N2" i="21"/>
  <c r="F2" i="21"/>
  <c r="D14" i="21"/>
  <c r="D20" i="21"/>
  <c r="D18" i="21"/>
  <c r="H2" i="21"/>
  <c r="X2" i="21"/>
  <c r="D13" i="21"/>
  <c r="V2" i="21"/>
  <c r="D8" i="20"/>
  <c r="I2" i="2"/>
  <c r="I1" i="2" s="1"/>
  <c r="J3" i="2"/>
  <c r="H4" i="18"/>
  <c r="H3" i="18" s="1"/>
  <c r="H34" i="18"/>
  <c r="I5" i="18"/>
  <c r="P2" i="21"/>
  <c r="AH2" i="11"/>
  <c r="Z2" i="11"/>
  <c r="R2" i="11"/>
  <c r="J2" i="11"/>
  <c r="D13" i="11"/>
  <c r="D7" i="11"/>
  <c r="AF2" i="11"/>
  <c r="X2" i="11"/>
  <c r="P2" i="11"/>
  <c r="H2" i="11"/>
  <c r="AD2" i="11"/>
  <c r="V2" i="11"/>
  <c r="N2" i="11"/>
  <c r="F2" i="11"/>
  <c r="AB2" i="11"/>
  <c r="T2" i="11"/>
  <c r="L2" i="11"/>
  <c r="W2" i="11"/>
  <c r="D14" i="11"/>
  <c r="D22" i="11"/>
  <c r="O2" i="11"/>
  <c r="AC2" i="11"/>
  <c r="M2" i="11"/>
  <c r="D11" i="11"/>
  <c r="D21" i="11"/>
  <c r="AA2" i="11"/>
  <c r="D8" i="11"/>
  <c r="S2" i="11"/>
  <c r="D15" i="11"/>
  <c r="D23" i="11"/>
  <c r="AG2" i="11"/>
  <c r="D16" i="11"/>
  <c r="D24" i="11"/>
  <c r="Q2" i="11"/>
  <c r="AE2" i="11"/>
  <c r="D18" i="11"/>
  <c r="D27" i="11"/>
  <c r="G2" i="11"/>
  <c r="C4" i="11"/>
  <c r="C5" i="11" s="1"/>
  <c r="E2" i="11"/>
  <c r="U2" i="11"/>
  <c r="D17" i="11"/>
  <c r="D26" i="11"/>
  <c r="AI2" i="11"/>
  <c r="K2" i="11"/>
  <c r="D9" i="11"/>
  <c r="D19" i="11"/>
  <c r="Y2" i="11"/>
  <c r="D10" i="11"/>
  <c r="D20" i="11"/>
  <c r="I2" i="11"/>
  <c r="AD2" i="17"/>
  <c r="Y2" i="17"/>
  <c r="N2" i="17"/>
  <c r="D25" i="17"/>
  <c r="C4" i="17"/>
  <c r="C5" i="17" s="1"/>
  <c r="AG2" i="17"/>
  <c r="V2" i="17"/>
  <c r="Q2" i="17"/>
  <c r="F2" i="17"/>
  <c r="D21" i="17"/>
  <c r="D19" i="17"/>
  <c r="D17" i="17"/>
  <c r="D15" i="17"/>
  <c r="D13" i="17"/>
  <c r="D11" i="17"/>
  <c r="AH2" i="17"/>
  <c r="M2" i="17"/>
  <c r="D32" i="17"/>
  <c r="U2" i="17"/>
  <c r="J2" i="17"/>
  <c r="D27" i="17"/>
  <c r="D20" i="17"/>
  <c r="D18" i="17"/>
  <c r="D16" i="17"/>
  <c r="D14" i="17"/>
  <c r="D12" i="17"/>
  <c r="AC2" i="17"/>
  <c r="R2" i="17"/>
  <c r="H2" i="17"/>
  <c r="D9" i="17"/>
  <c r="D8" i="17"/>
  <c r="E2" i="17"/>
  <c r="Z2" i="17"/>
  <c r="P2" i="17"/>
  <c r="X2" i="17"/>
  <c r="D31" i="17"/>
  <c r="G2" i="17"/>
  <c r="D22" i="17"/>
  <c r="I2" i="17"/>
  <c r="AA2" i="17"/>
  <c r="D28" i="17"/>
  <c r="AB2" i="17"/>
  <c r="D23" i="17"/>
  <c r="O2" i="17"/>
  <c r="AE2" i="17"/>
  <c r="L2" i="17"/>
  <c r="AF2" i="17"/>
  <c r="D24" i="17"/>
  <c r="D30" i="17"/>
  <c r="S2" i="17"/>
  <c r="T2" i="17"/>
  <c r="D26" i="17"/>
  <c r="W2" i="17"/>
  <c r="AG2" i="21"/>
  <c r="I4" i="3"/>
  <c r="H3" i="3"/>
  <c r="H2" i="3" s="1"/>
  <c r="H4" i="11"/>
  <c r="H3" i="11" s="1"/>
  <c r="H29" i="11"/>
  <c r="I5" i="11"/>
  <c r="U6" i="33"/>
  <c r="T6" i="33"/>
  <c r="X11" i="33" s="1"/>
  <c r="O5" i="24"/>
  <c r="N4" i="24"/>
  <c r="N3" i="24" s="1"/>
  <c r="D6" i="14"/>
  <c r="D25" i="9"/>
  <c r="D17" i="9"/>
  <c r="AB2" i="9"/>
  <c r="T2" i="9"/>
  <c r="L2" i="9"/>
  <c r="D23" i="9"/>
  <c r="D15" i="9"/>
  <c r="AH2" i="9"/>
  <c r="Z2" i="9"/>
  <c r="R2" i="9"/>
  <c r="J2" i="9"/>
  <c r="D21" i="9"/>
  <c r="D11" i="9"/>
  <c r="X2" i="9"/>
  <c r="P2" i="9"/>
  <c r="H2" i="9"/>
  <c r="D27" i="9"/>
  <c r="D19" i="9"/>
  <c r="D9" i="9"/>
  <c r="AD2" i="9"/>
  <c r="V2" i="9"/>
  <c r="N2" i="9"/>
  <c r="F2" i="9"/>
  <c r="O2" i="9"/>
  <c r="AG2" i="9"/>
  <c r="D14" i="9"/>
  <c r="D26" i="9"/>
  <c r="E2" i="9"/>
  <c r="U2" i="9"/>
  <c r="C4" i="9"/>
  <c r="C5" i="9" s="1"/>
  <c r="AE2" i="9"/>
  <c r="S2" i="9"/>
  <c r="D24" i="9"/>
  <c r="I2" i="9"/>
  <c r="Y2" i="9"/>
  <c r="D10" i="9"/>
  <c r="D22" i="9"/>
  <c r="G2" i="9"/>
  <c r="W2" i="9"/>
  <c r="D8" i="9"/>
  <c r="D18" i="9"/>
  <c r="M2" i="9"/>
  <c r="AC2" i="9"/>
  <c r="D12" i="9"/>
  <c r="K2" i="9"/>
  <c r="AA2" i="9"/>
  <c r="D16" i="9"/>
  <c r="Q2" i="9"/>
  <c r="AI2" i="9"/>
  <c r="D20" i="9"/>
  <c r="E5" i="28"/>
  <c r="AI42" i="13"/>
  <c r="D36" i="14"/>
  <c r="D44" i="14" s="1"/>
  <c r="E36" i="14" s="1"/>
  <c r="E44" i="14" s="1"/>
  <c r="F36" i="14" s="1"/>
  <c r="F44" i="14" s="1"/>
  <c r="G36" i="14" s="1"/>
  <c r="G44" i="14" s="1"/>
  <c r="H36" i="14" s="1"/>
  <c r="H44" i="14" s="1"/>
  <c r="I36" i="14" s="1"/>
  <c r="I44" i="14" s="1"/>
  <c r="J36" i="14" s="1"/>
  <c r="J44" i="14" s="1"/>
  <c r="K36" i="14" s="1"/>
  <c r="K44" i="14" s="1"/>
  <c r="L36" i="14" s="1"/>
  <c r="L44" i="14" s="1"/>
  <c r="M36" i="14" s="1"/>
  <c r="M44" i="14" s="1"/>
  <c r="N36" i="14" s="1"/>
  <c r="N44" i="14" s="1"/>
  <c r="O36" i="14" s="1"/>
  <c r="O44" i="14" s="1"/>
  <c r="P36" i="14" s="1"/>
  <c r="P44" i="14" s="1"/>
  <c r="Q36" i="14" s="1"/>
  <c r="Q44" i="14" s="1"/>
  <c r="R36" i="14" s="1"/>
  <c r="R44" i="14" s="1"/>
  <c r="S36" i="14" s="1"/>
  <c r="S44" i="14" s="1"/>
  <c r="T36" i="14" s="1"/>
  <c r="T44" i="14" s="1"/>
  <c r="U36" i="14" s="1"/>
  <c r="U44" i="14" s="1"/>
  <c r="V36" i="14" s="1"/>
  <c r="V44" i="14" s="1"/>
  <c r="W36" i="14" s="1"/>
  <c r="W44" i="14" s="1"/>
  <c r="X36" i="14" s="1"/>
  <c r="X44" i="14" s="1"/>
  <c r="Y36" i="14" s="1"/>
  <c r="Y44" i="14" s="1"/>
  <c r="Z36" i="14" s="1"/>
  <c r="Z44" i="14" s="1"/>
  <c r="AA36" i="14" s="1"/>
  <c r="AA44" i="14" s="1"/>
  <c r="AB36" i="14" s="1"/>
  <c r="AB44" i="14" s="1"/>
  <c r="AC36" i="14" s="1"/>
  <c r="AC44" i="14" s="1"/>
  <c r="AD36" i="14" s="1"/>
  <c r="AD44" i="14" s="1"/>
  <c r="AE36" i="14" s="1"/>
  <c r="AE44" i="14" s="1"/>
  <c r="AF36" i="14" s="1"/>
  <c r="AF44" i="14" s="1"/>
  <c r="AG36" i="14" s="1"/>
  <c r="AG44" i="14" s="1"/>
  <c r="AH36" i="14" s="1"/>
  <c r="AH44" i="14" s="1"/>
  <c r="AI36" i="14" s="1"/>
  <c r="D6" i="22"/>
  <c r="D22" i="12"/>
  <c r="D20" i="12"/>
  <c r="AB2" i="12"/>
  <c r="T2" i="12"/>
  <c r="L2" i="12"/>
  <c r="D14" i="12"/>
  <c r="D12" i="12"/>
  <c r="D10" i="12"/>
  <c r="AH2" i="12"/>
  <c r="Z2" i="12"/>
  <c r="R2" i="12"/>
  <c r="J2" i="12"/>
  <c r="D23" i="12"/>
  <c r="D21" i="12"/>
  <c r="X2" i="12"/>
  <c r="P2" i="12"/>
  <c r="H2" i="12"/>
  <c r="D13" i="12"/>
  <c r="D11" i="12"/>
  <c r="AD2" i="12"/>
  <c r="V2" i="12"/>
  <c r="N2" i="12"/>
  <c r="F2" i="12"/>
  <c r="Y2" i="12"/>
  <c r="Q2" i="12"/>
  <c r="D16" i="12"/>
  <c r="E2" i="12"/>
  <c r="D8" i="12"/>
  <c r="O2" i="12"/>
  <c r="D9" i="12"/>
  <c r="W2" i="12"/>
  <c r="AC2" i="12"/>
  <c r="D19" i="12"/>
  <c r="U2" i="12"/>
  <c r="AA2" i="12"/>
  <c r="D28" i="12"/>
  <c r="S2" i="12"/>
  <c r="I2" i="12"/>
  <c r="D27" i="12"/>
  <c r="AE2" i="12"/>
  <c r="D17" i="12"/>
  <c r="AG2" i="12"/>
  <c r="D18" i="12"/>
  <c r="G2" i="12"/>
  <c r="D15" i="12"/>
  <c r="D25" i="12"/>
  <c r="M2" i="12"/>
  <c r="D24" i="12"/>
  <c r="K2" i="12"/>
  <c r="C4" i="12"/>
  <c r="C5" i="12" s="1"/>
  <c r="U17" i="33"/>
  <c r="T17" i="33"/>
  <c r="X21" i="33" s="1"/>
  <c r="I27" i="33"/>
  <c r="G4" i="20"/>
  <c r="G3" i="20" s="1"/>
  <c r="G34" i="20"/>
  <c r="H5" i="20"/>
  <c r="H4" i="9"/>
  <c r="H3" i="9" s="1"/>
  <c r="I5" i="9"/>
  <c r="H29" i="9"/>
  <c r="D13" i="9"/>
  <c r="D26" i="20"/>
  <c r="D6" i="18" l="1"/>
  <c r="D6" i="19"/>
  <c r="D27" i="37"/>
  <c r="C27" i="37" s="1"/>
  <c r="AP15" i="37"/>
  <c r="D24" i="37"/>
  <c r="C24" i="37" s="1"/>
  <c r="D24" i="38"/>
  <c r="C24" i="38" s="1"/>
  <c r="AN15" i="38"/>
  <c r="D27" i="38"/>
  <c r="C27" i="38" s="1"/>
  <c r="D28" i="39"/>
  <c r="C28" i="39" s="1"/>
  <c r="AP16" i="39"/>
  <c r="D25" i="39"/>
  <c r="C25" i="39" s="1"/>
  <c r="AA4" i="37"/>
  <c r="AA3" i="37" s="1"/>
  <c r="AB5" i="37"/>
  <c r="F5" i="28"/>
  <c r="D6" i="9"/>
  <c r="D31" i="9" s="1"/>
  <c r="D37" i="9" s="1"/>
  <c r="E31" i="9" s="1"/>
  <c r="E37" i="9" s="1"/>
  <c r="F31" i="9" s="1"/>
  <c r="F37" i="9" s="1"/>
  <c r="G31" i="9" s="1"/>
  <c r="G37" i="9" s="1"/>
  <c r="H31" i="9" s="1"/>
  <c r="H37" i="9" s="1"/>
  <c r="I31" i="9" s="1"/>
  <c r="I37" i="9" s="1"/>
  <c r="J31" i="9" s="1"/>
  <c r="J37" i="9" s="1"/>
  <c r="K31" i="9" s="1"/>
  <c r="K37" i="9" s="1"/>
  <c r="L31" i="9" s="1"/>
  <c r="L37" i="9" s="1"/>
  <c r="M31" i="9" s="1"/>
  <c r="M37" i="9" s="1"/>
  <c r="N31" i="9" s="1"/>
  <c r="N37" i="9" s="1"/>
  <c r="O31" i="9" s="1"/>
  <c r="O37" i="9" s="1"/>
  <c r="P31" i="9" s="1"/>
  <c r="P37" i="9" s="1"/>
  <c r="Q31" i="9" s="1"/>
  <c r="Q37" i="9" s="1"/>
  <c r="R31" i="9" s="1"/>
  <c r="R37" i="9" s="1"/>
  <c r="S31" i="9" s="1"/>
  <c r="S37" i="9" s="1"/>
  <c r="T31" i="9" s="1"/>
  <c r="T37" i="9" s="1"/>
  <c r="U31" i="9" s="1"/>
  <c r="U37" i="9" s="1"/>
  <c r="V31" i="9" s="1"/>
  <c r="V37" i="9" s="1"/>
  <c r="W31" i="9" s="1"/>
  <c r="W37" i="9" s="1"/>
  <c r="X31" i="9" s="1"/>
  <c r="X37" i="9" s="1"/>
  <c r="Y31" i="9" s="1"/>
  <c r="Y37" i="9" s="1"/>
  <c r="Z31" i="9" s="1"/>
  <c r="Z37" i="9" s="1"/>
  <c r="AA31" i="9" s="1"/>
  <c r="AA37" i="9" s="1"/>
  <c r="AB31" i="9" s="1"/>
  <c r="AB37" i="9" s="1"/>
  <c r="AC31" i="9" s="1"/>
  <c r="AC37" i="9" s="1"/>
  <c r="AD31" i="9" s="1"/>
  <c r="AD37" i="9" s="1"/>
  <c r="AE31" i="9" s="1"/>
  <c r="AE37" i="9" s="1"/>
  <c r="AF31" i="9" s="1"/>
  <c r="AF37" i="9" s="1"/>
  <c r="AG31" i="9" s="1"/>
  <c r="AG37" i="9" s="1"/>
  <c r="AH31" i="9" s="1"/>
  <c r="AH37" i="9" s="1"/>
  <c r="AI31" i="9" s="1"/>
  <c r="D30" i="10" s="1"/>
  <c r="D36" i="10" s="1"/>
  <c r="E30" i="10" s="1"/>
  <c r="E36" i="10" s="1"/>
  <c r="F30" i="10" s="1"/>
  <c r="F36" i="10" s="1"/>
  <c r="G30" i="10" s="1"/>
  <c r="G36" i="10" s="1"/>
  <c r="H30" i="10" s="1"/>
  <c r="H36" i="10" s="1"/>
  <c r="I30" i="10" s="1"/>
  <c r="I36" i="10" s="1"/>
  <c r="J30" i="10" s="1"/>
  <c r="J36" i="10" s="1"/>
  <c r="K30" i="10" s="1"/>
  <c r="K36" i="10" s="1"/>
  <c r="L30" i="10" s="1"/>
  <c r="L36" i="10" s="1"/>
  <c r="M30" i="10" s="1"/>
  <c r="M36" i="10" s="1"/>
  <c r="N30" i="10" s="1"/>
  <c r="N36" i="10" s="1"/>
  <c r="O30" i="10" s="1"/>
  <c r="O36" i="10" s="1"/>
  <c r="P30" i="10" s="1"/>
  <c r="P36" i="10" s="1"/>
  <c r="Q30" i="10" s="1"/>
  <c r="Q36" i="10" s="1"/>
  <c r="R30" i="10" s="1"/>
  <c r="R36" i="10" s="1"/>
  <c r="S30" i="10" s="1"/>
  <c r="S36" i="10" s="1"/>
  <c r="T30" i="10" s="1"/>
  <c r="T36" i="10" s="1"/>
  <c r="U30" i="10" s="1"/>
  <c r="U36" i="10" s="1"/>
  <c r="V30" i="10" s="1"/>
  <c r="V36" i="10" s="1"/>
  <c r="W30" i="10" s="1"/>
  <c r="W36" i="10" s="1"/>
  <c r="X30" i="10" s="1"/>
  <c r="X36" i="10" s="1"/>
  <c r="Y30" i="10" s="1"/>
  <c r="Y36" i="10" s="1"/>
  <c r="Z30" i="10" s="1"/>
  <c r="Z36" i="10" s="1"/>
  <c r="AA30" i="10" s="1"/>
  <c r="AA36" i="10" s="1"/>
  <c r="AB30" i="10" s="1"/>
  <c r="AB36" i="10" s="1"/>
  <c r="AC30" i="10" s="1"/>
  <c r="AC36" i="10" s="1"/>
  <c r="AD30" i="10" s="1"/>
  <c r="AD36" i="10" s="1"/>
  <c r="AE30" i="10" s="1"/>
  <c r="AE36" i="10" s="1"/>
  <c r="AF30" i="10" s="1"/>
  <c r="AF36" i="10" s="1"/>
  <c r="AG30" i="10" s="1"/>
  <c r="AG36" i="10" s="1"/>
  <c r="AH30" i="10" s="1"/>
  <c r="I5" i="10"/>
  <c r="H4" i="10"/>
  <c r="H3" i="10" s="1"/>
  <c r="H28" i="10"/>
  <c r="D6" i="12"/>
  <c r="O4" i="26"/>
  <c r="O3" i="26" s="1"/>
  <c r="P5" i="26"/>
  <c r="X44" i="33"/>
  <c r="T44" i="33"/>
  <c r="P44" i="33"/>
  <c r="L44" i="33"/>
  <c r="H44" i="33"/>
  <c r="D44" i="33"/>
  <c r="X43" i="33"/>
  <c r="T43" i="33"/>
  <c r="P43" i="33"/>
  <c r="L43" i="33"/>
  <c r="H43" i="33"/>
  <c r="D43" i="33"/>
  <c r="X42" i="33"/>
  <c r="T42" i="33"/>
  <c r="P42" i="33"/>
  <c r="L42" i="33"/>
  <c r="H42" i="33"/>
  <c r="D42" i="33"/>
  <c r="X41" i="33"/>
  <c r="T41" i="33"/>
  <c r="P41" i="33"/>
  <c r="L41" i="33"/>
  <c r="H41" i="33"/>
  <c r="D41" i="33"/>
  <c r="X40" i="33"/>
  <c r="T40" i="33"/>
  <c r="P40" i="33"/>
  <c r="L40" i="33"/>
  <c r="H40" i="33"/>
  <c r="D40" i="33"/>
  <c r="X39" i="33"/>
  <c r="T39" i="33"/>
  <c r="P39" i="33"/>
  <c r="L39" i="33"/>
  <c r="H39" i="33"/>
  <c r="D39" i="33"/>
  <c r="X38" i="33"/>
  <c r="T38" i="33"/>
  <c r="P38" i="33"/>
  <c r="L38" i="33"/>
  <c r="H38" i="33"/>
  <c r="D38" i="33"/>
  <c r="X37" i="33"/>
  <c r="T37" i="33"/>
  <c r="P37" i="33"/>
  <c r="L37" i="33"/>
  <c r="H37" i="33"/>
  <c r="D37" i="33"/>
  <c r="X36" i="33"/>
  <c r="T36" i="33"/>
  <c r="P36" i="33"/>
  <c r="L36" i="33"/>
  <c r="H36" i="33"/>
  <c r="D36" i="33"/>
  <c r="X35" i="33"/>
  <c r="T35" i="33"/>
  <c r="P35" i="33"/>
  <c r="L35" i="33"/>
  <c r="H35" i="33"/>
  <c r="D35" i="33"/>
  <c r="X34" i="33"/>
  <c r="T34" i="33"/>
  <c r="P34" i="33"/>
  <c r="L34" i="33"/>
  <c r="H34" i="33"/>
  <c r="D34" i="33"/>
  <c r="X33" i="33"/>
  <c r="T33" i="33"/>
  <c r="P33" i="33"/>
  <c r="L33" i="33"/>
  <c r="H33" i="33"/>
  <c r="D33" i="33"/>
  <c r="X32" i="33"/>
  <c r="T32" i="33"/>
  <c r="P32" i="33"/>
  <c r="L32" i="33"/>
  <c r="H32" i="33"/>
  <c r="D32" i="33"/>
  <c r="X31" i="33"/>
  <c r="T31" i="33"/>
  <c r="P31" i="33"/>
  <c r="L31" i="33"/>
  <c r="H31" i="33"/>
  <c r="D31" i="33"/>
  <c r="X30" i="33"/>
  <c r="Z44" i="33"/>
  <c r="V44" i="33"/>
  <c r="R44" i="33"/>
  <c r="N44" i="33"/>
  <c r="J44" i="33"/>
  <c r="F44" i="33"/>
  <c r="Z43" i="33"/>
  <c r="V43" i="33"/>
  <c r="R43" i="33"/>
  <c r="N43" i="33"/>
  <c r="J43" i="33"/>
  <c r="F43" i="33"/>
  <c r="Z42" i="33"/>
  <c r="V42" i="33"/>
  <c r="R42" i="33"/>
  <c r="N42" i="33"/>
  <c r="J42" i="33"/>
  <c r="F42" i="33"/>
  <c r="Z41" i="33"/>
  <c r="V41" i="33"/>
  <c r="R41" i="33"/>
  <c r="N41" i="33"/>
  <c r="J41" i="33"/>
  <c r="F41" i="33"/>
  <c r="Z40" i="33"/>
  <c r="V40" i="33"/>
  <c r="R40" i="33"/>
  <c r="N40" i="33"/>
  <c r="J40" i="33"/>
  <c r="F40" i="33"/>
  <c r="Z39" i="33"/>
  <c r="V39" i="33"/>
  <c r="R39" i="33"/>
  <c r="N39" i="33"/>
  <c r="J39" i="33"/>
  <c r="F39" i="33"/>
  <c r="Z38" i="33"/>
  <c r="V38" i="33"/>
  <c r="R38" i="33"/>
  <c r="N38" i="33"/>
  <c r="J38" i="33"/>
  <c r="F38" i="33"/>
  <c r="Z37" i="33"/>
  <c r="V37" i="33"/>
  <c r="R37" i="33"/>
  <c r="N37" i="33"/>
  <c r="J37" i="33"/>
  <c r="F37" i="33"/>
  <c r="Z36" i="33"/>
  <c r="V36" i="33"/>
  <c r="R36" i="33"/>
  <c r="N36" i="33"/>
  <c r="J36" i="33"/>
  <c r="F36" i="33"/>
  <c r="Z35" i="33"/>
  <c r="V35" i="33"/>
  <c r="R35" i="33"/>
  <c r="N35" i="33"/>
  <c r="J35" i="33"/>
  <c r="F35" i="33"/>
  <c r="Z34" i="33"/>
  <c r="V34" i="33"/>
  <c r="R34" i="33"/>
  <c r="N34" i="33"/>
  <c r="J34" i="33"/>
  <c r="F34" i="33"/>
  <c r="Z33" i="33"/>
  <c r="V33" i="33"/>
  <c r="R33" i="33"/>
  <c r="N33" i="33"/>
  <c r="J33" i="33"/>
  <c r="F33" i="33"/>
  <c r="Z32" i="33"/>
  <c r="V32" i="33"/>
  <c r="R32" i="33"/>
  <c r="N32" i="33"/>
  <c r="J32" i="33"/>
  <c r="F32" i="33"/>
  <c r="Z31" i="33"/>
  <c r="V31" i="33"/>
  <c r="R31" i="33"/>
  <c r="N31" i="33"/>
  <c r="J31" i="33"/>
  <c r="F31" i="33"/>
  <c r="Z30" i="33"/>
  <c r="Y44" i="33"/>
  <c r="S44" i="33"/>
  <c r="K44" i="33"/>
  <c r="C44" i="33"/>
  <c r="S43" i="33"/>
  <c r="K43" i="33"/>
  <c r="C43" i="33"/>
  <c r="S42" i="33"/>
  <c r="K42" i="33"/>
  <c r="C42" i="33"/>
  <c r="S41" i="33"/>
  <c r="K41" i="33"/>
  <c r="C41" i="33"/>
  <c r="S40" i="33"/>
  <c r="K40" i="33"/>
  <c r="C40" i="33"/>
  <c r="S39" i="33"/>
  <c r="K39" i="33"/>
  <c r="C39" i="33"/>
  <c r="S38" i="33"/>
  <c r="K38" i="33"/>
  <c r="C38" i="33"/>
  <c r="S37" i="33"/>
  <c r="K37" i="33"/>
  <c r="C37" i="33"/>
  <c r="S36" i="33"/>
  <c r="K36" i="33"/>
  <c r="C36" i="33"/>
  <c r="S35" i="33"/>
  <c r="K35" i="33"/>
  <c r="C35" i="33"/>
  <c r="S34" i="33"/>
  <c r="K34" i="33"/>
  <c r="C34" i="33"/>
  <c r="S33" i="33"/>
  <c r="K33" i="33"/>
  <c r="C33" i="33"/>
  <c r="S32" i="33"/>
  <c r="K32" i="33"/>
  <c r="C32" i="33"/>
  <c r="S31" i="33"/>
  <c r="K31" i="33"/>
  <c r="C31" i="33"/>
  <c r="U30" i="33"/>
  <c r="Q30" i="33"/>
  <c r="M30" i="33"/>
  <c r="I30" i="33"/>
  <c r="E30" i="33"/>
  <c r="Q44" i="33"/>
  <c r="I44" i="33"/>
  <c r="Y43" i="33"/>
  <c r="Q43" i="33"/>
  <c r="I43" i="33"/>
  <c r="Y42" i="33"/>
  <c r="Q42" i="33"/>
  <c r="I42" i="33"/>
  <c r="Y41" i="33"/>
  <c r="Q41" i="33"/>
  <c r="I41" i="33"/>
  <c r="Y40" i="33"/>
  <c r="Q40" i="33"/>
  <c r="I40" i="33"/>
  <c r="Y39" i="33"/>
  <c r="Q39" i="33"/>
  <c r="I39" i="33"/>
  <c r="Y38" i="33"/>
  <c r="Q38" i="33"/>
  <c r="I38" i="33"/>
  <c r="Y37" i="33"/>
  <c r="Q37" i="33"/>
  <c r="I37" i="33"/>
  <c r="Y36" i="33"/>
  <c r="Q36" i="33"/>
  <c r="I36" i="33"/>
  <c r="Y35" i="33"/>
  <c r="Q35" i="33"/>
  <c r="I35" i="33"/>
  <c r="Y34" i="33"/>
  <c r="Q34" i="33"/>
  <c r="I34" i="33"/>
  <c r="Y33" i="33"/>
  <c r="Q33" i="33"/>
  <c r="I33" i="33"/>
  <c r="Y32" i="33"/>
  <c r="Q32" i="33"/>
  <c r="I32" i="33"/>
  <c r="Y31" i="33"/>
  <c r="Q31" i="33"/>
  <c r="I31" i="33"/>
  <c r="Y30" i="33"/>
  <c r="T30" i="33"/>
  <c r="P30" i="33"/>
  <c r="L30" i="33"/>
  <c r="H30" i="33"/>
  <c r="D30" i="33"/>
  <c r="W44" i="33"/>
  <c r="O44" i="33"/>
  <c r="G44" i="33"/>
  <c r="W43" i="33"/>
  <c r="O43" i="33"/>
  <c r="G43" i="33"/>
  <c r="W42" i="33"/>
  <c r="O42" i="33"/>
  <c r="G42" i="33"/>
  <c r="W41" i="33"/>
  <c r="O41" i="33"/>
  <c r="G41" i="33"/>
  <c r="W40" i="33"/>
  <c r="O40" i="33"/>
  <c r="G40" i="33"/>
  <c r="W39" i="33"/>
  <c r="O39" i="33"/>
  <c r="G39" i="33"/>
  <c r="W38" i="33"/>
  <c r="O38" i="33"/>
  <c r="G38" i="33"/>
  <c r="W37" i="33"/>
  <c r="O37" i="33"/>
  <c r="G37" i="33"/>
  <c r="W36" i="33"/>
  <c r="O36" i="33"/>
  <c r="G36" i="33"/>
  <c r="W35" i="33"/>
  <c r="O35" i="33"/>
  <c r="G35" i="33"/>
  <c r="W34" i="33"/>
  <c r="O34" i="33"/>
  <c r="G34" i="33"/>
  <c r="W33" i="33"/>
  <c r="O33" i="33"/>
  <c r="G33" i="33"/>
  <c r="W32" i="33"/>
  <c r="O32" i="33"/>
  <c r="G32" i="33"/>
  <c r="W31" i="33"/>
  <c r="O31" i="33"/>
  <c r="G31" i="33"/>
  <c r="W30" i="33"/>
  <c r="S30" i="33"/>
  <c r="O30" i="33"/>
  <c r="K30" i="33"/>
  <c r="G30" i="33"/>
  <c r="U44" i="33"/>
  <c r="M44" i="33"/>
  <c r="E44" i="33"/>
  <c r="U43" i="33"/>
  <c r="M43" i="33"/>
  <c r="E43" i="33"/>
  <c r="U42" i="33"/>
  <c r="M42" i="33"/>
  <c r="E42" i="33"/>
  <c r="U41" i="33"/>
  <c r="M41" i="33"/>
  <c r="E41" i="33"/>
  <c r="U40" i="33"/>
  <c r="M40" i="33"/>
  <c r="E40" i="33"/>
  <c r="U39" i="33"/>
  <c r="M39" i="33"/>
  <c r="E39" i="33"/>
  <c r="U38" i="33"/>
  <c r="M38" i="33"/>
  <c r="E38" i="33"/>
  <c r="U37" i="33"/>
  <c r="M37" i="33"/>
  <c r="E37" i="33"/>
  <c r="U36" i="33"/>
  <c r="M36" i="33"/>
  <c r="E36" i="33"/>
  <c r="U35" i="33"/>
  <c r="M35" i="33"/>
  <c r="E35" i="33"/>
  <c r="U34" i="33"/>
  <c r="M34" i="33"/>
  <c r="E34" i="33"/>
  <c r="U33" i="33"/>
  <c r="M33" i="33"/>
  <c r="E33" i="33"/>
  <c r="U32" i="33"/>
  <c r="M32" i="33"/>
  <c r="E32" i="33"/>
  <c r="U31" i="33"/>
  <c r="M31" i="33"/>
  <c r="E31" i="33"/>
  <c r="V30" i="33"/>
  <c r="R30" i="33"/>
  <c r="N30" i="33"/>
  <c r="J30" i="33"/>
  <c r="F30" i="33"/>
  <c r="C30" i="33"/>
  <c r="O4" i="23"/>
  <c r="O3" i="23" s="1"/>
  <c r="P5" i="23"/>
  <c r="D6" i="16"/>
  <c r="J5" i="18"/>
  <c r="I34" i="18"/>
  <c r="I4" i="18"/>
  <c r="I3" i="18" s="1"/>
  <c r="I4" i="22"/>
  <c r="I3" i="22" s="1"/>
  <c r="I34" i="22"/>
  <c r="J5" i="22"/>
  <c r="I4" i="11"/>
  <c r="I3" i="11" s="1"/>
  <c r="I29" i="11"/>
  <c r="J5" i="11"/>
  <c r="J4" i="3"/>
  <c r="I3" i="3"/>
  <c r="I2" i="3" s="1"/>
  <c r="D6" i="17"/>
  <c r="D6" i="11"/>
  <c r="J5" i="14"/>
  <c r="I34" i="14"/>
  <c r="I4" i="14"/>
  <c r="I3" i="14" s="1"/>
  <c r="J4" i="30"/>
  <c r="J3" i="30" s="1"/>
  <c r="J33" i="30"/>
  <c r="K5" i="30"/>
  <c r="G27" i="24"/>
  <c r="H27" i="24" s="1"/>
  <c r="G24" i="24"/>
  <c r="H24" i="24" s="1"/>
  <c r="C10" i="24"/>
  <c r="H4" i="13"/>
  <c r="H3" i="13" s="1"/>
  <c r="I5" i="13"/>
  <c r="H32" i="13"/>
  <c r="L4" i="7"/>
  <c r="K3" i="7"/>
  <c r="K2" i="7" s="1"/>
  <c r="I29" i="9"/>
  <c r="I4" i="9"/>
  <c r="I3" i="9" s="1"/>
  <c r="J5" i="9"/>
  <c r="D6" i="13"/>
  <c r="H34" i="20"/>
  <c r="H4" i="20"/>
  <c r="H3" i="20" s="1"/>
  <c r="I5" i="20"/>
  <c r="P5" i="24"/>
  <c r="O4" i="24"/>
  <c r="O3" i="24" s="1"/>
  <c r="H4" i="12"/>
  <c r="H3" i="12" s="1"/>
  <c r="H30" i="12"/>
  <c r="I5" i="12"/>
  <c r="G25" i="26"/>
  <c r="H25" i="26" s="1"/>
  <c r="C10" i="26"/>
  <c r="AM51" i="24" s="1"/>
  <c r="AM52" i="24" s="1"/>
  <c r="G28" i="26"/>
  <c r="H28" i="26" s="1"/>
  <c r="H34" i="17"/>
  <c r="I5" i="17"/>
  <c r="H4" i="17"/>
  <c r="H3" i="17" s="1"/>
  <c r="H34" i="21"/>
  <c r="I5" i="21"/>
  <c r="H4" i="21"/>
  <c r="H3" i="21" s="1"/>
  <c r="E6" i="28"/>
  <c r="F6" i="28" s="1"/>
  <c r="D36" i="15"/>
  <c r="D44" i="15" s="1"/>
  <c r="E36" i="15" s="1"/>
  <c r="E44" i="15" s="1"/>
  <c r="F36" i="15" s="1"/>
  <c r="F44" i="15" s="1"/>
  <c r="G36" i="15" s="1"/>
  <c r="G44" i="15" s="1"/>
  <c r="H36" i="15" s="1"/>
  <c r="H44" i="15" s="1"/>
  <c r="I36" i="15" s="1"/>
  <c r="I44" i="15" s="1"/>
  <c r="J36" i="15" s="1"/>
  <c r="J44" i="15" s="1"/>
  <c r="K36" i="15" s="1"/>
  <c r="K44" i="15" s="1"/>
  <c r="L36" i="15" s="1"/>
  <c r="L44" i="15" s="1"/>
  <c r="M36" i="15" s="1"/>
  <c r="M44" i="15" s="1"/>
  <c r="N36" i="15" s="1"/>
  <c r="N44" i="15" s="1"/>
  <c r="O36" i="15" s="1"/>
  <c r="O44" i="15" s="1"/>
  <c r="P36" i="15" s="1"/>
  <c r="P44" i="15" s="1"/>
  <c r="Q36" i="15" s="1"/>
  <c r="Q44" i="15" s="1"/>
  <c r="R36" i="15" s="1"/>
  <c r="R44" i="15" s="1"/>
  <c r="S36" i="15" s="1"/>
  <c r="S44" i="15" s="1"/>
  <c r="T36" i="15" s="1"/>
  <c r="T44" i="15" s="1"/>
  <c r="U36" i="15" s="1"/>
  <c r="U44" i="15" s="1"/>
  <c r="V36" i="15" s="1"/>
  <c r="V44" i="15" s="1"/>
  <c r="W36" i="15" s="1"/>
  <c r="W44" i="15" s="1"/>
  <c r="X36" i="15" s="1"/>
  <c r="X44" i="15" s="1"/>
  <c r="Y36" i="15" s="1"/>
  <c r="Y44" i="15" s="1"/>
  <c r="Z36" i="15" s="1"/>
  <c r="Z44" i="15" s="1"/>
  <c r="AA36" i="15" s="1"/>
  <c r="AA44" i="15" s="1"/>
  <c r="AB36" i="15" s="1"/>
  <c r="AB44" i="15" s="1"/>
  <c r="AC36" i="15" s="1"/>
  <c r="AC44" i="15" s="1"/>
  <c r="AD36" i="15" s="1"/>
  <c r="AD44" i="15" s="1"/>
  <c r="AE36" i="15" s="1"/>
  <c r="AE44" i="15" s="1"/>
  <c r="AF36" i="15" s="1"/>
  <c r="AI44" i="14"/>
  <c r="J2" i="2"/>
  <c r="J1" i="2" s="1"/>
  <c r="K3" i="2"/>
  <c r="D6" i="20"/>
  <c r="D6" i="21"/>
  <c r="H4" i="19"/>
  <c r="H3" i="19" s="1"/>
  <c r="I5" i="19"/>
  <c r="H34" i="19"/>
  <c r="H34" i="15"/>
  <c r="H4" i="15"/>
  <c r="H3" i="15" s="1"/>
  <c r="I5" i="15"/>
  <c r="T27" i="33"/>
  <c r="J28" i="8"/>
  <c r="J3" i="8"/>
  <c r="J2" i="8" s="1"/>
  <c r="K4" i="8"/>
  <c r="I34" i="16"/>
  <c r="I4" i="16"/>
  <c r="I3" i="16" s="1"/>
  <c r="J5" i="16"/>
  <c r="C34" i="39" l="1"/>
  <c r="AP14" i="39"/>
  <c r="AP15" i="39" s="1"/>
  <c r="AP13" i="39"/>
  <c r="AN13" i="38"/>
  <c r="AN14" i="38" s="1"/>
  <c r="AN12" i="38"/>
  <c r="C33" i="37"/>
  <c r="AP13" i="37"/>
  <c r="AP14" i="37" s="1"/>
  <c r="AP12" i="37"/>
  <c r="AC5" i="37"/>
  <c r="AB4" i="37"/>
  <c r="AB3" i="37" s="1"/>
  <c r="AI37" i="9"/>
  <c r="AN53" i="24"/>
  <c r="AM54" i="24"/>
  <c r="H31" i="24"/>
  <c r="P4" i="26"/>
  <c r="P3" i="26" s="1"/>
  <c r="Q5" i="26"/>
  <c r="I4" i="10"/>
  <c r="I3" i="10" s="1"/>
  <c r="J5" i="10"/>
  <c r="I28" i="10"/>
  <c r="K3" i="8"/>
  <c r="K2" i="8" s="1"/>
  <c r="K28" i="8"/>
  <c r="L4" i="8"/>
  <c r="J5" i="13"/>
  <c r="I32" i="13"/>
  <c r="I4" i="13"/>
  <c r="I3" i="13" s="1"/>
  <c r="Q5" i="23"/>
  <c r="P4" i="23"/>
  <c r="P3" i="23" s="1"/>
  <c r="J4" i="16"/>
  <c r="J3" i="16" s="1"/>
  <c r="J34" i="16"/>
  <c r="K5" i="16"/>
  <c r="I4" i="21"/>
  <c r="I3" i="21" s="1"/>
  <c r="I34" i="21"/>
  <c r="J5" i="21"/>
  <c r="I30" i="12"/>
  <c r="J5" i="12"/>
  <c r="I4" i="12"/>
  <c r="I3" i="12" s="1"/>
  <c r="Q5" i="24"/>
  <c r="P4" i="24"/>
  <c r="P3" i="24" s="1"/>
  <c r="K33" i="30"/>
  <c r="L5" i="30"/>
  <c r="K4" i="30"/>
  <c r="K3" i="30" s="1"/>
  <c r="K4" i="3"/>
  <c r="J3" i="3"/>
  <c r="J2" i="3" s="1"/>
  <c r="J34" i="22"/>
  <c r="K5" i="22"/>
  <c r="J4" i="22"/>
  <c r="J3" i="22" s="1"/>
  <c r="E7" i="28"/>
  <c r="F7" i="28" s="1"/>
  <c r="AF44" i="15"/>
  <c r="D36" i="16"/>
  <c r="D45" i="16" s="1"/>
  <c r="E36" i="16" s="1"/>
  <c r="E45" i="16" s="1"/>
  <c r="F36" i="16" s="1"/>
  <c r="F45" i="16" s="1"/>
  <c r="G36" i="16" s="1"/>
  <c r="G45" i="16" s="1"/>
  <c r="H36" i="16" s="1"/>
  <c r="H45" i="16" s="1"/>
  <c r="I36" i="16" s="1"/>
  <c r="I45" i="16" s="1"/>
  <c r="J36" i="16" s="1"/>
  <c r="J45" i="16" s="1"/>
  <c r="K36" i="16" s="1"/>
  <c r="K45" i="16" s="1"/>
  <c r="L36" i="16" s="1"/>
  <c r="L45" i="16" s="1"/>
  <c r="M36" i="16" s="1"/>
  <c r="M45" i="16" s="1"/>
  <c r="N36" i="16" s="1"/>
  <c r="N45" i="16" s="1"/>
  <c r="O36" i="16" s="1"/>
  <c r="O45" i="16" s="1"/>
  <c r="P36" i="16" s="1"/>
  <c r="P45" i="16" s="1"/>
  <c r="Q36" i="16" s="1"/>
  <c r="Q45" i="16" s="1"/>
  <c r="R36" i="16" s="1"/>
  <c r="R45" i="16" s="1"/>
  <c r="S36" i="16" s="1"/>
  <c r="S45" i="16" s="1"/>
  <c r="T36" i="16" s="1"/>
  <c r="T45" i="16" s="1"/>
  <c r="U36" i="16" s="1"/>
  <c r="U45" i="16" s="1"/>
  <c r="V36" i="16" s="1"/>
  <c r="V45" i="16" s="1"/>
  <c r="W36" i="16" s="1"/>
  <c r="W45" i="16" s="1"/>
  <c r="X36" i="16" s="1"/>
  <c r="X45" i="16" s="1"/>
  <c r="Y36" i="16" s="1"/>
  <c r="Y45" i="16" s="1"/>
  <c r="Z36" i="16" s="1"/>
  <c r="Z45" i="16" s="1"/>
  <c r="AA36" i="16" s="1"/>
  <c r="AA45" i="16" s="1"/>
  <c r="AB36" i="16" s="1"/>
  <c r="AB45" i="16" s="1"/>
  <c r="AC36" i="16" s="1"/>
  <c r="AC45" i="16" s="1"/>
  <c r="AD36" i="16" s="1"/>
  <c r="AD45" i="16" s="1"/>
  <c r="AE36" i="16" s="1"/>
  <c r="AE45" i="16" s="1"/>
  <c r="AF36" i="16" s="1"/>
  <c r="AF45" i="16" s="1"/>
  <c r="AG36" i="16" s="1"/>
  <c r="AG45" i="16" s="1"/>
  <c r="AH36" i="16" s="1"/>
  <c r="AH45" i="16" s="1"/>
  <c r="AI36" i="16" s="1"/>
  <c r="J5" i="20"/>
  <c r="I34" i="20"/>
  <c r="I4" i="20"/>
  <c r="I3" i="20" s="1"/>
  <c r="K5" i="9"/>
  <c r="J4" i="9"/>
  <c r="J3" i="9" s="1"/>
  <c r="J29" i="9"/>
  <c r="M4" i="7"/>
  <c r="L3" i="7"/>
  <c r="L2" i="7" s="1"/>
  <c r="C7" i="24"/>
  <c r="C8" i="24"/>
  <c r="C9" i="24" s="1"/>
  <c r="J34" i="14"/>
  <c r="J4" i="14"/>
  <c r="J3" i="14" s="1"/>
  <c r="K5" i="14"/>
  <c r="J29" i="11"/>
  <c r="K5" i="11"/>
  <c r="J4" i="11"/>
  <c r="J3" i="11" s="1"/>
  <c r="K5" i="18"/>
  <c r="J4" i="18"/>
  <c r="J3" i="18" s="1"/>
  <c r="J34" i="18"/>
  <c r="J5" i="17"/>
  <c r="I4" i="17"/>
  <c r="I3" i="17" s="1"/>
  <c r="I34" i="17"/>
  <c r="J5" i="15"/>
  <c r="I34" i="15"/>
  <c r="I4" i="15"/>
  <c r="I3" i="15" s="1"/>
  <c r="I34" i="19"/>
  <c r="J5" i="19"/>
  <c r="I4" i="19"/>
  <c r="I3" i="19" s="1"/>
  <c r="K2" i="2"/>
  <c r="K1" i="2" s="1"/>
  <c r="L3" i="2"/>
  <c r="C7" i="26"/>
  <c r="C8" i="26"/>
  <c r="C9" i="26" s="1"/>
  <c r="D31" i="11"/>
  <c r="D39" i="11" s="1"/>
  <c r="E31" i="11" s="1"/>
  <c r="E39" i="11" s="1"/>
  <c r="F31" i="11" s="1"/>
  <c r="F39" i="11" s="1"/>
  <c r="G31" i="11" s="1"/>
  <c r="G39" i="11" s="1"/>
  <c r="H31" i="11" s="1"/>
  <c r="H39" i="11" s="1"/>
  <c r="I31" i="11" s="1"/>
  <c r="I39" i="11" s="1"/>
  <c r="J31" i="11" s="1"/>
  <c r="J39" i="11" s="1"/>
  <c r="K31" i="11" s="1"/>
  <c r="K39" i="11" s="1"/>
  <c r="L31" i="11" s="1"/>
  <c r="L39" i="11" s="1"/>
  <c r="M31" i="11" s="1"/>
  <c r="M39" i="11" s="1"/>
  <c r="N31" i="11" s="1"/>
  <c r="N39" i="11" s="1"/>
  <c r="O31" i="11" s="1"/>
  <c r="O39" i="11" s="1"/>
  <c r="P31" i="11" s="1"/>
  <c r="P39" i="11" s="1"/>
  <c r="Q31" i="11" s="1"/>
  <c r="Q39" i="11" s="1"/>
  <c r="R31" i="11" s="1"/>
  <c r="R39" i="11" s="1"/>
  <c r="S31" i="11" s="1"/>
  <c r="S39" i="11" s="1"/>
  <c r="T31" i="11" s="1"/>
  <c r="T39" i="11" s="1"/>
  <c r="U31" i="11" s="1"/>
  <c r="U39" i="11" s="1"/>
  <c r="V31" i="11" s="1"/>
  <c r="V39" i="11" s="1"/>
  <c r="W31" i="11" s="1"/>
  <c r="W39" i="11" s="1"/>
  <c r="X31" i="11" s="1"/>
  <c r="X39" i="11" s="1"/>
  <c r="Y31" i="11" s="1"/>
  <c r="Y39" i="11" s="1"/>
  <c r="Z31" i="11" s="1"/>
  <c r="Z39" i="11" s="1"/>
  <c r="AA31" i="11" s="1"/>
  <c r="AA39" i="11" s="1"/>
  <c r="AB31" i="11" s="1"/>
  <c r="AB39" i="11" s="1"/>
  <c r="AC31" i="11" s="1"/>
  <c r="AC39" i="11" s="1"/>
  <c r="AD31" i="11" s="1"/>
  <c r="AD39" i="11" s="1"/>
  <c r="AE31" i="11" s="1"/>
  <c r="AE39" i="11" s="1"/>
  <c r="AF31" i="11" s="1"/>
  <c r="AF39" i="11" s="1"/>
  <c r="AG31" i="11" s="1"/>
  <c r="AG39" i="11" s="1"/>
  <c r="AH31" i="11" s="1"/>
  <c r="AH39" i="11" s="1"/>
  <c r="AI31" i="11" s="1"/>
  <c r="AH36" i="10"/>
  <c r="AD5" i="37" l="1"/>
  <c r="AC4" i="37"/>
  <c r="AC3" i="37" s="1"/>
  <c r="K5" i="10"/>
  <c r="J28" i="10"/>
  <c r="J4" i="10"/>
  <c r="J3" i="10" s="1"/>
  <c r="Q4" i="26"/>
  <c r="Q3" i="26" s="1"/>
  <c r="R5" i="26"/>
  <c r="K4" i="14"/>
  <c r="K3" i="14" s="1"/>
  <c r="L5" i="14"/>
  <c r="K34" i="14"/>
  <c r="K3" i="3"/>
  <c r="K2" i="3" s="1"/>
  <c r="L4" i="3"/>
  <c r="M5" i="30"/>
  <c r="L4" i="30"/>
  <c r="L3" i="30" s="1"/>
  <c r="L33" i="30"/>
  <c r="J4" i="17"/>
  <c r="J3" i="17" s="1"/>
  <c r="J34" i="17"/>
  <c r="K5" i="17"/>
  <c r="E8" i="28"/>
  <c r="F8" i="28" s="1"/>
  <c r="D36" i="17"/>
  <c r="D45" i="17" s="1"/>
  <c r="E36" i="17" s="1"/>
  <c r="E45" i="17" s="1"/>
  <c r="F36" i="17" s="1"/>
  <c r="F45" i="17" s="1"/>
  <c r="G36" i="17" s="1"/>
  <c r="G45" i="17" s="1"/>
  <c r="H36" i="17" s="1"/>
  <c r="H45" i="17" s="1"/>
  <c r="I36" i="17" s="1"/>
  <c r="I45" i="17" s="1"/>
  <c r="J36" i="17" s="1"/>
  <c r="J45" i="17" s="1"/>
  <c r="K36" i="17" s="1"/>
  <c r="K45" i="17" s="1"/>
  <c r="L36" i="17" s="1"/>
  <c r="L45" i="17" s="1"/>
  <c r="M36" i="17" s="1"/>
  <c r="M45" i="17" s="1"/>
  <c r="N36" i="17" s="1"/>
  <c r="N45" i="17" s="1"/>
  <c r="O36" i="17" s="1"/>
  <c r="O45" i="17" s="1"/>
  <c r="P36" i="17" s="1"/>
  <c r="P45" i="17" s="1"/>
  <c r="Q36" i="17" s="1"/>
  <c r="Q45" i="17" s="1"/>
  <c r="R36" i="17" s="1"/>
  <c r="R45" i="17" s="1"/>
  <c r="S36" i="17" s="1"/>
  <c r="S45" i="17" s="1"/>
  <c r="T36" i="17" s="1"/>
  <c r="T45" i="17" s="1"/>
  <c r="U36" i="17" s="1"/>
  <c r="U45" i="17" s="1"/>
  <c r="V36" i="17" s="1"/>
  <c r="V45" i="17" s="1"/>
  <c r="W36" i="17" s="1"/>
  <c r="W45" i="17" s="1"/>
  <c r="X36" i="17" s="1"/>
  <c r="X45" i="17" s="1"/>
  <c r="Y36" i="17" s="1"/>
  <c r="Y45" i="17" s="1"/>
  <c r="Z36" i="17" s="1"/>
  <c r="Z45" i="17" s="1"/>
  <c r="AA36" i="17" s="1"/>
  <c r="AA45" i="17" s="1"/>
  <c r="AB36" i="17" s="1"/>
  <c r="AB45" i="17" s="1"/>
  <c r="AC36" i="17" s="1"/>
  <c r="AC45" i="17" s="1"/>
  <c r="AD36" i="17" s="1"/>
  <c r="AD45" i="17" s="1"/>
  <c r="AE36" i="17" s="1"/>
  <c r="AE45" i="17" s="1"/>
  <c r="AF36" i="17" s="1"/>
  <c r="AF45" i="17" s="1"/>
  <c r="AG36" i="17" s="1"/>
  <c r="AG45" i="17" s="1"/>
  <c r="AH36" i="17" s="1"/>
  <c r="AI45" i="16"/>
  <c r="L5" i="22"/>
  <c r="K34" i="22"/>
  <c r="K4" i="22"/>
  <c r="K3" i="22" s="1"/>
  <c r="J4" i="12"/>
  <c r="J3" i="12" s="1"/>
  <c r="J30" i="12"/>
  <c r="K5" i="12"/>
  <c r="K34" i="16"/>
  <c r="K4" i="16"/>
  <c r="K3" i="16" s="1"/>
  <c r="L5" i="16"/>
  <c r="R5" i="23"/>
  <c r="Q4" i="23"/>
  <c r="Q3" i="23" s="1"/>
  <c r="M4" i="8"/>
  <c r="L28" i="8"/>
  <c r="L3" i="8"/>
  <c r="L2" i="8" s="1"/>
  <c r="E3" i="28"/>
  <c r="F4" i="28" s="1"/>
  <c r="AI39" i="11"/>
  <c r="K34" i="18"/>
  <c r="K4" i="18"/>
  <c r="K3" i="18" s="1"/>
  <c r="L5" i="18"/>
  <c r="J4" i="20"/>
  <c r="J3" i="20" s="1"/>
  <c r="J34" i="20"/>
  <c r="K5" i="20"/>
  <c r="K5" i="13"/>
  <c r="J32" i="13"/>
  <c r="J4" i="13"/>
  <c r="J3" i="13" s="1"/>
  <c r="K29" i="9"/>
  <c r="K4" i="9"/>
  <c r="K3" i="9" s="1"/>
  <c r="L5" i="9"/>
  <c r="K5" i="19"/>
  <c r="J34" i="19"/>
  <c r="J4" i="19"/>
  <c r="J3" i="19" s="1"/>
  <c r="J4" i="15"/>
  <c r="J3" i="15" s="1"/>
  <c r="J34" i="15"/>
  <c r="K5" i="15"/>
  <c r="K4" i="11"/>
  <c r="K3" i="11" s="1"/>
  <c r="K29" i="11"/>
  <c r="L5" i="11"/>
  <c r="N4" i="7"/>
  <c r="M3" i="7"/>
  <c r="M2" i="7" s="1"/>
  <c r="M3" i="2"/>
  <c r="L2" i="2"/>
  <c r="L1" i="2" s="1"/>
  <c r="R5" i="24"/>
  <c r="Q4" i="24"/>
  <c r="Q3" i="24" s="1"/>
  <c r="J4" i="21"/>
  <c r="J3" i="21" s="1"/>
  <c r="K5" i="21"/>
  <c r="J34" i="21"/>
  <c r="AD4" i="37" l="1"/>
  <c r="AD3" i="37" s="1"/>
  <c r="AE5" i="37"/>
  <c r="R4" i="26"/>
  <c r="R3" i="26" s="1"/>
  <c r="S5" i="26"/>
  <c r="K28" i="10"/>
  <c r="K4" i="10"/>
  <c r="K3" i="10" s="1"/>
  <c r="L5" i="10"/>
  <c r="L4" i="9"/>
  <c r="L3" i="9" s="1"/>
  <c r="M5" i="9"/>
  <c r="L29" i="9"/>
  <c r="K32" i="13"/>
  <c r="K4" i="13"/>
  <c r="K3" i="13" s="1"/>
  <c r="L5" i="13"/>
  <c r="L4" i="18"/>
  <c r="L3" i="18" s="1"/>
  <c r="L34" i="18"/>
  <c r="M5" i="18"/>
  <c r="M5" i="22"/>
  <c r="L34" i="22"/>
  <c r="L4" i="22"/>
  <c r="L3" i="22" s="1"/>
  <c r="L5" i="17"/>
  <c r="K34" i="17"/>
  <c r="K4" i="17"/>
  <c r="K3" i="17" s="1"/>
  <c r="L5" i="21"/>
  <c r="K34" i="21"/>
  <c r="K4" i="21"/>
  <c r="K3" i="21" s="1"/>
  <c r="M28" i="8"/>
  <c r="N4" i="8"/>
  <c r="M3" i="8"/>
  <c r="M2" i="8" s="1"/>
  <c r="M2" i="2"/>
  <c r="M1" i="2" s="1"/>
  <c r="N3" i="2"/>
  <c r="O4" i="7"/>
  <c r="N3" i="7"/>
  <c r="N2" i="7" s="1"/>
  <c r="L5" i="15"/>
  <c r="K34" i="15"/>
  <c r="K4" i="15"/>
  <c r="K3" i="15" s="1"/>
  <c r="K4" i="20"/>
  <c r="K3" i="20" s="1"/>
  <c r="L5" i="20"/>
  <c r="K34" i="20"/>
  <c r="R4" i="23"/>
  <c r="R3" i="23" s="1"/>
  <c r="S5" i="23"/>
  <c r="K30" i="12"/>
  <c r="L5" i="12"/>
  <c r="K4" i="12"/>
  <c r="K3" i="12" s="1"/>
  <c r="N5" i="30"/>
  <c r="M4" i="30"/>
  <c r="M3" i="30" s="1"/>
  <c r="M33" i="30"/>
  <c r="M5" i="14"/>
  <c r="L34" i="14"/>
  <c r="L4" i="14"/>
  <c r="L3" i="14" s="1"/>
  <c r="S5" i="24"/>
  <c r="R4" i="24"/>
  <c r="R3" i="24" s="1"/>
  <c r="L4" i="11"/>
  <c r="L3" i="11" s="1"/>
  <c r="L29" i="11"/>
  <c r="M5" i="11"/>
  <c r="K34" i="19"/>
  <c r="L5" i="19"/>
  <c r="K4" i="19"/>
  <c r="K3" i="19" s="1"/>
  <c r="L34" i="16"/>
  <c r="M5" i="16"/>
  <c r="L4" i="16"/>
  <c r="L3" i="16" s="1"/>
  <c r="E9" i="28"/>
  <c r="F9" i="28" s="1"/>
  <c r="D36" i="18"/>
  <c r="D45" i="18" s="1"/>
  <c r="E36" i="18" s="1"/>
  <c r="E45" i="18" s="1"/>
  <c r="F36" i="18" s="1"/>
  <c r="F45" i="18" s="1"/>
  <c r="G36" i="18" s="1"/>
  <c r="G45" i="18" s="1"/>
  <c r="H36" i="18" s="1"/>
  <c r="H45" i="18" s="1"/>
  <c r="I36" i="18" s="1"/>
  <c r="I45" i="18" s="1"/>
  <c r="J36" i="18" s="1"/>
  <c r="J45" i="18" s="1"/>
  <c r="K36" i="18" s="1"/>
  <c r="K45" i="18" s="1"/>
  <c r="L36" i="18" s="1"/>
  <c r="L45" i="18" s="1"/>
  <c r="M36" i="18" s="1"/>
  <c r="M45" i="18" s="1"/>
  <c r="N36" i="18" s="1"/>
  <c r="N45" i="18" s="1"/>
  <c r="O36" i="18" s="1"/>
  <c r="O45" i="18" s="1"/>
  <c r="P36" i="18" s="1"/>
  <c r="P45" i="18" s="1"/>
  <c r="Q36" i="18" s="1"/>
  <c r="Q45" i="18" s="1"/>
  <c r="R36" i="18" s="1"/>
  <c r="R45" i="18" s="1"/>
  <c r="S36" i="18" s="1"/>
  <c r="S45" i="18" s="1"/>
  <c r="T36" i="18" s="1"/>
  <c r="T45" i="18" s="1"/>
  <c r="U36" i="18" s="1"/>
  <c r="U45" i="18" s="1"/>
  <c r="V36" i="18" s="1"/>
  <c r="V45" i="18" s="1"/>
  <c r="W36" i="18" s="1"/>
  <c r="W45" i="18" s="1"/>
  <c r="X36" i="18" s="1"/>
  <c r="X45" i="18" s="1"/>
  <c r="Y36" i="18" s="1"/>
  <c r="Y45" i="18" s="1"/>
  <c r="Z36" i="18" s="1"/>
  <c r="Z45" i="18" s="1"/>
  <c r="AA36" i="18" s="1"/>
  <c r="AA45" i="18" s="1"/>
  <c r="AB36" i="18" s="1"/>
  <c r="AB45" i="18" s="1"/>
  <c r="AC36" i="18" s="1"/>
  <c r="AC45" i="18" s="1"/>
  <c r="AD36" i="18" s="1"/>
  <c r="AD45" i="18" s="1"/>
  <c r="AE36" i="18" s="1"/>
  <c r="AE45" i="18" s="1"/>
  <c r="AF36" i="18" s="1"/>
  <c r="AF45" i="18" s="1"/>
  <c r="AH45" i="17"/>
  <c r="M4" i="3"/>
  <c r="L3" i="3"/>
  <c r="L2" i="3" s="1"/>
  <c r="AE4" i="37" l="1"/>
  <c r="AE3" i="37" s="1"/>
  <c r="AF5" i="37"/>
  <c r="S4" i="26"/>
  <c r="S3" i="26" s="1"/>
  <c r="T5" i="26"/>
  <c r="L4" i="10"/>
  <c r="L3" i="10" s="1"/>
  <c r="M5" i="10"/>
  <c r="L28" i="10"/>
  <c r="N4" i="3"/>
  <c r="M3" i="3"/>
  <c r="M2" i="3" s="1"/>
  <c r="L4" i="19"/>
  <c r="L3" i="19" s="1"/>
  <c r="L34" i="19"/>
  <c r="M5" i="19"/>
  <c r="N4" i="30"/>
  <c r="N3" i="30" s="1"/>
  <c r="N33" i="30"/>
  <c r="O5" i="30"/>
  <c r="L4" i="12"/>
  <c r="L3" i="12" s="1"/>
  <c r="L30" i="12"/>
  <c r="M5" i="12"/>
  <c r="L34" i="17"/>
  <c r="L4" i="17"/>
  <c r="L3" i="17" s="1"/>
  <c r="M5" i="17"/>
  <c r="M4" i="18"/>
  <c r="M3" i="18" s="1"/>
  <c r="N5" i="18"/>
  <c r="M34" i="18"/>
  <c r="N5" i="16"/>
  <c r="M4" i="16"/>
  <c r="M3" i="16" s="1"/>
  <c r="M34" i="16"/>
  <c r="N5" i="14"/>
  <c r="M34" i="14"/>
  <c r="M4" i="14"/>
  <c r="M3" i="14" s="1"/>
  <c r="L34" i="20"/>
  <c r="M5" i="20"/>
  <c r="L4" i="20"/>
  <c r="L3" i="20" s="1"/>
  <c r="L34" i="15"/>
  <c r="L4" i="15"/>
  <c r="L3" i="15" s="1"/>
  <c r="M5" i="15"/>
  <c r="N28" i="8"/>
  <c r="N3" i="8"/>
  <c r="N2" i="8" s="1"/>
  <c r="O4" i="8"/>
  <c r="L34" i="21"/>
  <c r="M5" i="21"/>
  <c r="L4" i="21"/>
  <c r="L3" i="21" s="1"/>
  <c r="AG36" i="18"/>
  <c r="AG45" i="18" s="1"/>
  <c r="AI36" i="18" s="1"/>
  <c r="AH36" i="18"/>
  <c r="AH45" i="18" s="1"/>
  <c r="M29" i="11"/>
  <c r="N5" i="11"/>
  <c r="M4" i="11"/>
  <c r="M3" i="11" s="1"/>
  <c r="T5" i="24"/>
  <c r="S4" i="24"/>
  <c r="S3" i="24" s="1"/>
  <c r="T5" i="23"/>
  <c r="S4" i="23"/>
  <c r="S3" i="23" s="1"/>
  <c r="N2" i="2"/>
  <c r="N1" i="2" s="1"/>
  <c r="O3" i="2"/>
  <c r="P4" i="7"/>
  <c r="O3" i="7"/>
  <c r="O2" i="7" s="1"/>
  <c r="M4" i="22"/>
  <c r="M3" i="22" s="1"/>
  <c r="M34" i="22"/>
  <c r="N5" i="22"/>
  <c r="L4" i="13"/>
  <c r="L3" i="13" s="1"/>
  <c r="L32" i="13"/>
  <c r="M5" i="13"/>
  <c r="M29" i="9"/>
  <c r="M4" i="9"/>
  <c r="M3" i="9" s="1"/>
  <c r="N5" i="9"/>
  <c r="AG5" i="37" l="1"/>
  <c r="AF4" i="37"/>
  <c r="AF3" i="37" s="1"/>
  <c r="M28" i="10"/>
  <c r="N5" i="10"/>
  <c r="M4" i="10"/>
  <c r="M3" i="10" s="1"/>
  <c r="U5" i="26"/>
  <c r="T4" i="26"/>
  <c r="T3" i="26" s="1"/>
  <c r="Q4" i="7"/>
  <c r="P3" i="7"/>
  <c r="P2" i="7" s="1"/>
  <c r="N29" i="11"/>
  <c r="O5" i="11"/>
  <c r="N4" i="11"/>
  <c r="N3" i="11" s="1"/>
  <c r="O5" i="18"/>
  <c r="N34" i="18"/>
  <c r="N4" i="18"/>
  <c r="N3" i="18" s="1"/>
  <c r="O33" i="30"/>
  <c r="P5" i="30"/>
  <c r="O4" i="30"/>
  <c r="O3" i="30" s="1"/>
  <c r="N5" i="13"/>
  <c r="M4" i="13"/>
  <c r="M3" i="13" s="1"/>
  <c r="M32" i="13"/>
  <c r="O2" i="2"/>
  <c r="O1" i="2" s="1"/>
  <c r="P3" i="2"/>
  <c r="N5" i="15"/>
  <c r="M34" i="15"/>
  <c r="M4" i="15"/>
  <c r="M3" i="15" s="1"/>
  <c r="N5" i="20"/>
  <c r="M4" i="20"/>
  <c r="M3" i="20" s="1"/>
  <c r="M34" i="20"/>
  <c r="M30" i="12"/>
  <c r="N5" i="12"/>
  <c r="M4" i="12"/>
  <c r="M3" i="12" s="1"/>
  <c r="N34" i="22"/>
  <c r="N4" i="22"/>
  <c r="N3" i="22" s="1"/>
  <c r="O5" i="22"/>
  <c r="U5" i="23"/>
  <c r="T4" i="23"/>
  <c r="T3" i="23" s="1"/>
  <c r="M4" i="21"/>
  <c r="M3" i="21" s="1"/>
  <c r="N5" i="21"/>
  <c r="M34" i="21"/>
  <c r="O5" i="9"/>
  <c r="N4" i="9"/>
  <c r="N3" i="9" s="1"/>
  <c r="N29" i="9"/>
  <c r="U5" i="24"/>
  <c r="T4" i="24"/>
  <c r="T3" i="24" s="1"/>
  <c r="P4" i="8"/>
  <c r="O28" i="8"/>
  <c r="O3" i="8"/>
  <c r="O2" i="8" s="1"/>
  <c r="N4" i="16"/>
  <c r="N3" i="16" s="1"/>
  <c r="N34" i="16"/>
  <c r="O5" i="16"/>
  <c r="N5" i="17"/>
  <c r="M34" i="17"/>
  <c r="M4" i="17"/>
  <c r="M3" i="17" s="1"/>
  <c r="E10" i="28"/>
  <c r="F10" i="28" s="1"/>
  <c r="AI45" i="18"/>
  <c r="D36" i="19"/>
  <c r="D45" i="19" s="1"/>
  <c r="E36" i="19" s="1"/>
  <c r="E45" i="19" s="1"/>
  <c r="F36" i="19" s="1"/>
  <c r="F45" i="19" s="1"/>
  <c r="G36" i="19" s="1"/>
  <c r="G45" i="19" s="1"/>
  <c r="H36" i="19" s="1"/>
  <c r="H45" i="19" s="1"/>
  <c r="I36" i="19" s="1"/>
  <c r="I45" i="19" s="1"/>
  <c r="J36" i="19" s="1"/>
  <c r="J45" i="19" s="1"/>
  <c r="K36" i="19" s="1"/>
  <c r="K45" i="19" s="1"/>
  <c r="L36" i="19" s="1"/>
  <c r="L45" i="19" s="1"/>
  <c r="M36" i="19" s="1"/>
  <c r="M45" i="19" s="1"/>
  <c r="N36" i="19" s="1"/>
  <c r="N45" i="19" s="1"/>
  <c r="O36" i="19" s="1"/>
  <c r="O45" i="19" s="1"/>
  <c r="P36" i="19" s="1"/>
  <c r="P45" i="19" s="1"/>
  <c r="Q36" i="19" s="1"/>
  <c r="Q45" i="19" s="1"/>
  <c r="R36" i="19" s="1"/>
  <c r="R45" i="19" s="1"/>
  <c r="S36" i="19" s="1"/>
  <c r="S45" i="19" s="1"/>
  <c r="T36" i="19" s="1"/>
  <c r="T45" i="19" s="1"/>
  <c r="U36" i="19" s="1"/>
  <c r="U45" i="19" s="1"/>
  <c r="V36" i="19" s="1"/>
  <c r="V45" i="19" s="1"/>
  <c r="W36" i="19" s="1"/>
  <c r="W45" i="19" s="1"/>
  <c r="X36" i="19" s="1"/>
  <c r="X45" i="19" s="1"/>
  <c r="Y36" i="19" s="1"/>
  <c r="Y45" i="19" s="1"/>
  <c r="Z36" i="19" s="1"/>
  <c r="Z45" i="19" s="1"/>
  <c r="AA36" i="19" s="1"/>
  <c r="AA45" i="19" s="1"/>
  <c r="AB36" i="19" s="1"/>
  <c r="AB45" i="19" s="1"/>
  <c r="AC36" i="19" s="1"/>
  <c r="AC45" i="19" s="1"/>
  <c r="AD36" i="19" s="1"/>
  <c r="AD45" i="19" s="1"/>
  <c r="AE36" i="19" s="1"/>
  <c r="AE45" i="19" s="1"/>
  <c r="AF36" i="19" s="1"/>
  <c r="AF45" i="19" s="1"/>
  <c r="N34" i="14"/>
  <c r="N4" i="14"/>
  <c r="N3" i="14" s="1"/>
  <c r="O5" i="14"/>
  <c r="M34" i="19"/>
  <c r="N5" i="19"/>
  <c r="M4" i="19"/>
  <c r="M3" i="19" s="1"/>
  <c r="O4" i="3"/>
  <c r="N3" i="3"/>
  <c r="N2" i="3" s="1"/>
  <c r="AG4" i="37" l="1"/>
  <c r="AG3" i="37" s="1"/>
  <c r="AH5" i="37"/>
  <c r="U4" i="26"/>
  <c r="U3" i="26" s="1"/>
  <c r="V5" i="26"/>
  <c r="N28" i="10"/>
  <c r="N4" i="10"/>
  <c r="N3" i="10" s="1"/>
  <c r="O5" i="10"/>
  <c r="P5" i="16"/>
  <c r="O34" i="16"/>
  <c r="O4" i="16"/>
  <c r="O3" i="16" s="1"/>
  <c r="O5" i="19"/>
  <c r="N34" i="19"/>
  <c r="N4" i="19"/>
  <c r="N3" i="19" s="1"/>
  <c r="AH36" i="19"/>
  <c r="AG36" i="19"/>
  <c r="AG45" i="19" s="1"/>
  <c r="U4" i="24"/>
  <c r="U3" i="24" s="1"/>
  <c r="V5" i="24"/>
  <c r="U4" i="23"/>
  <c r="U3" i="23" s="1"/>
  <c r="V5" i="23"/>
  <c r="N4" i="15"/>
  <c r="N3" i="15" s="1"/>
  <c r="N34" i="15"/>
  <c r="O5" i="15"/>
  <c r="P28" i="8"/>
  <c r="Q4" i="8"/>
  <c r="P3" i="8"/>
  <c r="P2" i="8" s="1"/>
  <c r="O29" i="9"/>
  <c r="P5" i="9"/>
  <c r="O4" i="9"/>
  <c r="O3" i="9" s="1"/>
  <c r="Q5" i="30"/>
  <c r="P4" i="30"/>
  <c r="P3" i="30" s="1"/>
  <c r="P33" i="30"/>
  <c r="O34" i="18"/>
  <c r="P5" i="18"/>
  <c r="O4" i="18"/>
  <c r="O3" i="18" s="1"/>
  <c r="O4" i="11"/>
  <c r="O3" i="11" s="1"/>
  <c r="O29" i="11"/>
  <c r="P5" i="11"/>
  <c r="O3" i="3"/>
  <c r="O2" i="3" s="1"/>
  <c r="P4" i="3"/>
  <c r="O4" i="14"/>
  <c r="O3" i="14" s="1"/>
  <c r="O34" i="14"/>
  <c r="P5" i="14"/>
  <c r="N4" i="17"/>
  <c r="N3" i="17" s="1"/>
  <c r="O5" i="17"/>
  <c r="N34" i="17"/>
  <c r="N34" i="21"/>
  <c r="N4" i="21"/>
  <c r="N3" i="21" s="1"/>
  <c r="O5" i="21"/>
  <c r="P5" i="22"/>
  <c r="O34" i="22"/>
  <c r="O4" i="22"/>
  <c r="O3" i="22" s="1"/>
  <c r="N4" i="12"/>
  <c r="N3" i="12" s="1"/>
  <c r="O5" i="12"/>
  <c r="N30" i="12"/>
  <c r="N34" i="20"/>
  <c r="O5" i="20"/>
  <c r="N4" i="20"/>
  <c r="N3" i="20" s="1"/>
  <c r="Q3" i="2"/>
  <c r="P2" i="2"/>
  <c r="P1" i="2" s="1"/>
  <c r="O5" i="13"/>
  <c r="N32" i="13"/>
  <c r="N4" i="13"/>
  <c r="N3" i="13" s="1"/>
  <c r="R4" i="7"/>
  <c r="Q3" i="7"/>
  <c r="Q2" i="7" s="1"/>
  <c r="AI5" i="37" l="1"/>
  <c r="AH4" i="37"/>
  <c r="AH3" i="37" s="1"/>
  <c r="O28" i="10"/>
  <c r="O4" i="10"/>
  <c r="O3" i="10" s="1"/>
  <c r="P5" i="10"/>
  <c r="V4" i="26"/>
  <c r="V3" i="26" s="1"/>
  <c r="W5" i="26"/>
  <c r="O34" i="19"/>
  <c r="P5" i="19"/>
  <c r="O4" i="19"/>
  <c r="O3" i="19" s="1"/>
  <c r="O30" i="12"/>
  <c r="P5" i="12"/>
  <c r="O4" i="12"/>
  <c r="O3" i="12" s="1"/>
  <c r="Q5" i="22"/>
  <c r="P34" i="22"/>
  <c r="P4" i="22"/>
  <c r="P3" i="22" s="1"/>
  <c r="P4" i="11"/>
  <c r="P3" i="11" s="1"/>
  <c r="P29" i="11"/>
  <c r="Q5" i="11"/>
  <c r="P4" i="18"/>
  <c r="P3" i="18" s="1"/>
  <c r="P34" i="18"/>
  <c r="Q5" i="18"/>
  <c r="R5" i="30"/>
  <c r="Q4" i="30"/>
  <c r="Q3" i="30" s="1"/>
  <c r="Q33" i="30"/>
  <c r="V4" i="23"/>
  <c r="V3" i="23" s="1"/>
  <c r="W5" i="23"/>
  <c r="E11" i="28"/>
  <c r="F11" i="28" s="1"/>
  <c r="D36" i="20"/>
  <c r="D45" i="20" s="1"/>
  <c r="E36" i="20" s="1"/>
  <c r="E45" i="20" s="1"/>
  <c r="F36" i="20" s="1"/>
  <c r="F45" i="20" s="1"/>
  <c r="G36" i="20" s="1"/>
  <c r="G45" i="20" s="1"/>
  <c r="H36" i="20" s="1"/>
  <c r="H45" i="20" s="1"/>
  <c r="I36" i="20" s="1"/>
  <c r="I45" i="20" s="1"/>
  <c r="J36" i="20" s="1"/>
  <c r="J45" i="20" s="1"/>
  <c r="K36" i="20" s="1"/>
  <c r="K45" i="20" s="1"/>
  <c r="L36" i="20" s="1"/>
  <c r="L45" i="20" s="1"/>
  <c r="M36" i="20" s="1"/>
  <c r="M45" i="20" s="1"/>
  <c r="N36" i="20" s="1"/>
  <c r="N45" i="20" s="1"/>
  <c r="O36" i="20" s="1"/>
  <c r="O45" i="20" s="1"/>
  <c r="P36" i="20" s="1"/>
  <c r="P45" i="20" s="1"/>
  <c r="Q36" i="20" s="1"/>
  <c r="Q45" i="20" s="1"/>
  <c r="R36" i="20" s="1"/>
  <c r="R45" i="20" s="1"/>
  <c r="S36" i="20" s="1"/>
  <c r="S45" i="20" s="1"/>
  <c r="T36" i="20" s="1"/>
  <c r="T45" i="20" s="1"/>
  <c r="U36" i="20" s="1"/>
  <c r="U45" i="20" s="1"/>
  <c r="V36" i="20" s="1"/>
  <c r="V45" i="20" s="1"/>
  <c r="W36" i="20" s="1"/>
  <c r="W45" i="20" s="1"/>
  <c r="X36" i="20" s="1"/>
  <c r="X45" i="20" s="1"/>
  <c r="Y36" i="20" s="1"/>
  <c r="Y45" i="20" s="1"/>
  <c r="Z36" i="20" s="1"/>
  <c r="Z45" i="20" s="1"/>
  <c r="AA36" i="20" s="1"/>
  <c r="AA45" i="20" s="1"/>
  <c r="AB36" i="20" s="1"/>
  <c r="AB45" i="20" s="1"/>
  <c r="AC36" i="20" s="1"/>
  <c r="AC45" i="20" s="1"/>
  <c r="AD36" i="20" s="1"/>
  <c r="AD45" i="20" s="1"/>
  <c r="AE36" i="20" s="1"/>
  <c r="AE45" i="20" s="1"/>
  <c r="AF36" i="20" s="1"/>
  <c r="AF45" i="20" s="1"/>
  <c r="AH45" i="19"/>
  <c r="Q2" i="2"/>
  <c r="Q1" i="2" s="1"/>
  <c r="R3" i="2"/>
  <c r="Q5" i="14"/>
  <c r="P4" i="14"/>
  <c r="P3" i="14" s="1"/>
  <c r="P34" i="14"/>
  <c r="P5" i="21"/>
  <c r="O4" i="21"/>
  <c r="O3" i="21" s="1"/>
  <c r="O34" i="21"/>
  <c r="O34" i="17"/>
  <c r="O4" i="17"/>
  <c r="O3" i="17" s="1"/>
  <c r="P5" i="17"/>
  <c r="Q28" i="8"/>
  <c r="Q3" i="8"/>
  <c r="Q2" i="8" s="1"/>
  <c r="R4" i="8"/>
  <c r="P5" i="15"/>
  <c r="O4" i="15"/>
  <c r="O3" i="15" s="1"/>
  <c r="O34" i="15"/>
  <c r="O32" i="13"/>
  <c r="O4" i="13"/>
  <c r="O3" i="13" s="1"/>
  <c r="P5" i="13"/>
  <c r="O4" i="20"/>
  <c r="O3" i="20" s="1"/>
  <c r="O34" i="20"/>
  <c r="P5" i="20"/>
  <c r="S4" i="7"/>
  <c r="R3" i="7"/>
  <c r="R2" i="7" s="1"/>
  <c r="Q4" i="3"/>
  <c r="P3" i="3"/>
  <c r="P2" i="3" s="1"/>
  <c r="P4" i="9"/>
  <c r="P3" i="9" s="1"/>
  <c r="Q5" i="9"/>
  <c r="P29" i="9"/>
  <c r="W5" i="24"/>
  <c r="V4" i="24"/>
  <c r="V3" i="24" s="1"/>
  <c r="P34" i="16"/>
  <c r="Q5" i="16"/>
  <c r="P4" i="16"/>
  <c r="P3" i="16" s="1"/>
  <c r="AJ5" i="37" l="1"/>
  <c r="AI4" i="37"/>
  <c r="AI3" i="37" s="1"/>
  <c r="Q5" i="10"/>
  <c r="P28" i="10"/>
  <c r="P4" i="10"/>
  <c r="P3" i="10" s="1"/>
  <c r="W4" i="26"/>
  <c r="W3" i="26" s="1"/>
  <c r="X5" i="26"/>
  <c r="AH36" i="20"/>
  <c r="AH45" i="20" s="1"/>
  <c r="AG36" i="20"/>
  <c r="AG45" i="20" s="1"/>
  <c r="AI36" i="20" s="1"/>
  <c r="R4" i="30"/>
  <c r="R3" i="30" s="1"/>
  <c r="R33" i="30"/>
  <c r="S5" i="30"/>
  <c r="Q4" i="11"/>
  <c r="Q3" i="11" s="1"/>
  <c r="Q29" i="11"/>
  <c r="R5" i="11"/>
  <c r="R4" i="3"/>
  <c r="Q3" i="3"/>
  <c r="Q2" i="3" s="1"/>
  <c r="R28" i="8"/>
  <c r="R3" i="8"/>
  <c r="R2" i="8" s="1"/>
  <c r="S4" i="8"/>
  <c r="P34" i="21"/>
  <c r="Q5" i="21"/>
  <c r="P4" i="21"/>
  <c r="P3" i="21" s="1"/>
  <c r="R2" i="2"/>
  <c r="R1" i="2" s="1"/>
  <c r="S3" i="2"/>
  <c r="Q34" i="18"/>
  <c r="R5" i="18"/>
  <c r="Q4" i="18"/>
  <c r="Q3" i="18" s="1"/>
  <c r="Q4" i="22"/>
  <c r="Q3" i="22" s="1"/>
  <c r="Q34" i="22"/>
  <c r="R5" i="22"/>
  <c r="X5" i="24"/>
  <c r="W4" i="24"/>
  <c r="W3" i="24" s="1"/>
  <c r="P34" i="15"/>
  <c r="P4" i="15"/>
  <c r="P3" i="15" s="1"/>
  <c r="Q5" i="15"/>
  <c r="P34" i="17"/>
  <c r="Q5" i="17"/>
  <c r="P4" i="17"/>
  <c r="P3" i="17" s="1"/>
  <c r="R5" i="14"/>
  <c r="Q34" i="14"/>
  <c r="Q4" i="14"/>
  <c r="Q3" i="14" s="1"/>
  <c r="Q34" i="16"/>
  <c r="Q4" i="16"/>
  <c r="Q3" i="16" s="1"/>
  <c r="R5" i="16"/>
  <c r="Q29" i="9"/>
  <c r="Q4" i="9"/>
  <c r="Q3" i="9" s="1"/>
  <c r="R5" i="9"/>
  <c r="W4" i="23"/>
  <c r="W3" i="23" s="1"/>
  <c r="X5" i="23"/>
  <c r="P4" i="19"/>
  <c r="P3" i="19" s="1"/>
  <c r="Q5" i="19"/>
  <c r="P34" i="19"/>
  <c r="P34" i="20"/>
  <c r="Q5" i="20"/>
  <c r="P4" i="20"/>
  <c r="P3" i="20" s="1"/>
  <c r="T4" i="7"/>
  <c r="S3" i="7"/>
  <c r="S2" i="7" s="1"/>
  <c r="P4" i="13"/>
  <c r="P3" i="13" s="1"/>
  <c r="Q5" i="13"/>
  <c r="P32" i="13"/>
  <c r="P30" i="12"/>
  <c r="P4" i="12"/>
  <c r="P3" i="12" s="1"/>
  <c r="Q5" i="12"/>
  <c r="AK5" i="37" l="1"/>
  <c r="AJ4" i="37"/>
  <c r="AJ3" i="37" s="1"/>
  <c r="Y5" i="26"/>
  <c r="X4" i="26"/>
  <c r="X3" i="26" s="1"/>
  <c r="Q4" i="10"/>
  <c r="Q3" i="10" s="1"/>
  <c r="Q28" i="10"/>
  <c r="R5" i="10"/>
  <c r="S2" i="2"/>
  <c r="S1" i="2" s="1"/>
  <c r="T3" i="2"/>
  <c r="U4" i="7"/>
  <c r="T3" i="7"/>
  <c r="T2" i="7" s="1"/>
  <c r="R4" i="16"/>
  <c r="R3" i="16" s="1"/>
  <c r="R34" i="16"/>
  <c r="S5" i="16"/>
  <c r="S28" i="8"/>
  <c r="T4" i="8"/>
  <c r="S3" i="8"/>
  <c r="S2" i="8" s="1"/>
  <c r="S4" i="3"/>
  <c r="R3" i="3"/>
  <c r="R2" i="3" s="1"/>
  <c r="S33" i="30"/>
  <c r="T5" i="30"/>
  <c r="S4" i="30"/>
  <c r="S3" i="30" s="1"/>
  <c r="R5" i="20"/>
  <c r="Q34" i="20"/>
  <c r="Q4" i="20"/>
  <c r="Q3" i="20" s="1"/>
  <c r="Y5" i="23"/>
  <c r="X4" i="23"/>
  <c r="X3" i="23" s="1"/>
  <c r="R5" i="17"/>
  <c r="Q4" i="17"/>
  <c r="Q3" i="17" s="1"/>
  <c r="Q34" i="17"/>
  <c r="Q30" i="12"/>
  <c r="R5" i="12"/>
  <c r="Q4" i="12"/>
  <c r="Q3" i="12" s="1"/>
  <c r="R5" i="13"/>
  <c r="Q32" i="13"/>
  <c r="Q4" i="13"/>
  <c r="Q3" i="13" s="1"/>
  <c r="Q34" i="19"/>
  <c r="R5" i="19"/>
  <c r="Q4" i="19"/>
  <c r="Q3" i="19" s="1"/>
  <c r="S5" i="9"/>
  <c r="R4" i="9"/>
  <c r="R3" i="9" s="1"/>
  <c r="R29" i="9"/>
  <c r="R34" i="14"/>
  <c r="R4" i="14"/>
  <c r="R3" i="14" s="1"/>
  <c r="S5" i="14"/>
  <c r="R5" i="15"/>
  <c r="Q4" i="15"/>
  <c r="Q3" i="15" s="1"/>
  <c r="Q34" i="15"/>
  <c r="Y5" i="24"/>
  <c r="X4" i="24"/>
  <c r="X3" i="24" s="1"/>
  <c r="R34" i="22"/>
  <c r="R4" i="22"/>
  <c r="R3" i="22" s="1"/>
  <c r="S5" i="22"/>
  <c r="S5" i="18"/>
  <c r="R4" i="18"/>
  <c r="R3" i="18" s="1"/>
  <c r="R34" i="18"/>
  <c r="R29" i="11"/>
  <c r="S5" i="11"/>
  <c r="R4" i="11"/>
  <c r="R3" i="11" s="1"/>
  <c r="AI45" i="20"/>
  <c r="E12" i="28"/>
  <c r="F12" i="28" s="1"/>
  <c r="D36" i="21"/>
  <c r="D45" i="21" s="1"/>
  <c r="E36" i="21" s="1"/>
  <c r="E45" i="21" s="1"/>
  <c r="F36" i="21" s="1"/>
  <c r="F45" i="21" s="1"/>
  <c r="G36" i="21" s="1"/>
  <c r="G45" i="21" s="1"/>
  <c r="H36" i="21" s="1"/>
  <c r="H45" i="21" s="1"/>
  <c r="I36" i="21" s="1"/>
  <c r="I45" i="21" s="1"/>
  <c r="J36" i="21" s="1"/>
  <c r="J45" i="21" s="1"/>
  <c r="K36" i="21" s="1"/>
  <c r="K45" i="21" s="1"/>
  <c r="L36" i="21" s="1"/>
  <c r="L45" i="21" s="1"/>
  <c r="M36" i="21" s="1"/>
  <c r="M45" i="21" s="1"/>
  <c r="N36" i="21" s="1"/>
  <c r="N45" i="21" s="1"/>
  <c r="O36" i="21" s="1"/>
  <c r="O45" i="21" s="1"/>
  <c r="P36" i="21" s="1"/>
  <c r="P45" i="21" s="1"/>
  <c r="Q36" i="21" s="1"/>
  <c r="Q45" i="21" s="1"/>
  <c r="R36" i="21" s="1"/>
  <c r="R45" i="21" s="1"/>
  <c r="S36" i="21" s="1"/>
  <c r="S45" i="21" s="1"/>
  <c r="T36" i="21" s="1"/>
  <c r="T45" i="21" s="1"/>
  <c r="U36" i="21" s="1"/>
  <c r="U45" i="21" s="1"/>
  <c r="V36" i="21" s="1"/>
  <c r="V45" i="21" s="1"/>
  <c r="W36" i="21" s="1"/>
  <c r="W45" i="21" s="1"/>
  <c r="X36" i="21" s="1"/>
  <c r="X45" i="21" s="1"/>
  <c r="Y36" i="21" s="1"/>
  <c r="Y45" i="21" s="1"/>
  <c r="Z36" i="21" s="1"/>
  <c r="Z45" i="21" s="1"/>
  <c r="AA36" i="21" s="1"/>
  <c r="AA45" i="21" s="1"/>
  <c r="AB36" i="21" s="1"/>
  <c r="AB45" i="21" s="1"/>
  <c r="AC36" i="21" s="1"/>
  <c r="AC45" i="21" s="1"/>
  <c r="AD36" i="21" s="1"/>
  <c r="AD45" i="21" s="1"/>
  <c r="AE36" i="21" s="1"/>
  <c r="AE45" i="21" s="1"/>
  <c r="AF36" i="21" s="1"/>
  <c r="AF45" i="21" s="1"/>
  <c r="Q4" i="21"/>
  <c r="Q3" i="21" s="1"/>
  <c r="R5" i="21"/>
  <c r="Q34" i="21"/>
  <c r="AL5" i="37" l="1"/>
  <c r="AL4" i="37" s="1"/>
  <c r="AL3" i="37" s="1"/>
  <c r="AK4" i="37"/>
  <c r="AK3" i="37" s="1"/>
  <c r="S5" i="10"/>
  <c r="R28" i="10"/>
  <c r="R4" i="10"/>
  <c r="R3" i="10" s="1"/>
  <c r="Z5" i="26"/>
  <c r="Y4" i="26"/>
  <c r="Y3" i="26" s="1"/>
  <c r="AH36" i="21"/>
  <c r="AH45" i="21" s="1"/>
  <c r="AG36" i="21"/>
  <c r="AG45" i="21" s="1"/>
  <c r="AI36" i="21" s="1"/>
  <c r="S4" i="11"/>
  <c r="S3" i="11" s="1"/>
  <c r="S29" i="11"/>
  <c r="T5" i="11"/>
  <c r="S34" i="18"/>
  <c r="S4" i="18"/>
  <c r="S3" i="18" s="1"/>
  <c r="T5" i="18"/>
  <c r="R4" i="15"/>
  <c r="R3" i="15" s="1"/>
  <c r="R34" i="15"/>
  <c r="S5" i="15"/>
  <c r="R4" i="19"/>
  <c r="R3" i="19" s="1"/>
  <c r="S5" i="19"/>
  <c r="R34" i="19"/>
  <c r="S4" i="22"/>
  <c r="S3" i="22" s="1"/>
  <c r="T5" i="22"/>
  <c r="S34" i="22"/>
  <c r="Z5" i="24"/>
  <c r="Y4" i="24"/>
  <c r="Y3" i="24" s="1"/>
  <c r="S4" i="14"/>
  <c r="S3" i="14" s="1"/>
  <c r="T5" i="14"/>
  <c r="S34" i="14"/>
  <c r="S34" i="16"/>
  <c r="S4" i="16"/>
  <c r="S3" i="16" s="1"/>
  <c r="T5" i="16"/>
  <c r="V4" i="7"/>
  <c r="U3" i="7"/>
  <c r="U2" i="7" s="1"/>
  <c r="S5" i="13"/>
  <c r="R32" i="13"/>
  <c r="R4" i="13"/>
  <c r="R3" i="13" s="1"/>
  <c r="Z5" i="23"/>
  <c r="Y4" i="23"/>
  <c r="Y3" i="23" s="1"/>
  <c r="T28" i="8"/>
  <c r="U4" i="8"/>
  <c r="T3" i="8"/>
  <c r="T2" i="8" s="1"/>
  <c r="S5" i="21"/>
  <c r="R34" i="21"/>
  <c r="R4" i="21"/>
  <c r="R3" i="21" s="1"/>
  <c r="S29" i="9"/>
  <c r="S4" i="9"/>
  <c r="S3" i="9" s="1"/>
  <c r="T5" i="9"/>
  <c r="R4" i="12"/>
  <c r="R3" i="12" s="1"/>
  <c r="R30" i="12"/>
  <c r="S5" i="12"/>
  <c r="R4" i="17"/>
  <c r="R3" i="17" s="1"/>
  <c r="R34" i="17"/>
  <c r="S5" i="17"/>
  <c r="S3" i="3"/>
  <c r="S2" i="3" s="1"/>
  <c r="T4" i="3"/>
  <c r="U3" i="2"/>
  <c r="T2" i="2"/>
  <c r="T1" i="2" s="1"/>
  <c r="R4" i="20"/>
  <c r="R3" i="20" s="1"/>
  <c r="R34" i="20"/>
  <c r="S5" i="20"/>
  <c r="U5" i="30"/>
  <c r="T4" i="30"/>
  <c r="T3" i="30" s="1"/>
  <c r="T33" i="30"/>
  <c r="Z4" i="26" l="1"/>
  <c r="Z3" i="26" s="1"/>
  <c r="AA5" i="26"/>
  <c r="T5" i="10"/>
  <c r="S28" i="10"/>
  <c r="S4" i="10"/>
  <c r="S3" i="10" s="1"/>
  <c r="T5" i="15"/>
  <c r="S34" i="15"/>
  <c r="S4" i="15"/>
  <c r="S3" i="15" s="1"/>
  <c r="T4" i="9"/>
  <c r="T3" i="9" s="1"/>
  <c r="U5" i="9"/>
  <c r="T29" i="9"/>
  <c r="S32" i="13"/>
  <c r="S4" i="13"/>
  <c r="S3" i="13" s="1"/>
  <c r="T5" i="13"/>
  <c r="U5" i="22"/>
  <c r="T34" i="22"/>
  <c r="T4" i="22"/>
  <c r="T3" i="22" s="1"/>
  <c r="S30" i="12"/>
  <c r="T5" i="12"/>
  <c r="S4" i="12"/>
  <c r="S3" i="12" s="1"/>
  <c r="Z4" i="23"/>
  <c r="Z3" i="23" s="1"/>
  <c r="AA5" i="23"/>
  <c r="V5" i="30"/>
  <c r="U4" i="30"/>
  <c r="U3" i="30" s="1"/>
  <c r="U33" i="30"/>
  <c r="T5" i="17"/>
  <c r="S34" i="17"/>
  <c r="S4" i="17"/>
  <c r="S3" i="17" s="1"/>
  <c r="W4" i="7"/>
  <c r="V3" i="7"/>
  <c r="V2" i="7" s="1"/>
  <c r="AA5" i="24"/>
  <c r="Z4" i="24"/>
  <c r="Z3" i="24" s="1"/>
  <c r="D35" i="30"/>
  <c r="D44" i="30" s="1"/>
  <c r="E35" i="30" s="1"/>
  <c r="E44" i="30" s="1"/>
  <c r="F35" i="30" s="1"/>
  <c r="F44" i="30" s="1"/>
  <c r="G35" i="30" s="1"/>
  <c r="G44" i="30" s="1"/>
  <c r="H35" i="30" s="1"/>
  <c r="H44" i="30" s="1"/>
  <c r="I35" i="30" s="1"/>
  <c r="I44" i="30" s="1"/>
  <c r="J35" i="30" s="1"/>
  <c r="J44" i="30" s="1"/>
  <c r="K35" i="30" s="1"/>
  <c r="K44" i="30" s="1"/>
  <c r="L35" i="30" s="1"/>
  <c r="L44" i="30" s="1"/>
  <c r="M35" i="30" s="1"/>
  <c r="M44" i="30" s="1"/>
  <c r="N35" i="30" s="1"/>
  <c r="N44" i="30" s="1"/>
  <c r="O35" i="30" s="1"/>
  <c r="O44" i="30" s="1"/>
  <c r="P35" i="30" s="1"/>
  <c r="P44" i="30" s="1"/>
  <c r="Q35" i="30" s="1"/>
  <c r="Q44" i="30" s="1"/>
  <c r="R35" i="30" s="1"/>
  <c r="R44" i="30" s="1"/>
  <c r="S35" i="30" s="1"/>
  <c r="S44" i="30" s="1"/>
  <c r="T35" i="30" s="1"/>
  <c r="T44" i="30" s="1"/>
  <c r="U35" i="30" s="1"/>
  <c r="U44" i="30" s="1"/>
  <c r="V35" i="30" s="1"/>
  <c r="V44" i="30" s="1"/>
  <c r="W35" i="30" s="1"/>
  <c r="W44" i="30" s="1"/>
  <c r="X35" i="30" s="1"/>
  <c r="X44" i="30" s="1"/>
  <c r="Y35" i="30" s="1"/>
  <c r="Y44" i="30" s="1"/>
  <c r="Z35" i="30" s="1"/>
  <c r="Z44" i="30" s="1"/>
  <c r="AA35" i="30" s="1"/>
  <c r="AA44" i="30" s="1"/>
  <c r="AB35" i="30" s="1"/>
  <c r="AB44" i="30" s="1"/>
  <c r="AC35" i="30" s="1"/>
  <c r="AC44" i="30" s="1"/>
  <c r="AD35" i="30" s="1"/>
  <c r="AD44" i="30" s="1"/>
  <c r="AE35" i="30" s="1"/>
  <c r="AE44" i="30" s="1"/>
  <c r="AF35" i="30" s="1"/>
  <c r="AF44" i="30" s="1"/>
  <c r="E13" i="28"/>
  <c r="F13" i="28" s="1"/>
  <c r="F15" i="28" s="1"/>
  <c r="D36" i="22"/>
  <c r="D43" i="22" s="1"/>
  <c r="E36" i="22" s="1"/>
  <c r="E43" i="22" s="1"/>
  <c r="F36" i="22" s="1"/>
  <c r="F43" i="22" s="1"/>
  <c r="G36" i="22" s="1"/>
  <c r="G43" i="22" s="1"/>
  <c r="H36" i="22" s="1"/>
  <c r="H43" i="22" s="1"/>
  <c r="I36" i="22" s="1"/>
  <c r="I43" i="22" s="1"/>
  <c r="J36" i="22" s="1"/>
  <c r="J43" i="22" s="1"/>
  <c r="K36" i="22" s="1"/>
  <c r="K43" i="22" s="1"/>
  <c r="L36" i="22" s="1"/>
  <c r="L43" i="22" s="1"/>
  <c r="M36" i="22" s="1"/>
  <c r="M43" i="22" s="1"/>
  <c r="N36" i="22" s="1"/>
  <c r="N43" i="22" s="1"/>
  <c r="O36" i="22" s="1"/>
  <c r="O43" i="22" s="1"/>
  <c r="P36" i="22" s="1"/>
  <c r="P43" i="22" s="1"/>
  <c r="Q36" i="22" s="1"/>
  <c r="Q43" i="22" s="1"/>
  <c r="R36" i="22" s="1"/>
  <c r="R43" i="22" s="1"/>
  <c r="S36" i="22" s="1"/>
  <c r="S43" i="22" s="1"/>
  <c r="T36" i="22" s="1"/>
  <c r="T43" i="22" s="1"/>
  <c r="U36" i="22" s="1"/>
  <c r="U43" i="22" s="1"/>
  <c r="V36" i="22" s="1"/>
  <c r="V43" i="22" s="1"/>
  <c r="W36" i="22" s="1"/>
  <c r="W43" i="22" s="1"/>
  <c r="X36" i="22" s="1"/>
  <c r="X43" i="22" s="1"/>
  <c r="Y36" i="22" s="1"/>
  <c r="Y43" i="22" s="1"/>
  <c r="Z36" i="22" s="1"/>
  <c r="Z43" i="22" s="1"/>
  <c r="AA36" i="22" s="1"/>
  <c r="AA43" i="22" s="1"/>
  <c r="AB36" i="22" s="1"/>
  <c r="AB43" i="22" s="1"/>
  <c r="AC36" i="22" s="1"/>
  <c r="AC43" i="22" s="1"/>
  <c r="AD36" i="22" s="1"/>
  <c r="AD43" i="22" s="1"/>
  <c r="AE36" i="22" s="1"/>
  <c r="AE43" i="22" s="1"/>
  <c r="AF36" i="22" s="1"/>
  <c r="AF43" i="22" s="1"/>
  <c r="AI45" i="21"/>
  <c r="U4" i="3"/>
  <c r="T3" i="3"/>
  <c r="T2" i="3" s="1"/>
  <c r="T4" i="18"/>
  <c r="T3" i="18" s="1"/>
  <c r="U5" i="18"/>
  <c r="T34" i="18"/>
  <c r="T5" i="21"/>
  <c r="S34" i="21"/>
  <c r="S4" i="21"/>
  <c r="S3" i="21" s="1"/>
  <c r="S4" i="20"/>
  <c r="S3" i="20" s="1"/>
  <c r="S34" i="20"/>
  <c r="T5" i="20"/>
  <c r="U2" i="2"/>
  <c r="U1" i="2" s="1"/>
  <c r="V3" i="2"/>
  <c r="U28" i="8"/>
  <c r="V4" i="8"/>
  <c r="U3" i="8"/>
  <c r="U2" i="8" s="1"/>
  <c r="T34" i="16"/>
  <c r="U5" i="16"/>
  <c r="T4" i="16"/>
  <c r="T3" i="16" s="1"/>
  <c r="U5" i="14"/>
  <c r="T34" i="14"/>
  <c r="T4" i="14"/>
  <c r="T3" i="14" s="1"/>
  <c r="S34" i="19"/>
  <c r="T5" i="19"/>
  <c r="S4" i="19"/>
  <c r="S3" i="19" s="1"/>
  <c r="T4" i="11"/>
  <c r="T3" i="11" s="1"/>
  <c r="T29" i="11"/>
  <c r="U5" i="11"/>
  <c r="F17" i="28" l="1"/>
  <c r="F18" i="28"/>
  <c r="T28" i="10"/>
  <c r="T4" i="10"/>
  <c r="T3" i="10" s="1"/>
  <c r="U5" i="10"/>
  <c r="AB5" i="26"/>
  <c r="AA4" i="26"/>
  <c r="AA3" i="26" s="1"/>
  <c r="U29" i="11"/>
  <c r="V5" i="11"/>
  <c r="U4" i="11"/>
  <c r="U3" i="11" s="1"/>
  <c r="T4" i="19"/>
  <c r="T3" i="19" s="1"/>
  <c r="T34" i="19"/>
  <c r="U5" i="19"/>
  <c r="V5" i="14"/>
  <c r="U34" i="14"/>
  <c r="U4" i="14"/>
  <c r="U3" i="14" s="1"/>
  <c r="U4" i="18"/>
  <c r="U3" i="18" s="1"/>
  <c r="V5" i="18"/>
  <c r="U34" i="18"/>
  <c r="AH36" i="22"/>
  <c r="AG36" i="22"/>
  <c r="AG43" i="22" s="1"/>
  <c r="AB5" i="24"/>
  <c r="AA4" i="24"/>
  <c r="AA3" i="24" s="1"/>
  <c r="T34" i="17"/>
  <c r="T4" i="17"/>
  <c r="T3" i="17" s="1"/>
  <c r="U5" i="17"/>
  <c r="V28" i="8"/>
  <c r="V3" i="8"/>
  <c r="V2" i="8" s="1"/>
  <c r="W4" i="8"/>
  <c r="T34" i="20"/>
  <c r="T4" i="20"/>
  <c r="T3" i="20" s="1"/>
  <c r="U5" i="20"/>
  <c r="V5" i="16"/>
  <c r="U34" i="16"/>
  <c r="U4" i="16"/>
  <c r="U3" i="16" s="1"/>
  <c r="V4" i="30"/>
  <c r="V3" i="30" s="1"/>
  <c r="V33" i="30"/>
  <c r="AL5" i="30"/>
  <c r="W5" i="30"/>
  <c r="T30" i="12"/>
  <c r="T4" i="12"/>
  <c r="T3" i="12" s="1"/>
  <c r="U5" i="12"/>
  <c r="U4" i="22"/>
  <c r="U3" i="22" s="1"/>
  <c r="U34" i="22"/>
  <c r="V5" i="22"/>
  <c r="T34" i="21"/>
  <c r="T4" i="21"/>
  <c r="T3" i="21" s="1"/>
  <c r="U5" i="21"/>
  <c r="V2" i="2"/>
  <c r="V1" i="2" s="1"/>
  <c r="W3" i="2"/>
  <c r="V4" i="3"/>
  <c r="U3" i="3"/>
  <c r="U2" i="3" s="1"/>
  <c r="AG35" i="30"/>
  <c r="AG44" i="30" s="1"/>
  <c r="AH35" i="30"/>
  <c r="AH44" i="30" s="1"/>
  <c r="X4" i="7"/>
  <c r="W3" i="7"/>
  <c r="W2" i="7" s="1"/>
  <c r="AB5" i="23"/>
  <c r="AA4" i="23"/>
  <c r="AA3" i="23" s="1"/>
  <c r="T4" i="13"/>
  <c r="T3" i="13" s="1"/>
  <c r="T32" i="13"/>
  <c r="U5" i="13"/>
  <c r="U29" i="9"/>
  <c r="U4" i="9"/>
  <c r="U3" i="9" s="1"/>
  <c r="V5" i="9"/>
  <c r="T34" i="15"/>
  <c r="T4" i="15"/>
  <c r="T3" i="15" s="1"/>
  <c r="U5" i="15"/>
  <c r="AC5" i="26" l="1"/>
  <c r="AS11" i="26"/>
  <c r="AB4" i="26"/>
  <c r="AB3" i="26" s="1"/>
  <c r="U4" i="10"/>
  <c r="U3" i="10" s="1"/>
  <c r="U28" i="10"/>
  <c r="V5" i="10"/>
  <c r="V5" i="15"/>
  <c r="U34" i="15"/>
  <c r="U4" i="15"/>
  <c r="U3" i="15" s="1"/>
  <c r="W2" i="2"/>
  <c r="W1" i="2" s="1"/>
  <c r="X3" i="2"/>
  <c r="U30" i="12"/>
  <c r="V5" i="12"/>
  <c r="U4" i="12"/>
  <c r="U3" i="12" s="1"/>
  <c r="V5" i="17"/>
  <c r="U34" i="17"/>
  <c r="U4" i="17"/>
  <c r="U3" i="17" s="1"/>
  <c r="V5" i="13"/>
  <c r="U4" i="13"/>
  <c r="U3" i="13" s="1"/>
  <c r="U32" i="13"/>
  <c r="AC5" i="23"/>
  <c r="AB4" i="23"/>
  <c r="AB3" i="23" s="1"/>
  <c r="AS10" i="23"/>
  <c r="V34" i="22"/>
  <c r="W5" i="22"/>
  <c r="V4" i="22"/>
  <c r="V3" i="22" s="1"/>
  <c r="AL5" i="22"/>
  <c r="V4" i="16"/>
  <c r="V3" i="16" s="1"/>
  <c r="V34" i="16"/>
  <c r="W5" i="16"/>
  <c r="AM5" i="16"/>
  <c r="AM4" i="8"/>
  <c r="W28" i="8"/>
  <c r="W3" i="8"/>
  <c r="W2" i="8" s="1"/>
  <c r="X4" i="8"/>
  <c r="J33" i="23"/>
  <c r="J40" i="23" s="1"/>
  <c r="K33" i="23" s="1"/>
  <c r="K40" i="23" s="1"/>
  <c r="L33" i="23" s="1"/>
  <c r="L40" i="23" s="1"/>
  <c r="M33" i="23" s="1"/>
  <c r="M40" i="23" s="1"/>
  <c r="N33" i="23" s="1"/>
  <c r="N40" i="23" s="1"/>
  <c r="O33" i="23" s="1"/>
  <c r="O40" i="23" s="1"/>
  <c r="P33" i="23" s="1"/>
  <c r="P40" i="23" s="1"/>
  <c r="Q33" i="23" s="1"/>
  <c r="Q40" i="23" s="1"/>
  <c r="R33" i="23" s="1"/>
  <c r="R40" i="23" s="1"/>
  <c r="S33" i="23" s="1"/>
  <c r="S40" i="23" s="1"/>
  <c r="T33" i="23" s="1"/>
  <c r="T40" i="23" s="1"/>
  <c r="U33" i="23" s="1"/>
  <c r="U40" i="23" s="1"/>
  <c r="V33" i="23" s="1"/>
  <c r="V40" i="23" s="1"/>
  <c r="W33" i="23" s="1"/>
  <c r="W40" i="23" s="1"/>
  <c r="X33" i="23" s="1"/>
  <c r="X40" i="23" s="1"/>
  <c r="Y33" i="23" s="1"/>
  <c r="Y40" i="23" s="1"/>
  <c r="Z33" i="23" s="1"/>
  <c r="Z40" i="23" s="1"/>
  <c r="AA33" i="23" s="1"/>
  <c r="AA40" i="23" s="1"/>
  <c r="AB33" i="23" s="1"/>
  <c r="AB40" i="23" s="1"/>
  <c r="AC33" i="23" s="1"/>
  <c r="AC40" i="23" s="1"/>
  <c r="AD33" i="23" s="1"/>
  <c r="AD40" i="23" s="1"/>
  <c r="AE33" i="23" s="1"/>
  <c r="AE40" i="23" s="1"/>
  <c r="AF33" i="23" s="1"/>
  <c r="AF40" i="23" s="1"/>
  <c r="AG33" i="23" s="1"/>
  <c r="AG40" i="23" s="1"/>
  <c r="AH33" i="23" s="1"/>
  <c r="AH40" i="23" s="1"/>
  <c r="AI33" i="23" s="1"/>
  <c r="AI40" i="23" s="1"/>
  <c r="AJ33" i="23" s="1"/>
  <c r="AJ40" i="23" s="1"/>
  <c r="AK33" i="23" s="1"/>
  <c r="AK40" i="23" s="1"/>
  <c r="AL33" i="23" s="1"/>
  <c r="AL40" i="23" s="1"/>
  <c r="AH43" i="22"/>
  <c r="W5" i="18"/>
  <c r="V34" i="18"/>
  <c r="AM5" i="18"/>
  <c r="V4" i="18"/>
  <c r="V3" i="18" s="1"/>
  <c r="V34" i="14"/>
  <c r="V4" i="14"/>
  <c r="V3" i="14" s="1"/>
  <c r="W5" i="14"/>
  <c r="AM5" i="14"/>
  <c r="W5" i="9"/>
  <c r="V4" i="9"/>
  <c r="V3" i="9" s="1"/>
  <c r="V29" i="9"/>
  <c r="AN5" i="9"/>
  <c r="U4" i="21"/>
  <c r="U3" i="21" s="1"/>
  <c r="V5" i="21"/>
  <c r="U34" i="21"/>
  <c r="V5" i="20"/>
  <c r="U4" i="20"/>
  <c r="U3" i="20" s="1"/>
  <c r="U34" i="20"/>
  <c r="U34" i="19"/>
  <c r="V5" i="19"/>
  <c r="U4" i="19"/>
  <c r="U3" i="19" s="1"/>
  <c r="V29" i="11"/>
  <c r="W5" i="11"/>
  <c r="V4" i="11"/>
  <c r="V3" i="11" s="1"/>
  <c r="AM5" i="11"/>
  <c r="Y4" i="7"/>
  <c r="X3" i="7"/>
  <c r="X2" i="7" s="1"/>
  <c r="W4" i="3"/>
  <c r="V3" i="3"/>
  <c r="V2" i="3" s="1"/>
  <c r="W33" i="30"/>
  <c r="X5" i="30"/>
  <c r="W4" i="30"/>
  <c r="W3" i="30" s="1"/>
  <c r="AC5" i="24"/>
  <c r="AB4" i="24"/>
  <c r="AB3" i="24" s="1"/>
  <c r="AR11" i="24"/>
  <c r="V4" i="10" l="1"/>
  <c r="V3" i="10" s="1"/>
  <c r="AL5" i="10"/>
  <c r="W5" i="10"/>
  <c r="V28" i="10"/>
  <c r="AD5" i="26"/>
  <c r="AC4" i="26"/>
  <c r="AC3" i="26" s="1"/>
  <c r="W34" i="16"/>
  <c r="W4" i="16"/>
  <c r="W3" i="16" s="1"/>
  <c r="X5" i="16"/>
  <c r="AC4" i="24"/>
  <c r="AC3" i="24" s="1"/>
  <c r="AD5" i="24"/>
  <c r="W29" i="9"/>
  <c r="X5" i="9"/>
  <c r="W4" i="9"/>
  <c r="W3" i="9" s="1"/>
  <c r="W34" i="18"/>
  <c r="W4" i="18"/>
  <c r="W3" i="18" s="1"/>
  <c r="X5" i="18"/>
  <c r="W34" i="22"/>
  <c r="W4" i="22"/>
  <c r="W3" i="22" s="1"/>
  <c r="X5" i="22"/>
  <c r="AC4" i="23"/>
  <c r="AC3" i="23" s="1"/>
  <c r="AD5" i="23"/>
  <c r="V4" i="12"/>
  <c r="V3" i="12" s="1"/>
  <c r="W5" i="12"/>
  <c r="V30" i="12"/>
  <c r="AL5" i="12"/>
  <c r="AM5" i="21"/>
  <c r="W5" i="21"/>
  <c r="V34" i="21"/>
  <c r="V4" i="21"/>
  <c r="V3" i="21" s="1"/>
  <c r="W3" i="3"/>
  <c r="W2" i="3" s="1"/>
  <c r="X4" i="3"/>
  <c r="V4" i="19"/>
  <c r="V3" i="19" s="1"/>
  <c r="AL5" i="19"/>
  <c r="W5" i="19"/>
  <c r="V34" i="19"/>
  <c r="W5" i="20"/>
  <c r="V34" i="20"/>
  <c r="AM5" i="20"/>
  <c r="V4" i="20"/>
  <c r="V3" i="20" s="1"/>
  <c r="Z4" i="7"/>
  <c r="Y3" i="7"/>
  <c r="Y2" i="7" s="1"/>
  <c r="W5" i="13"/>
  <c r="V32" i="13"/>
  <c r="AM5" i="13"/>
  <c r="V4" i="13"/>
  <c r="V3" i="13" s="1"/>
  <c r="Y5" i="30"/>
  <c r="X4" i="30"/>
  <c r="X3" i="30" s="1"/>
  <c r="X33" i="30"/>
  <c r="W4" i="11"/>
  <c r="W3" i="11" s="1"/>
  <c r="W29" i="11"/>
  <c r="X5" i="11"/>
  <c r="W4" i="14"/>
  <c r="W3" i="14" s="1"/>
  <c r="W34" i="14"/>
  <c r="X5" i="14"/>
  <c r="AM33" i="23"/>
  <c r="AM40" i="23" s="1"/>
  <c r="AO33" i="23" s="1"/>
  <c r="AN33" i="23"/>
  <c r="AN40" i="23" s="1"/>
  <c r="X28" i="8"/>
  <c r="Y4" i="8"/>
  <c r="X3" i="8"/>
  <c r="X2" i="8" s="1"/>
  <c r="V4" i="17"/>
  <c r="V3" i="17" s="1"/>
  <c r="W5" i="17"/>
  <c r="V34" i="17"/>
  <c r="AL5" i="17"/>
  <c r="Y3" i="2"/>
  <c r="X2" i="2"/>
  <c r="X1" i="2" s="1"/>
  <c r="V4" i="15"/>
  <c r="V3" i="15" s="1"/>
  <c r="V34" i="15"/>
  <c r="AJ5" i="15"/>
  <c r="W5" i="15"/>
  <c r="W28" i="10" l="1"/>
  <c r="W4" i="10"/>
  <c r="W3" i="10" s="1"/>
  <c r="X5" i="10"/>
  <c r="AE5" i="26"/>
  <c r="AD4" i="26"/>
  <c r="AD3" i="26" s="1"/>
  <c r="W30" i="12"/>
  <c r="X5" i="12"/>
  <c r="W4" i="12"/>
  <c r="W3" i="12" s="1"/>
  <c r="W34" i="19"/>
  <c r="X5" i="19"/>
  <c r="W4" i="19"/>
  <c r="W3" i="19" s="1"/>
  <c r="AE5" i="24"/>
  <c r="AD4" i="24"/>
  <c r="AD3" i="24" s="1"/>
  <c r="X34" i="16"/>
  <c r="Y5" i="16"/>
  <c r="X4" i="16"/>
  <c r="X3" i="16" s="1"/>
  <c r="Y2" i="2"/>
  <c r="Y1" i="2" s="1"/>
  <c r="Z3" i="2"/>
  <c r="AO40" i="23"/>
  <c r="J35" i="24"/>
  <c r="J44" i="24" s="1"/>
  <c r="K35" i="24" s="1"/>
  <c r="K44" i="24" s="1"/>
  <c r="L35" i="24" s="1"/>
  <c r="L44" i="24" s="1"/>
  <c r="M35" i="24" s="1"/>
  <c r="M44" i="24" s="1"/>
  <c r="N35" i="24" s="1"/>
  <c r="N44" i="24" s="1"/>
  <c r="O35" i="24" s="1"/>
  <c r="O44" i="24" s="1"/>
  <c r="P35" i="24" s="1"/>
  <c r="P44" i="24" s="1"/>
  <c r="Q35" i="24" s="1"/>
  <c r="Q44" i="24" s="1"/>
  <c r="R35" i="24" s="1"/>
  <c r="R44" i="24" s="1"/>
  <c r="S35" i="24" s="1"/>
  <c r="S44" i="24" s="1"/>
  <c r="T35" i="24" s="1"/>
  <c r="T44" i="24" s="1"/>
  <c r="U35" i="24" s="1"/>
  <c r="U44" i="24" s="1"/>
  <c r="V35" i="24" s="1"/>
  <c r="V44" i="24" s="1"/>
  <c r="W35" i="24" s="1"/>
  <c r="W44" i="24" s="1"/>
  <c r="X35" i="24" s="1"/>
  <c r="X44" i="24" s="1"/>
  <c r="Y35" i="24" s="1"/>
  <c r="Y44" i="24" s="1"/>
  <c r="Z35" i="24" s="1"/>
  <c r="Z44" i="24" s="1"/>
  <c r="AA35" i="24" s="1"/>
  <c r="AA44" i="24" s="1"/>
  <c r="AB35" i="24" s="1"/>
  <c r="AB44" i="24" s="1"/>
  <c r="AC35" i="24" s="1"/>
  <c r="AC44" i="24" s="1"/>
  <c r="AD35" i="24" s="1"/>
  <c r="AD44" i="24" s="1"/>
  <c r="AE35" i="24" s="1"/>
  <c r="AE44" i="24" s="1"/>
  <c r="AF35" i="24" s="1"/>
  <c r="AF44" i="24" s="1"/>
  <c r="AG35" i="24" s="1"/>
  <c r="AG44" i="24" s="1"/>
  <c r="AH35" i="24" s="1"/>
  <c r="AH44" i="24" s="1"/>
  <c r="AI35" i="24" s="1"/>
  <c r="AI44" i="24" s="1"/>
  <c r="AJ35" i="24" s="1"/>
  <c r="AJ44" i="24" s="1"/>
  <c r="AK35" i="24" s="1"/>
  <c r="AK44" i="24" s="1"/>
  <c r="AL35" i="24" s="1"/>
  <c r="AL44" i="24" s="1"/>
  <c r="X4" i="11"/>
  <c r="X3" i="11" s="1"/>
  <c r="X29" i="11"/>
  <c r="Y5" i="11"/>
  <c r="Y28" i="8"/>
  <c r="Z4" i="8"/>
  <c r="Y3" i="8"/>
  <c r="Y2" i="8" s="1"/>
  <c r="Y5" i="14"/>
  <c r="X4" i="14"/>
  <c r="X3" i="14" s="1"/>
  <c r="X34" i="14"/>
  <c r="Z5" i="30"/>
  <c r="Y4" i="30"/>
  <c r="Y3" i="30" s="1"/>
  <c r="W32" i="13"/>
  <c r="W4" i="13"/>
  <c r="W3" i="13" s="1"/>
  <c r="X5" i="13"/>
  <c r="AD4" i="23"/>
  <c r="AD3" i="23" s="1"/>
  <c r="AE5" i="23"/>
  <c r="Y4" i="3"/>
  <c r="X3" i="3"/>
  <c r="X2" i="3" s="1"/>
  <c r="X5" i="21"/>
  <c r="W34" i="21"/>
  <c r="W4" i="21"/>
  <c r="W3" i="21" s="1"/>
  <c r="Y5" i="22"/>
  <c r="X34" i="22"/>
  <c r="X4" i="22"/>
  <c r="X3" i="22" s="1"/>
  <c r="X5" i="15"/>
  <c r="W4" i="15"/>
  <c r="W3" i="15" s="1"/>
  <c r="W34" i="15"/>
  <c r="W4" i="17"/>
  <c r="W3" i="17" s="1"/>
  <c r="W34" i="17"/>
  <c r="X5" i="17"/>
  <c r="AA4" i="7"/>
  <c r="Z3" i="7"/>
  <c r="Z2" i="7" s="1"/>
  <c r="W4" i="20"/>
  <c r="W3" i="20" s="1"/>
  <c r="W34" i="20"/>
  <c r="X5" i="20"/>
  <c r="X4" i="18"/>
  <c r="X3" i="18" s="1"/>
  <c r="Y5" i="18"/>
  <c r="X34" i="18"/>
  <c r="X4" i="9"/>
  <c r="X3" i="9" s="1"/>
  <c r="Y5" i="9"/>
  <c r="X29" i="9"/>
  <c r="AE4" i="26" l="1"/>
  <c r="AE3" i="26" s="1"/>
  <c r="AF5" i="26"/>
  <c r="X28" i="10"/>
  <c r="X4" i="10"/>
  <c r="X3" i="10" s="1"/>
  <c r="Y5" i="10"/>
  <c r="Y29" i="9"/>
  <c r="Y4" i="9"/>
  <c r="Y3" i="9" s="1"/>
  <c r="Z5" i="9"/>
  <c r="Y4" i="22"/>
  <c r="Y3" i="22" s="1"/>
  <c r="Z5" i="22"/>
  <c r="Z2" i="2"/>
  <c r="Z1" i="2" s="1"/>
  <c r="AA3" i="2"/>
  <c r="X34" i="20"/>
  <c r="X4" i="20"/>
  <c r="X3" i="20" s="1"/>
  <c r="Y5" i="20"/>
  <c r="AB4" i="7"/>
  <c r="AA3" i="7"/>
  <c r="AA2" i="7" s="1"/>
  <c r="Z4" i="3"/>
  <c r="Y3" i="3"/>
  <c r="Y2" i="3" s="1"/>
  <c r="Z28" i="8"/>
  <c r="Z3" i="8"/>
  <c r="Z2" i="8" s="1"/>
  <c r="AA4" i="8"/>
  <c r="X4" i="13"/>
  <c r="X3" i="13" s="1"/>
  <c r="Y5" i="13"/>
  <c r="X32" i="13"/>
  <c r="Z4" i="30"/>
  <c r="Z3" i="30" s="1"/>
  <c r="Z33" i="30"/>
  <c r="AA5" i="30"/>
  <c r="X4" i="19"/>
  <c r="X3" i="19" s="1"/>
  <c r="Y5" i="19"/>
  <c r="X34" i="19"/>
  <c r="X34" i="17"/>
  <c r="Y5" i="17"/>
  <c r="X4" i="17"/>
  <c r="X3" i="17" s="1"/>
  <c r="AE4" i="23"/>
  <c r="AE3" i="23" s="1"/>
  <c r="AF5" i="23"/>
  <c r="AM35" i="24"/>
  <c r="AM44" i="24" s="1"/>
  <c r="AN35" i="24"/>
  <c r="AF5" i="24"/>
  <c r="AE4" i="24"/>
  <c r="AE3" i="24" s="1"/>
  <c r="X30" i="12"/>
  <c r="X4" i="12"/>
  <c r="X3" i="12" s="1"/>
  <c r="Y5" i="12"/>
  <c r="Z5" i="18"/>
  <c r="Y4" i="18"/>
  <c r="Y3" i="18" s="1"/>
  <c r="X34" i="15"/>
  <c r="X4" i="15"/>
  <c r="X3" i="15" s="1"/>
  <c r="Y5" i="15"/>
  <c r="X34" i="21"/>
  <c r="Y5" i="21"/>
  <c r="X4" i="21"/>
  <c r="X3" i="21" s="1"/>
  <c r="Z5" i="14"/>
  <c r="Y34" i="14"/>
  <c r="Y4" i="14"/>
  <c r="Y3" i="14" s="1"/>
  <c r="Y4" i="11"/>
  <c r="Y3" i="11" s="1"/>
  <c r="Y29" i="11"/>
  <c r="Z5" i="11"/>
  <c r="Y34" i="16"/>
  <c r="Y4" i="16"/>
  <c r="Y3" i="16" s="1"/>
  <c r="Z5" i="16"/>
  <c r="AG5" i="26" l="1"/>
  <c r="AF4" i="26"/>
  <c r="AF3" i="26" s="1"/>
  <c r="Y28" i="10"/>
  <c r="Y4" i="10"/>
  <c r="Y3" i="10" s="1"/>
  <c r="Z5" i="10"/>
  <c r="Z4" i="16"/>
  <c r="Z3" i="16" s="1"/>
  <c r="Z34" i="16"/>
  <c r="AA5" i="16"/>
  <c r="Z34" i="14"/>
  <c r="Z4" i="14"/>
  <c r="Z3" i="14" s="1"/>
  <c r="AA5" i="14"/>
  <c r="Z5" i="15"/>
  <c r="Y34" i="15"/>
  <c r="Y4" i="15"/>
  <c r="Y3" i="15" s="1"/>
  <c r="AA5" i="18"/>
  <c r="Z34" i="18"/>
  <c r="Z4" i="18"/>
  <c r="Z3" i="18" s="1"/>
  <c r="Y30" i="12"/>
  <c r="Z5" i="12"/>
  <c r="Y4" i="12"/>
  <c r="Y3" i="12" s="1"/>
  <c r="J36" i="26"/>
  <c r="J46" i="26" s="1"/>
  <c r="K36" i="26" s="1"/>
  <c r="K46" i="26" s="1"/>
  <c r="L36" i="26" s="1"/>
  <c r="L46" i="26" s="1"/>
  <c r="M36" i="26" s="1"/>
  <c r="M46" i="26" s="1"/>
  <c r="N36" i="26" s="1"/>
  <c r="N46" i="26" s="1"/>
  <c r="O36" i="26" s="1"/>
  <c r="O46" i="26" s="1"/>
  <c r="P36" i="26" s="1"/>
  <c r="P46" i="26" s="1"/>
  <c r="Q36" i="26" s="1"/>
  <c r="Q46" i="26" s="1"/>
  <c r="R36" i="26" s="1"/>
  <c r="R46" i="26" s="1"/>
  <c r="S36" i="26" s="1"/>
  <c r="S46" i="26" s="1"/>
  <c r="T36" i="26" s="1"/>
  <c r="T46" i="26" s="1"/>
  <c r="U36" i="26" s="1"/>
  <c r="U46" i="26" s="1"/>
  <c r="V36" i="26" s="1"/>
  <c r="V46" i="26" s="1"/>
  <c r="W36" i="26" s="1"/>
  <c r="W46" i="26" s="1"/>
  <c r="X36" i="26" s="1"/>
  <c r="X46" i="26" s="1"/>
  <c r="Y36" i="26" s="1"/>
  <c r="Y46" i="26" s="1"/>
  <c r="Z36" i="26" s="1"/>
  <c r="Z46" i="26" s="1"/>
  <c r="AA36" i="26" s="1"/>
  <c r="AA46" i="26" s="1"/>
  <c r="AB36" i="26" s="1"/>
  <c r="AB46" i="26" s="1"/>
  <c r="AN44" i="24"/>
  <c r="Z5" i="19"/>
  <c r="Y4" i="19"/>
  <c r="Y3" i="19" s="1"/>
  <c r="AA28" i="8"/>
  <c r="AA3" i="8"/>
  <c r="AA2" i="8" s="1"/>
  <c r="AB4" i="8"/>
  <c r="AA4" i="3"/>
  <c r="Z3" i="3"/>
  <c r="Z2" i="3" s="1"/>
  <c r="AA5" i="22"/>
  <c r="Z34" i="22"/>
  <c r="Z4" i="22"/>
  <c r="Z3" i="22" s="1"/>
  <c r="AA5" i="9"/>
  <c r="Z4" i="9"/>
  <c r="Z3" i="9" s="1"/>
  <c r="AG5" i="24"/>
  <c r="AF4" i="24"/>
  <c r="AF3" i="24" s="1"/>
  <c r="Z5" i="20"/>
  <c r="Y4" i="20"/>
  <c r="Y3" i="20" s="1"/>
  <c r="Z5" i="17"/>
  <c r="Y4" i="17"/>
  <c r="Y3" i="17" s="1"/>
  <c r="Y4" i="21"/>
  <c r="Y3" i="21" s="1"/>
  <c r="Z5" i="21"/>
  <c r="Z29" i="11"/>
  <c r="AA5" i="11"/>
  <c r="Z4" i="11"/>
  <c r="Z3" i="11" s="1"/>
  <c r="AG5" i="23"/>
  <c r="AF4" i="23"/>
  <c r="AF3" i="23" s="1"/>
  <c r="AA33" i="30"/>
  <c r="AB5" i="30"/>
  <c r="AA4" i="30"/>
  <c r="AA3" i="30" s="1"/>
  <c r="Z5" i="13"/>
  <c r="Y32" i="13"/>
  <c r="Y4" i="13"/>
  <c r="Y3" i="13" s="1"/>
  <c r="AC4" i="7"/>
  <c r="AB3" i="7"/>
  <c r="AB2" i="7" s="1"/>
  <c r="AA2" i="2"/>
  <c r="AA1" i="2" s="1"/>
  <c r="AB3" i="2"/>
  <c r="AA5" i="10" l="1"/>
  <c r="Z28" i="10"/>
  <c r="Z4" i="10"/>
  <c r="Z3" i="10" s="1"/>
  <c r="AH5" i="26"/>
  <c r="AG4" i="26"/>
  <c r="AG3" i="26" s="1"/>
  <c r="AC3" i="2"/>
  <c r="AB2" i="2"/>
  <c r="AB1" i="2" s="1"/>
  <c r="AA5" i="13"/>
  <c r="Z32" i="13"/>
  <c r="Z4" i="13"/>
  <c r="Z3" i="13" s="1"/>
  <c r="Z4" i="17"/>
  <c r="Z3" i="17" s="1"/>
  <c r="AA5" i="17"/>
  <c r="Z34" i="17"/>
  <c r="AA34" i="22"/>
  <c r="AB5" i="22"/>
  <c r="AA4" i="22"/>
  <c r="AA3" i="22" s="1"/>
  <c r="Z4" i="15"/>
  <c r="Z3" i="15" s="1"/>
  <c r="Z34" i="15"/>
  <c r="AA5" i="15"/>
  <c r="AA34" i="16"/>
  <c r="AA4" i="16"/>
  <c r="AA3" i="16" s="1"/>
  <c r="AB5" i="16"/>
  <c r="AB33" i="30"/>
  <c r="AC5" i="30"/>
  <c r="AB4" i="30"/>
  <c r="AB3" i="30" s="1"/>
  <c r="AA4" i="11"/>
  <c r="AA3" i="11" s="1"/>
  <c r="AA29" i="11"/>
  <c r="AB5" i="11"/>
  <c r="AH5" i="24"/>
  <c r="AG4" i="24"/>
  <c r="AG3" i="24" s="1"/>
  <c r="AB28" i="8"/>
  <c r="AC4" i="8"/>
  <c r="AB3" i="8"/>
  <c r="AB2" i="8" s="1"/>
  <c r="Z34" i="19"/>
  <c r="Z4" i="19"/>
  <c r="Z3" i="19" s="1"/>
  <c r="AA5" i="19"/>
  <c r="Z4" i="12"/>
  <c r="Z3" i="12" s="1"/>
  <c r="Z30" i="12"/>
  <c r="AA5" i="12"/>
  <c r="AD4" i="7"/>
  <c r="AC3" i="7"/>
  <c r="AC2" i="7" s="1"/>
  <c r="AH5" i="23"/>
  <c r="AG4" i="23"/>
  <c r="AG3" i="23" s="1"/>
  <c r="Z34" i="21"/>
  <c r="Z4" i="21"/>
  <c r="Z3" i="21" s="1"/>
  <c r="AA5" i="21"/>
  <c r="Z34" i="20"/>
  <c r="Z4" i="20"/>
  <c r="Z3" i="20" s="1"/>
  <c r="AA5" i="20"/>
  <c r="AA4" i="9"/>
  <c r="AA3" i="9" s="1"/>
  <c r="AA29" i="9"/>
  <c r="AB5" i="9"/>
  <c r="AA34" i="18"/>
  <c r="AA4" i="18"/>
  <c r="AA3" i="18" s="1"/>
  <c r="AB5" i="18"/>
  <c r="AA4" i="14"/>
  <c r="AA3" i="14" s="1"/>
  <c r="AB5" i="14"/>
  <c r="AA34" i="14"/>
  <c r="AA3" i="3"/>
  <c r="AA2" i="3" s="1"/>
  <c r="AB4" i="3"/>
  <c r="AI5" i="26" l="1"/>
  <c r="AH4" i="26"/>
  <c r="AH3" i="26" s="1"/>
  <c r="AA28" i="10"/>
  <c r="AA4" i="10"/>
  <c r="AA3" i="10" s="1"/>
  <c r="AB5" i="10"/>
  <c r="AI5" i="24"/>
  <c r="AH4" i="24"/>
  <c r="AH3" i="24" s="1"/>
  <c r="AC5" i="14"/>
  <c r="AB34" i="14"/>
  <c r="AB4" i="14"/>
  <c r="AB3" i="14" s="1"/>
  <c r="AA4" i="20"/>
  <c r="AA3" i="20" s="1"/>
  <c r="AB5" i="20"/>
  <c r="AA34" i="20"/>
  <c r="AE4" i="7"/>
  <c r="AD3" i="7"/>
  <c r="AD2" i="7" s="1"/>
  <c r="AB5" i="19"/>
  <c r="AA4" i="19"/>
  <c r="AA3" i="19" s="1"/>
  <c r="AA34" i="19"/>
  <c r="AC28" i="8"/>
  <c r="AD4" i="8"/>
  <c r="AC3" i="8"/>
  <c r="AC2" i="8" s="1"/>
  <c r="AB4" i="11"/>
  <c r="AB3" i="11" s="1"/>
  <c r="AB29" i="11"/>
  <c r="AC5" i="11"/>
  <c r="AD5" i="30"/>
  <c r="AC4" i="30"/>
  <c r="AC3" i="30" s="1"/>
  <c r="AC33" i="30"/>
  <c r="AA34" i="17"/>
  <c r="AB5" i="17"/>
  <c r="AA4" i="17"/>
  <c r="AA3" i="17" s="1"/>
  <c r="AA32" i="13"/>
  <c r="AA4" i="13"/>
  <c r="AA3" i="13" s="1"/>
  <c r="AB5" i="13"/>
  <c r="AA30" i="12"/>
  <c r="AB5" i="12"/>
  <c r="AA4" i="12"/>
  <c r="AA3" i="12" s="1"/>
  <c r="AB5" i="15"/>
  <c r="AA34" i="15"/>
  <c r="AA4" i="15"/>
  <c r="AA3" i="15" s="1"/>
  <c r="AC5" i="22"/>
  <c r="AB4" i="22"/>
  <c r="AB3" i="22" s="1"/>
  <c r="AB34" i="22"/>
  <c r="AC4" i="3"/>
  <c r="AB3" i="3"/>
  <c r="AB2" i="3" s="1"/>
  <c r="AB29" i="9"/>
  <c r="AB4" i="9"/>
  <c r="AB3" i="9" s="1"/>
  <c r="AC5" i="9"/>
  <c r="AB34" i="18"/>
  <c r="AB4" i="18"/>
  <c r="AB3" i="18" s="1"/>
  <c r="AC5" i="18"/>
  <c r="AB5" i="21"/>
  <c r="AA34" i="21"/>
  <c r="AA4" i="21"/>
  <c r="AA3" i="21" s="1"/>
  <c r="AH4" i="23"/>
  <c r="AH3" i="23" s="1"/>
  <c r="AI5" i="23"/>
  <c r="AB34" i="16"/>
  <c r="AC5" i="16"/>
  <c r="AB4" i="16"/>
  <c r="AB3" i="16" s="1"/>
  <c r="AC2" i="2"/>
  <c r="AC1" i="2" s="1"/>
  <c r="AD3" i="2"/>
  <c r="AB4" i="10" l="1"/>
  <c r="AB3" i="10" s="1"/>
  <c r="AC5" i="10"/>
  <c r="AB28" i="10"/>
  <c r="AI4" i="26"/>
  <c r="AI3" i="26" s="1"/>
  <c r="AJ5" i="26"/>
  <c r="AB4" i="13"/>
  <c r="AB3" i="13" s="1"/>
  <c r="AB32" i="13"/>
  <c r="AC5" i="13"/>
  <c r="AB4" i="17"/>
  <c r="AB3" i="17" s="1"/>
  <c r="AB34" i="17"/>
  <c r="AC5" i="17"/>
  <c r="AD4" i="30"/>
  <c r="AD3" i="30" s="1"/>
  <c r="AD33" i="30"/>
  <c r="AE5" i="30"/>
  <c r="AJ5" i="23"/>
  <c r="AI4" i="23"/>
  <c r="AI3" i="23" s="1"/>
  <c r="AC5" i="21"/>
  <c r="AB34" i="21"/>
  <c r="AB4" i="21"/>
  <c r="AB3" i="21" s="1"/>
  <c r="AB34" i="15"/>
  <c r="AB4" i="15"/>
  <c r="AB3" i="15" s="1"/>
  <c r="AC5" i="15"/>
  <c r="AC29" i="11"/>
  <c r="AD5" i="11"/>
  <c r="AC4" i="11"/>
  <c r="AC3" i="11" s="1"/>
  <c r="AD28" i="8"/>
  <c r="AD3" i="8"/>
  <c r="AD2" i="8" s="1"/>
  <c r="AE4" i="8"/>
  <c r="AB34" i="19"/>
  <c r="AB4" i="19"/>
  <c r="AB3" i="19" s="1"/>
  <c r="AC5" i="19"/>
  <c r="AB34" i="20"/>
  <c r="AC5" i="20"/>
  <c r="AB4" i="20"/>
  <c r="AB3" i="20" s="1"/>
  <c r="AD5" i="14"/>
  <c r="AC34" i="14"/>
  <c r="AC4" i="14"/>
  <c r="AC3" i="14" s="1"/>
  <c r="AC4" i="9"/>
  <c r="AC3" i="9" s="1"/>
  <c r="AC29" i="9"/>
  <c r="AD5" i="9"/>
  <c r="AD4" i="3"/>
  <c r="AC3" i="3"/>
  <c r="AC2" i="3" s="1"/>
  <c r="AD2" i="2"/>
  <c r="AD1" i="2" s="1"/>
  <c r="AE3" i="2"/>
  <c r="AC34" i="18"/>
  <c r="AC4" i="18"/>
  <c r="AC3" i="18" s="1"/>
  <c r="AD5" i="18"/>
  <c r="AC4" i="22"/>
  <c r="AC3" i="22" s="1"/>
  <c r="AC34" i="22"/>
  <c r="AD5" i="22"/>
  <c r="AD5" i="16"/>
  <c r="AC4" i="16"/>
  <c r="AC3" i="16" s="1"/>
  <c r="AC34" i="16"/>
  <c r="AB30" i="12"/>
  <c r="AB4" i="12"/>
  <c r="AB3" i="12" s="1"/>
  <c r="AC5" i="12"/>
  <c r="AF4" i="7"/>
  <c r="AE3" i="7"/>
  <c r="AE2" i="7" s="1"/>
  <c r="AJ5" i="24"/>
  <c r="AI4" i="24"/>
  <c r="AI3" i="24" s="1"/>
  <c r="AC4" i="10" l="1"/>
  <c r="AC3" i="10" s="1"/>
  <c r="AC28" i="10"/>
  <c r="AD5" i="10"/>
  <c r="AK5" i="26"/>
  <c r="AJ4" i="26"/>
  <c r="AJ3" i="26" s="1"/>
  <c r="AC30" i="12"/>
  <c r="AD5" i="12"/>
  <c r="AC4" i="12"/>
  <c r="AC3" i="12" s="1"/>
  <c r="AK5" i="24"/>
  <c r="AJ4" i="24"/>
  <c r="AJ3" i="24" s="1"/>
  <c r="AE4" i="3"/>
  <c r="AE3" i="3" s="1"/>
  <c r="AE2" i="3" s="1"/>
  <c r="AD3" i="3"/>
  <c r="AD2" i="3" s="1"/>
  <c r="AC34" i="20"/>
  <c r="AD5" i="20"/>
  <c r="AC4" i="20"/>
  <c r="AC3" i="20" s="1"/>
  <c r="AD5" i="13"/>
  <c r="AC4" i="13"/>
  <c r="AC3" i="13" s="1"/>
  <c r="AC32" i="13"/>
  <c r="AC34" i="21"/>
  <c r="AC4" i="21"/>
  <c r="AC3" i="21" s="1"/>
  <c r="AD5" i="21"/>
  <c r="AD4" i="16"/>
  <c r="AD3" i="16" s="1"/>
  <c r="AD34" i="16"/>
  <c r="AE5" i="16"/>
  <c r="AD4" i="22"/>
  <c r="AD3" i="22" s="1"/>
  <c r="AD34" i="22"/>
  <c r="AE5" i="22"/>
  <c r="AE2" i="2"/>
  <c r="AE1" i="2" s="1"/>
  <c r="AF3" i="2"/>
  <c r="AE5" i="9"/>
  <c r="AD29" i="9"/>
  <c r="AD4" i="9"/>
  <c r="AD3" i="9" s="1"/>
  <c r="AF4" i="8"/>
  <c r="AE3" i="8"/>
  <c r="AE2" i="8" s="1"/>
  <c r="AE28" i="8"/>
  <c r="AD29" i="11"/>
  <c r="AE5" i="11"/>
  <c r="AD4" i="11"/>
  <c r="AD3" i="11" s="1"/>
  <c r="AK5" i="23"/>
  <c r="AJ4" i="23"/>
  <c r="AJ3" i="23" s="1"/>
  <c r="AC34" i="17"/>
  <c r="AD5" i="17"/>
  <c r="AC4" i="17"/>
  <c r="AC3" i="17" s="1"/>
  <c r="AG4" i="7"/>
  <c r="AF3" i="7"/>
  <c r="AF2" i="7" s="1"/>
  <c r="AE5" i="18"/>
  <c r="AD34" i="18"/>
  <c r="AD4" i="18"/>
  <c r="AD3" i="18" s="1"/>
  <c r="AD34" i="14"/>
  <c r="AD4" i="14"/>
  <c r="AD3" i="14" s="1"/>
  <c r="AE5" i="14"/>
  <c r="AD5" i="19"/>
  <c r="AC34" i="19"/>
  <c r="AC4" i="19"/>
  <c r="AC3" i="19" s="1"/>
  <c r="AD5" i="15"/>
  <c r="AC34" i="15"/>
  <c r="AC4" i="15"/>
  <c r="AC3" i="15" s="1"/>
  <c r="AE33" i="30"/>
  <c r="AF5" i="30"/>
  <c r="AE4" i="30"/>
  <c r="AE3" i="30" s="1"/>
  <c r="AL5" i="26" l="1"/>
  <c r="AK4" i="26"/>
  <c r="AK3" i="26" s="1"/>
  <c r="AE5" i="10"/>
  <c r="AD28" i="10"/>
  <c r="AD4" i="10"/>
  <c r="AD3" i="10" s="1"/>
  <c r="AK4" i="24"/>
  <c r="AK3" i="24" s="1"/>
  <c r="AL5" i="24"/>
  <c r="AH4" i="7"/>
  <c r="AG3" i="7"/>
  <c r="AG2" i="7" s="1"/>
  <c r="AF5" i="16"/>
  <c r="AE34" i="16"/>
  <c r="AE4" i="16"/>
  <c r="AE3" i="16" s="1"/>
  <c r="AE5" i="13"/>
  <c r="AD32" i="13"/>
  <c r="AD4" i="13"/>
  <c r="AD3" i="13" s="1"/>
  <c r="AD34" i="21"/>
  <c r="AD4" i="21"/>
  <c r="AD3" i="21" s="1"/>
  <c r="AE5" i="21"/>
  <c r="AD34" i="19"/>
  <c r="AD4" i="19"/>
  <c r="AD3" i="19" s="1"/>
  <c r="AE5" i="19"/>
  <c r="AE29" i="9"/>
  <c r="AF5" i="9"/>
  <c r="AE4" i="9"/>
  <c r="AE3" i="9" s="1"/>
  <c r="AF33" i="30"/>
  <c r="AG5" i="30"/>
  <c r="AF4" i="30"/>
  <c r="AF3" i="30" s="1"/>
  <c r="AD4" i="15"/>
  <c r="AD3" i="15" s="1"/>
  <c r="AD34" i="15"/>
  <c r="AE5" i="15"/>
  <c r="AE4" i="14"/>
  <c r="AE3" i="14" s="1"/>
  <c r="AE34" i="14"/>
  <c r="AF5" i="14"/>
  <c r="AK4" i="23"/>
  <c r="AK3" i="23" s="1"/>
  <c r="AL5" i="23"/>
  <c r="AE4" i="11"/>
  <c r="AE3" i="11" s="1"/>
  <c r="AE29" i="11"/>
  <c r="AF5" i="11"/>
  <c r="AF28" i="8"/>
  <c r="AG4" i="8"/>
  <c r="AF3" i="8"/>
  <c r="AF2" i="8" s="1"/>
  <c r="AG3" i="2"/>
  <c r="AF2" i="2"/>
  <c r="AF1" i="2" s="1"/>
  <c r="AE34" i="22"/>
  <c r="AF5" i="22"/>
  <c r="AE4" i="22"/>
  <c r="AE3" i="22" s="1"/>
  <c r="AD4" i="12"/>
  <c r="AD3" i="12" s="1"/>
  <c r="AE5" i="12"/>
  <c r="AD30" i="12"/>
  <c r="AF5" i="18"/>
  <c r="AE34" i="18"/>
  <c r="AE4" i="18"/>
  <c r="AE3" i="18" s="1"/>
  <c r="AD4" i="17"/>
  <c r="AD3" i="17" s="1"/>
  <c r="AD34" i="17"/>
  <c r="AE5" i="17"/>
  <c r="AE5" i="20"/>
  <c r="AD34" i="20"/>
  <c r="AD4" i="20"/>
  <c r="AD3" i="20" s="1"/>
  <c r="AE28" i="10" l="1"/>
  <c r="AE4" i="10"/>
  <c r="AE3" i="10" s="1"/>
  <c r="AF5" i="10"/>
  <c r="AL4" i="26"/>
  <c r="AL3" i="26" s="1"/>
  <c r="AM5" i="26"/>
  <c r="AE30" i="12"/>
  <c r="AF5" i="12"/>
  <c r="AE4" i="12"/>
  <c r="AE3" i="12" s="1"/>
  <c r="AG28" i="8"/>
  <c r="AG3" i="8"/>
  <c r="AG2" i="8" s="1"/>
  <c r="AH4" i="8"/>
  <c r="AE4" i="17"/>
  <c r="AE3" i="17" s="1"/>
  <c r="AE34" i="17"/>
  <c r="AF5" i="17"/>
  <c r="AL4" i="23"/>
  <c r="AL3" i="23" s="1"/>
  <c r="AM5" i="23"/>
  <c r="AF4" i="9"/>
  <c r="AF3" i="9" s="1"/>
  <c r="AG5" i="9"/>
  <c r="AM5" i="24"/>
  <c r="AL4" i="24"/>
  <c r="AL3" i="24" s="1"/>
  <c r="AE4" i="20"/>
  <c r="AE3" i="20" s="1"/>
  <c r="AE34" i="20"/>
  <c r="AF5" i="20"/>
  <c r="AF34" i="18"/>
  <c r="AF4" i="18"/>
  <c r="AF3" i="18" s="1"/>
  <c r="AG5" i="18"/>
  <c r="AG2" i="2"/>
  <c r="AG1" i="2" s="1"/>
  <c r="AH3" i="2"/>
  <c r="AF4" i="11"/>
  <c r="AF3" i="11" s="1"/>
  <c r="AF29" i="11"/>
  <c r="AG5" i="11"/>
  <c r="AF5" i="15"/>
  <c r="AE4" i="15"/>
  <c r="AE3" i="15" s="1"/>
  <c r="AE34" i="15"/>
  <c r="AH5" i="30"/>
  <c r="AG4" i="30"/>
  <c r="AG3" i="30" s="1"/>
  <c r="AG33" i="30"/>
  <c r="AF5" i="21"/>
  <c r="AE34" i="21"/>
  <c r="AE4" i="21"/>
  <c r="AE3" i="21" s="1"/>
  <c r="AF34" i="16"/>
  <c r="AG5" i="16"/>
  <c r="AF4" i="16"/>
  <c r="AF3" i="16" s="1"/>
  <c r="AG5" i="22"/>
  <c r="AF34" i="22"/>
  <c r="AF4" i="22"/>
  <c r="AF3" i="22" s="1"/>
  <c r="AG5" i="14"/>
  <c r="AF4" i="14"/>
  <c r="AF3" i="14" s="1"/>
  <c r="AF34" i="14"/>
  <c r="AF5" i="19"/>
  <c r="AE4" i="19"/>
  <c r="AE3" i="19" s="1"/>
  <c r="AE34" i="19"/>
  <c r="AE32" i="13"/>
  <c r="AE4" i="13"/>
  <c r="AE3" i="13" s="1"/>
  <c r="AF5" i="13"/>
  <c r="AI4" i="7"/>
  <c r="AH3" i="7"/>
  <c r="AH2" i="7" s="1"/>
  <c r="AF4" i="10" l="1"/>
  <c r="AF3" i="10" s="1"/>
  <c r="AG5" i="10"/>
  <c r="AF28" i="10"/>
  <c r="AN5" i="26"/>
  <c r="AM4" i="26"/>
  <c r="AM3" i="26" s="1"/>
  <c r="AG4" i="22"/>
  <c r="AG3" i="22" s="1"/>
  <c r="AG34" i="22"/>
  <c r="AH5" i="22"/>
  <c r="AF34" i="15"/>
  <c r="AF4" i="15"/>
  <c r="AF3" i="15" s="1"/>
  <c r="AH2" i="2"/>
  <c r="AH1" i="2" s="1"/>
  <c r="AI3" i="2"/>
  <c r="AI2" i="2" s="1"/>
  <c r="AI1" i="2" s="1"/>
  <c r="AM4" i="23"/>
  <c r="AM3" i="23" s="1"/>
  <c r="AN5" i="23"/>
  <c r="AJ4" i="7"/>
  <c r="AJ3" i="7" s="1"/>
  <c r="AJ2" i="7" s="1"/>
  <c r="AI3" i="7"/>
  <c r="AI2" i="7" s="1"/>
  <c r="AF4" i="13"/>
  <c r="AF3" i="13" s="1"/>
  <c r="AG5" i="13"/>
  <c r="AF32" i="13"/>
  <c r="AH5" i="14"/>
  <c r="AG34" i="14"/>
  <c r="AG4" i="14"/>
  <c r="AG3" i="14" s="1"/>
  <c r="AH4" i="30"/>
  <c r="AH3" i="30" s="1"/>
  <c r="AH33" i="30"/>
  <c r="AG4" i="11"/>
  <c r="AG3" i="11" s="1"/>
  <c r="AG29" i="11"/>
  <c r="AH5" i="11"/>
  <c r="AG5" i="20"/>
  <c r="AF4" i="20"/>
  <c r="AF3" i="20" s="1"/>
  <c r="AF34" i="20"/>
  <c r="AN5" i="24"/>
  <c r="AM4" i="24"/>
  <c r="AM3" i="24" s="1"/>
  <c r="AH28" i="8"/>
  <c r="AH3" i="8"/>
  <c r="AH2" i="8" s="1"/>
  <c r="AI4" i="8"/>
  <c r="AF30" i="12"/>
  <c r="AF4" i="12"/>
  <c r="AF3" i="12" s="1"/>
  <c r="AG5" i="12"/>
  <c r="AF34" i="19"/>
  <c r="AF4" i="19"/>
  <c r="AF3" i="19" s="1"/>
  <c r="AG5" i="19"/>
  <c r="AG34" i="16"/>
  <c r="AG4" i="16"/>
  <c r="AG3" i="16" s="1"/>
  <c r="AH5" i="16"/>
  <c r="AG5" i="21"/>
  <c r="AF34" i="21"/>
  <c r="AF4" i="21"/>
  <c r="AF3" i="21" s="1"/>
  <c r="AH5" i="18"/>
  <c r="AG4" i="18"/>
  <c r="AG3" i="18" s="1"/>
  <c r="AG34" i="18"/>
  <c r="AG29" i="9"/>
  <c r="AG4" i="9"/>
  <c r="AG3" i="9" s="1"/>
  <c r="AH5" i="9"/>
  <c r="AF34" i="17"/>
  <c r="AG5" i="17"/>
  <c r="AF4" i="17"/>
  <c r="AF3" i="17" s="1"/>
  <c r="AN4" i="24" l="1"/>
  <c r="AN3" i="24" s="1"/>
  <c r="AO5" i="26"/>
  <c r="AO4" i="26" s="1"/>
  <c r="AO3" i="26" s="1"/>
  <c r="AN4" i="26"/>
  <c r="AN3" i="26" s="1"/>
  <c r="AG4" i="10"/>
  <c r="AG3" i="10" s="1"/>
  <c r="AH5" i="10"/>
  <c r="AG34" i="20"/>
  <c r="AH5" i="20"/>
  <c r="AG4" i="20"/>
  <c r="AG3" i="20" s="1"/>
  <c r="AH34" i="14"/>
  <c r="AH4" i="14"/>
  <c r="AH3" i="14" s="1"/>
  <c r="AI5" i="14"/>
  <c r="AH4" i="22"/>
  <c r="AH3" i="22" s="1"/>
  <c r="AH34" i="22"/>
  <c r="AI5" i="9"/>
  <c r="AH4" i="9"/>
  <c r="AH3" i="9" s="1"/>
  <c r="AH29" i="9"/>
  <c r="AG34" i="21"/>
  <c r="AG4" i="21"/>
  <c r="AG3" i="21" s="1"/>
  <c r="AH5" i="21"/>
  <c r="AI5" i="18"/>
  <c r="AH34" i="18"/>
  <c r="AH4" i="18"/>
  <c r="AH3" i="18" s="1"/>
  <c r="AH4" i="16"/>
  <c r="AH3" i="16" s="1"/>
  <c r="AH34" i="16"/>
  <c r="AI5" i="16"/>
  <c r="AI28" i="8"/>
  <c r="AJ4" i="8"/>
  <c r="AI3" i="8"/>
  <c r="AI2" i="8" s="1"/>
  <c r="AH29" i="11"/>
  <c r="AI5" i="11"/>
  <c r="AH4" i="11"/>
  <c r="AH3" i="11" s="1"/>
  <c r="AH5" i="19"/>
  <c r="AG4" i="19"/>
  <c r="AG3" i="19" s="1"/>
  <c r="AG34" i="19"/>
  <c r="AG34" i="17"/>
  <c r="AH5" i="17"/>
  <c r="AG4" i="17"/>
  <c r="AG3" i="17" s="1"/>
  <c r="AG30" i="12"/>
  <c r="AH5" i="12"/>
  <c r="AG4" i="12"/>
  <c r="AG3" i="12" s="1"/>
  <c r="AH5" i="13"/>
  <c r="AG32" i="13"/>
  <c r="AG4" i="13"/>
  <c r="AG3" i="13" s="1"/>
  <c r="AO5" i="23"/>
  <c r="AO4" i="23" s="1"/>
  <c r="AO3" i="23" s="1"/>
  <c r="AN4" i="23"/>
  <c r="AN3" i="23" s="1"/>
  <c r="AH28" i="10" l="1"/>
  <c r="AH4" i="10"/>
  <c r="AH3" i="10" s="1"/>
  <c r="AI34" i="16"/>
  <c r="AI4" i="16"/>
  <c r="AI3" i="16" s="1"/>
  <c r="AH4" i="17"/>
  <c r="AH3" i="17" s="1"/>
  <c r="AH34" i="17"/>
  <c r="AI34" i="18"/>
  <c r="AI4" i="18"/>
  <c r="AI3" i="18" s="1"/>
  <c r="AI5" i="13"/>
  <c r="AH32" i="13"/>
  <c r="AH4" i="13"/>
  <c r="AH3" i="13" s="1"/>
  <c r="AH34" i="19"/>
  <c r="AH4" i="19"/>
  <c r="AH3" i="19" s="1"/>
  <c r="AJ28" i="8"/>
  <c r="AJ3" i="8"/>
  <c r="AJ2" i="8" s="1"/>
  <c r="AI5" i="21"/>
  <c r="AH34" i="21"/>
  <c r="AH4" i="21"/>
  <c r="AH3" i="21" s="1"/>
  <c r="AI4" i="14"/>
  <c r="AI3" i="14" s="1"/>
  <c r="AI34" i="14"/>
  <c r="AH4" i="20"/>
  <c r="AH3" i="20" s="1"/>
  <c r="AH34" i="20"/>
  <c r="AI5" i="20"/>
  <c r="AH4" i="12"/>
  <c r="AH3" i="12" s="1"/>
  <c r="AH30" i="12"/>
  <c r="AI4" i="11"/>
  <c r="AI3" i="11" s="1"/>
  <c r="AI29" i="11"/>
  <c r="AI29" i="9"/>
  <c r="AI4" i="9"/>
  <c r="AI3" i="9" s="1"/>
  <c r="AI32" i="13" l="1"/>
  <c r="AI4" i="13"/>
  <c r="AI3" i="13" s="1"/>
  <c r="AI4" i="20"/>
  <c r="AI3" i="20" s="1"/>
  <c r="AI34" i="20"/>
  <c r="AI34" i="21"/>
  <c r="AI4" i="21"/>
  <c r="AI3" i="21" s="1"/>
  <c r="I22" i="26" l="1"/>
  <c r="AC6" i="26"/>
  <c r="AM35" i="26" s="1"/>
  <c r="AK35" i="26" l="1"/>
  <c r="AC36" i="26"/>
  <c r="AC46" i="26" s="1"/>
  <c r="AD36" i="26" s="1"/>
  <c r="AD46" i="26" s="1"/>
  <c r="AE36" i="26" s="1"/>
  <c r="AE46" i="26" s="1"/>
  <c r="AF36" i="26" s="1"/>
  <c r="AF46" i="26" s="1"/>
  <c r="AG36" i="26" s="1"/>
  <c r="AG46" i="26" s="1"/>
  <c r="AH36" i="26" s="1"/>
  <c r="AH46" i="26" s="1"/>
  <c r="AI36" i="26" s="1"/>
  <c r="AI46" i="26" s="1"/>
  <c r="AJ36" i="26" s="1"/>
  <c r="AJ46" i="26" s="1"/>
  <c r="AK36" i="26" s="1"/>
  <c r="AK46" i="26" s="1"/>
  <c r="AL36" i="26" s="1"/>
  <c r="AL46" i="26" s="1"/>
  <c r="AG35" i="26"/>
  <c r="AC35" i="26"/>
  <c r="AE35" i="26"/>
  <c r="H22" i="26"/>
  <c r="AD35" i="26"/>
  <c r="AC2" i="26"/>
  <c r="AI35" i="26"/>
  <c r="AL35" i="26"/>
  <c r="AH35" i="26"/>
  <c r="AF35" i="26"/>
  <c r="J22" i="26"/>
  <c r="AJ35" i="26"/>
  <c r="AM36" i="26" l="1"/>
  <c r="AM46" i="26" s="1"/>
  <c r="AO36" i="26" s="1"/>
  <c r="AN6" i="26"/>
  <c r="AN2" i="26" s="1"/>
  <c r="I8" i="26"/>
  <c r="J8" i="26" s="1"/>
  <c r="J6" i="26" s="1"/>
  <c r="AO46" i="26" l="1"/>
  <c r="G36" i="39"/>
  <c r="G46" i="39" s="1"/>
  <c r="H36" i="39" s="1"/>
  <c r="H46" i="39" s="1"/>
  <c r="I36" i="39" s="1"/>
  <c r="I46" i="39" s="1"/>
  <c r="J36" i="39" s="1"/>
  <c r="J46" i="39" s="1"/>
  <c r="K36" i="39" s="1"/>
  <c r="K46" i="39" s="1"/>
  <c r="L36" i="39" s="1"/>
  <c r="L46" i="39" s="1"/>
  <c r="M36" i="39" s="1"/>
  <c r="M46" i="39" s="1"/>
  <c r="N36" i="39" s="1"/>
  <c r="N46" i="39" s="1"/>
  <c r="O36" i="39" s="1"/>
  <c r="O46" i="39" s="1"/>
  <c r="P36" i="39" s="1"/>
  <c r="P46" i="39" s="1"/>
  <c r="Q36" i="39" s="1"/>
  <c r="Q46" i="39" s="1"/>
  <c r="R36" i="39" s="1"/>
  <c r="R46" i="39" s="1"/>
  <c r="S36" i="39" s="1"/>
  <c r="S46" i="39" s="1"/>
  <c r="T36" i="39" s="1"/>
  <c r="T46" i="39" s="1"/>
  <c r="U36" i="39" s="1"/>
  <c r="U46" i="39" s="1"/>
  <c r="V36" i="39" s="1"/>
  <c r="V46" i="39" s="1"/>
  <c r="W36" i="39" s="1"/>
  <c r="W46" i="39" s="1"/>
  <c r="X36" i="39" s="1"/>
  <c r="X46" i="39" s="1"/>
  <c r="Y36" i="39" s="1"/>
  <c r="Y46" i="39" s="1"/>
  <c r="Z36" i="39" s="1"/>
  <c r="Z46" i="39" s="1"/>
  <c r="AA36" i="39" s="1"/>
  <c r="AA46" i="39" s="1"/>
  <c r="AB36" i="39" s="1"/>
  <c r="AB46" i="39" s="1"/>
  <c r="AC36" i="39" s="1"/>
  <c r="AC46" i="39" s="1"/>
  <c r="AD36" i="39" s="1"/>
  <c r="AD46" i="39" s="1"/>
  <c r="AE36" i="39" s="1"/>
  <c r="AE46" i="39" s="1"/>
  <c r="AF36" i="39" s="1"/>
  <c r="AF46" i="39" s="1"/>
  <c r="AG36" i="39" s="1"/>
  <c r="AG46" i="39" s="1"/>
  <c r="AH36" i="39" s="1"/>
  <c r="AH46" i="39" s="1"/>
  <c r="AI36" i="39" s="1"/>
  <c r="AI46" i="39" s="1"/>
  <c r="AJ36" i="39" s="1"/>
  <c r="AJ46" i="39" s="1"/>
  <c r="AK36" i="39" s="1"/>
  <c r="AK46" i="39" s="1"/>
  <c r="AL36" i="39" s="1"/>
  <c r="AL46" i="39" s="1"/>
  <c r="G35" i="38"/>
  <c r="G45" i="38" s="1"/>
  <c r="H35" i="38" s="1"/>
  <c r="H45" i="38" s="1"/>
  <c r="I35" i="38" s="1"/>
  <c r="I45" i="38" s="1"/>
  <c r="G35" i="37"/>
  <c r="G45" i="37" s="1"/>
  <c r="H35" i="37" s="1"/>
  <c r="H45" i="37" s="1"/>
  <c r="I35" i="37" s="1"/>
  <c r="I45" i="37" s="1"/>
  <c r="J35" i="37" s="1"/>
  <c r="J45" i="37" s="1"/>
  <c r="K35" i="37" s="1"/>
  <c r="K45" i="37" s="1"/>
  <c r="L35" i="37" s="1"/>
  <c r="L45" i="37" s="1"/>
  <c r="M35" i="37" s="1"/>
  <c r="M45" i="37" s="1"/>
  <c r="N35" i="37" s="1"/>
  <c r="N45" i="37" s="1"/>
  <c r="O35" i="37" s="1"/>
  <c r="O45" i="37" s="1"/>
  <c r="P35" i="37" s="1"/>
  <c r="P45" i="37" s="1"/>
  <c r="Q35" i="37" s="1"/>
  <c r="Q45" i="37" s="1"/>
  <c r="R35" i="37" s="1"/>
  <c r="R45" i="37" s="1"/>
  <c r="S35" i="37" s="1"/>
  <c r="S45" i="37" s="1"/>
  <c r="T35" i="37" s="1"/>
  <c r="T45" i="37" s="1"/>
  <c r="U35" i="37" s="1"/>
  <c r="U45" i="37" s="1"/>
  <c r="V35" i="37" s="1"/>
  <c r="V45" i="37" s="1"/>
  <c r="W35" i="37" s="1"/>
  <c r="W45" i="37" s="1"/>
  <c r="X35" i="37" s="1"/>
  <c r="X45" i="37" s="1"/>
  <c r="Y35" i="37" s="1"/>
  <c r="Y45" i="37" s="1"/>
  <c r="Z35" i="37" s="1"/>
  <c r="Z45" i="37" s="1"/>
  <c r="AA35" i="37" s="1"/>
  <c r="AA45" i="37" s="1"/>
  <c r="AB35" i="37" s="1"/>
  <c r="AB45" i="37" s="1"/>
  <c r="AC35" i="37" s="1"/>
  <c r="AC45" i="37" s="1"/>
  <c r="AD35" i="37" s="1"/>
  <c r="AD45" i="37" s="1"/>
  <c r="AE35" i="37" s="1"/>
  <c r="AE45" i="37" s="1"/>
  <c r="AF35" i="37" s="1"/>
  <c r="AF45" i="37" s="1"/>
  <c r="AG35" i="37" s="1"/>
  <c r="AG45" i="37" s="1"/>
  <c r="AH35" i="37" s="1"/>
  <c r="AH45" i="37" s="1"/>
  <c r="AI35" i="37" s="1"/>
  <c r="AI45" i="37" s="1"/>
  <c r="AO35" i="26"/>
  <c r="AN35" i="26"/>
  <c r="AN36" i="26"/>
  <c r="AN46" i="26" s="1"/>
  <c r="I2" i="26"/>
  <c r="I4" i="26" s="1"/>
  <c r="I5" i="26" s="1"/>
  <c r="H8" i="26"/>
  <c r="H33" i="26" s="1"/>
  <c r="E7" i="38"/>
  <c r="G7" i="38" s="1"/>
  <c r="J6" i="38"/>
  <c r="M34" i="38" s="1"/>
  <c r="AJ35" i="37" l="1"/>
  <c r="AJ45" i="37" s="1"/>
  <c r="AL35" i="37" s="1"/>
  <c r="AL45" i="37" s="1"/>
  <c r="AK35" i="37"/>
  <c r="AK45" i="37" s="1"/>
  <c r="S34" i="38"/>
  <c r="L34" i="38"/>
  <c r="AE34" i="38"/>
  <c r="J34" i="38"/>
  <c r="J2" i="38"/>
  <c r="AD34" i="38"/>
  <c r="AH34" i="38"/>
  <c r="C7" i="38"/>
  <c r="C33" i="38" s="1"/>
  <c r="F2" i="38"/>
  <c r="F4" i="38" s="1"/>
  <c r="F5" i="38" s="1"/>
  <c r="V34" i="38"/>
  <c r="K34" i="38"/>
  <c r="J35" i="38"/>
  <c r="J45" i="38" s="1"/>
  <c r="K35" i="38" s="1"/>
  <c r="K45" i="38" s="1"/>
  <c r="L35" i="38" s="1"/>
  <c r="L45" i="38" s="1"/>
  <c r="M35" i="38" s="1"/>
  <c r="M45" i="38" s="1"/>
  <c r="N35" i="38" s="1"/>
  <c r="N45" i="38" s="1"/>
  <c r="O35" i="38" s="1"/>
  <c r="O45" i="38" s="1"/>
  <c r="P35" i="38" s="1"/>
  <c r="P45" i="38" s="1"/>
  <c r="Q35" i="38" s="1"/>
  <c r="Q45" i="38" s="1"/>
  <c r="R35" i="38" s="1"/>
  <c r="R45" i="38" s="1"/>
  <c r="S35" i="38" s="1"/>
  <c r="S45" i="38" s="1"/>
  <c r="T35" i="38" s="1"/>
  <c r="T45" i="38" s="1"/>
  <c r="U35" i="38" s="1"/>
  <c r="U45" i="38" s="1"/>
  <c r="V35" i="38" s="1"/>
  <c r="V45" i="38" s="1"/>
  <c r="W35" i="38" s="1"/>
  <c r="W45" i="38" s="1"/>
  <c r="X35" i="38" s="1"/>
  <c r="X45" i="38" s="1"/>
  <c r="Y35" i="38" s="1"/>
  <c r="Y45" i="38" s="1"/>
  <c r="Z35" i="38" s="1"/>
  <c r="Z45" i="38" s="1"/>
  <c r="AA35" i="38" s="1"/>
  <c r="AA45" i="38" s="1"/>
  <c r="AB35" i="38" s="1"/>
  <c r="AB45" i="38" s="1"/>
  <c r="AC35" i="38" s="1"/>
  <c r="AC45" i="38" s="1"/>
  <c r="AD35" i="38" s="1"/>
  <c r="AD45" i="38" s="1"/>
  <c r="AE35" i="38" s="1"/>
  <c r="AE45" i="38" s="1"/>
  <c r="AF35" i="38" s="1"/>
  <c r="AF45" i="38" s="1"/>
  <c r="AG35" i="38" s="1"/>
  <c r="AG45" i="38" s="1"/>
  <c r="AH35" i="38" s="1"/>
  <c r="AH45" i="38" s="1"/>
  <c r="AI35" i="38" s="1"/>
  <c r="AI45" i="38" s="1"/>
  <c r="AJ35" i="38" s="1"/>
  <c r="AJ45" i="38" s="1"/>
  <c r="Q34" i="38"/>
  <c r="W34" i="38"/>
  <c r="P34" i="38"/>
  <c r="AI34" i="38"/>
  <c r="X34" i="38"/>
  <c r="AB34" i="38"/>
  <c r="N34" i="38"/>
  <c r="R34" i="38"/>
  <c r="AC34" i="38"/>
  <c r="AF34" i="38"/>
  <c r="Z34" i="38"/>
  <c r="AG34" i="38"/>
  <c r="Y34" i="38"/>
  <c r="AJ34" i="38"/>
  <c r="AA34" i="38"/>
  <c r="T34" i="38"/>
  <c r="U34" i="38"/>
  <c r="O34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1" authorId="0" shapeId="0" xr:uid="{00000000-0006-0000-0100-000001000000}">
      <text>
        <r>
          <rPr>
            <sz val="11"/>
            <color rgb="FF000000"/>
            <rFont val="Calibri"/>
            <family val="2"/>
          </rPr>
          <t>======
ID#AAAADwLNNo0
    (2019-11-18 00:14:26)
Vitor_RunTimeError: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RE402GB9nxKM8ELx+prLxnf3Iy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1" authorId="0" shapeId="0" xr:uid="{00000000-0006-0000-0200-000001000000}">
      <text>
        <r>
          <rPr>
            <sz val="11"/>
            <color rgb="FF000000"/>
            <rFont val="Calibri"/>
            <family val="2"/>
          </rPr>
          <t>======
ID#AAAADwLNNrg
    (2019-11-18 00:14:26)
Vitor_RunTimeError: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kU/f8ybRjZwkpg2Dj7ZzQ4ek5N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10" authorId="0" shapeId="0" xr:uid="{00000000-0006-0000-0600-000002000000}">
      <text>
        <r>
          <rPr>
            <sz val="11"/>
            <color rgb="FF000000"/>
            <rFont val="Calibri"/>
            <family val="2"/>
          </rPr>
          <t>======
ID#AAAADwLNNsc
Vitor_RunTimeError    (2019-11-18 00:14:26)
Nicolly</t>
        </r>
      </text>
    </comment>
    <comment ref="AH12" authorId="0" shapeId="0" xr:uid="{00000000-0006-0000-0600-000003000000}">
      <text>
        <r>
          <rPr>
            <sz val="11"/>
            <color rgb="FF000000"/>
            <rFont val="Calibri"/>
            <family val="2"/>
          </rPr>
          <t>======
ID#AAAADwLNNrU
Vitor_RunTimeError    (2019-11-18 00:14:26)
Se eu pagar nesse dia vai ser o dia errado</t>
        </r>
      </text>
    </comment>
    <comment ref="V14" authorId="0" shapeId="0" xr:uid="{00000000-0006-0000-0600-000004000000}">
      <text>
        <r>
          <rPr>
            <sz val="11"/>
            <color rgb="FF000000"/>
            <rFont val="Calibri"/>
            <family val="2"/>
          </rPr>
          <t>======
ID#AAAADwLNNqs
Vitor_RunTimeError    (2019-11-18 00:14:26)
NetFlix</t>
        </r>
      </text>
    </comment>
    <comment ref="AE27" authorId="0" shapeId="0" xr:uid="{00000000-0006-0000-0600-000001000000}">
      <text>
        <r>
          <rPr>
            <sz val="11"/>
            <color rgb="FF000000"/>
            <rFont val="Calibri"/>
            <family val="2"/>
          </rPr>
          <t>======
ID#AAAADwLNNsw
Vitor_RunTimeError    (2019-11-18 00:14:26)
Pedinte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sGxJlF1KspEQAdlYbTJulS55PD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D27" authorId="0" shapeId="0" xr:uid="{00000000-0006-0000-0700-000002000000}">
      <text>
        <r>
          <rPr>
            <sz val="11"/>
            <color rgb="FF000000"/>
            <rFont val="Calibri"/>
            <family val="2"/>
          </rPr>
          <t>======
ID#AAAADwLNNpY
Vitor_RunTimeError    (2019-11-18 00:14:26)
Pedinte</t>
        </r>
      </text>
    </comment>
    <comment ref="G37" authorId="0" shapeId="0" xr:uid="{00000000-0006-0000-0700-000001000000}">
      <text>
        <r>
          <rPr>
            <sz val="11"/>
            <color rgb="FF000000"/>
            <rFont val="Calibri"/>
            <family val="2"/>
          </rPr>
          <t>======
ID#AAAADwLNNrE
Vitor_RunTimeError    (2019-11-18 00:14:26)
Que lindo, deu parecido mesmo!!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8WPz2dmuJ9gfY146FpXG43E3Sd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3" authorId="0" shapeId="0" xr:uid="{00000000-0006-0000-0800-000001000000}">
      <text>
        <r>
          <rPr>
            <sz val="11"/>
            <color rgb="FF000000"/>
            <rFont val="Calibri"/>
            <family val="2"/>
          </rPr>
          <t>======
ID#AAAADwLNNr8
Vitor_RunTimeError    (2019-11-18 00:14:26)
Olhar UNIVERS</t>
        </r>
      </text>
    </comment>
    <comment ref="AF13" authorId="0" shapeId="0" xr:uid="{00000000-0006-0000-0800-000003000000}">
      <text>
        <r>
          <rPr>
            <sz val="11"/>
            <color rgb="FF000000"/>
            <rFont val="Calibri"/>
            <family val="2"/>
          </rPr>
          <t>======
ID#AAAADwLNNpM
Vitor_RunTimeError    (2019-11-18 00:14:26)
Olhar UNIVERS</t>
        </r>
      </text>
    </comment>
    <comment ref="AI28" authorId="0" shapeId="0" xr:uid="{00000000-0006-0000-0800-000002000000}">
      <text>
        <r>
          <rPr>
            <sz val="11"/>
            <color rgb="FF000000"/>
            <rFont val="Calibri"/>
            <family val="2"/>
          </rPr>
          <t>======
ID#AAAADwLNNps
Vitor_RunTimeError    (2019-11-18 00:14:26)
Mês que vemo, dia 5</t>
        </r>
      </text>
    </comment>
    <comment ref="F37" authorId="0" shapeId="0" xr:uid="{00000000-0006-0000-0800-000004000000}">
      <text>
        <r>
          <rPr>
            <sz val="11"/>
            <color rgb="FF000000"/>
            <rFont val="Calibri"/>
            <family val="2"/>
          </rPr>
          <t>======
ID#AAAADwLNNpA
Vitor_RunTimeError    (2019-11-18 00:14:26)
Que lindo, deu parecido mesmo!!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ais+v0kcDzMPSF284D+w6kl74R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3" authorId="0" shapeId="0" xr:uid="{00000000-0006-0000-0A00-000001000000}">
      <text>
        <r>
          <rPr>
            <sz val="11"/>
            <color rgb="FF000000"/>
            <rFont val="Calibri"/>
            <family val="2"/>
          </rPr>
          <t>======
ID#AAAADwLNNsg
Vitor_RunTimeError    (2019-11-18 00:14:26)
Olhar Univers Agosto</t>
        </r>
      </text>
    </comment>
    <comment ref="AC14" authorId="0" shapeId="0" xr:uid="{00000000-0006-0000-0A00-000002000000}">
      <text>
        <r>
          <rPr>
            <sz val="11"/>
            <color rgb="FF000000"/>
            <rFont val="Calibri"/>
            <family val="2"/>
          </rPr>
          <t>======
ID#AAAADwLNNsY
Vitor_RunTimeError    (2019-11-18 00:14:26)
Yellow</t>
        </r>
      </text>
    </comment>
    <comment ref="AD14" authorId="0" shapeId="0" xr:uid="{00000000-0006-0000-0A00-000003000000}">
      <text>
        <r>
          <rPr>
            <sz val="11"/>
            <color rgb="FF000000"/>
            <rFont val="Calibri"/>
            <family val="2"/>
          </rPr>
          <t>======
ID#AAAADwLNNoo
Vitor_RunTimeError    (2019-11-18 00:14:26)
Yellow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qwiLKb4UtW7UunbspBr264lbS/A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3" authorId="0" shapeId="0" xr:uid="{00000000-0006-0000-0B00-000001000000}">
      <text>
        <r>
          <rPr>
            <sz val="11"/>
            <color rgb="FF000000"/>
            <rFont val="Calibri"/>
            <family val="2"/>
          </rPr>
          <t>======
ID#AAAADwLNNq8
Vitor_RunTimeError    (2019-11-18 00:14:26)
Olhar Univers Agosto</t>
        </r>
      </text>
    </comment>
    <comment ref="AH34" authorId="0" shapeId="0" xr:uid="{00000000-0006-0000-0B00-000002000000}">
      <text>
        <r>
          <rPr>
            <sz val="11"/>
            <color rgb="FF000000"/>
            <rFont val="Calibri"/>
            <family val="2"/>
          </rPr>
          <t>======
ID#AAAADwLNNqU
Vitor_RunTimeError    (2019-11-18 00:14:26)
Lembrar que têm a prestação da Ferndanda que não está aqui.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6lTmnOZILEZPkKVLvYZS7hyiZQ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C00-000001000000}">
      <text>
        <r>
          <rPr>
            <sz val="11"/>
            <color rgb="FF000000"/>
            <rFont val="Calibri"/>
            <family val="2"/>
          </rPr>
          <t>======
ID#AAAADwLNNtA
Vitor_RunTimeError    (2019-11-18 00:14:26)
Mcdonalds Fábio pagou de 25,00. 
Eu paguei a bolacha bauduco e o xtapa, de 6 reais. 
Eu paguei a Yellow dele de 20 reais. 
Tudo dá 51 reais. 
Do meu bolso saíram 26 reais. 
Logo são 12,50 + 4 +</t>
        </r>
      </text>
    </comment>
    <comment ref="AE7" authorId="0" shapeId="0" xr:uid="{00000000-0006-0000-0C00-000004000000}">
      <text>
        <r>
          <rPr>
            <sz val="11"/>
            <color rgb="FF000000"/>
            <rFont val="Calibri"/>
            <family val="2"/>
          </rPr>
          <t>======
ID#AAAADwLNNrk
Vitor_RunTimeError    (2019-11-18 00:14:26)
Almoço na praia</t>
        </r>
      </text>
    </comment>
    <comment ref="Z8" authorId="0" shapeId="0" xr:uid="{00000000-0006-0000-0C00-000007000000}">
      <text>
        <r>
          <rPr>
            <sz val="11"/>
            <color rgb="FF000000"/>
            <rFont val="Calibri"/>
            <family val="2"/>
          </rPr>
          <t>======
ID#AAAADwLNNq0
Vitor_RunTimeError    (2019-11-18 00:14:26)
Falta Cair da Thais o Uber, o negócio do cinema.</t>
        </r>
      </text>
    </comment>
    <comment ref="E13" authorId="0" shapeId="0" xr:uid="{00000000-0006-0000-0C00-000006000000}">
      <text>
        <r>
          <rPr>
            <sz val="11"/>
            <color rgb="FF000000"/>
            <rFont val="Calibri"/>
            <family val="2"/>
          </rPr>
          <t>======
ID#AAAADwLNNq4
Vitor_RunTimeError    (2019-11-18 00:14:26)
Mcdonalds Fábio pagou de 25,00. 
Eu paguei a bolacha bauduco e o xtapa, de 6 reais. 
Eu paguei a Yellow dele de 20 reais. 
Tudo dá 51 reais. 
Do meu bolso saíram 26 reais. 
Logo são 12,50 + 4 +o</t>
        </r>
      </text>
    </comment>
    <comment ref="U13" authorId="0" shapeId="0" xr:uid="{00000000-0006-0000-0C00-000002000000}">
      <text>
        <r>
          <rPr>
            <sz val="11"/>
            <color rgb="FF000000"/>
            <rFont val="Calibri"/>
            <family val="2"/>
          </rPr>
          <t>======
ID#AAAADwLNNss
Vitor_RunTimeError    (2019-11-18 00:14:26)
Sorvetes Fábios e André</t>
        </r>
      </text>
    </comment>
    <comment ref="AE13" authorId="0" shapeId="0" xr:uid="{00000000-0006-0000-0C00-000003000000}">
      <text>
        <r>
          <rPr>
            <sz val="11"/>
            <color rgb="FF000000"/>
            <rFont val="Calibri"/>
            <family val="2"/>
          </rPr>
          <t>======
ID#AAAADwLNNsI
Vitor_RunTimeError    (2019-11-18 00:14:26)
Duas águas na praia</t>
        </r>
      </text>
    </comment>
    <comment ref="K15" authorId="0" shapeId="0" xr:uid="{00000000-0006-0000-0C00-000008000000}">
      <text>
        <r>
          <rPr>
            <sz val="11"/>
            <color rgb="FF000000"/>
            <rFont val="Calibri"/>
            <family val="2"/>
          </rPr>
          <t>======
ID#AAAADwLNNqg
Vitor_RunTimeError    (2019-11-18 00:14:26)
Comprado em Novembro, Accapolli
o</t>
        </r>
      </text>
    </comment>
    <comment ref="R16" authorId="0" shapeId="0" xr:uid="{00000000-0006-0000-0C00-00000C000000}">
      <text>
        <r>
          <rPr>
            <sz val="11"/>
            <color rgb="FF000000"/>
            <rFont val="Calibri"/>
            <family val="2"/>
          </rPr>
          <t>======
ID#AAAADwLNNow
Vitor_RunTimeError    (2019-11-18 00:14:26)
3 reais de Grin</t>
        </r>
      </text>
    </comment>
    <comment ref="AH16" authorId="0" shapeId="0" xr:uid="{00000000-0006-0000-0C00-00000A000000}">
      <text>
        <r>
          <rPr>
            <sz val="11"/>
            <color rgb="FF000000"/>
            <rFont val="Calibri"/>
            <family val="2"/>
          </rPr>
          <t>======
ID#AAAADwLNNpc
Vitor_RunTimeError    (2019-11-18 00:14:26)
Falta João me transferir 5 reais e Hideki 10</t>
        </r>
      </text>
    </comment>
    <comment ref="Y17" authorId="0" shapeId="0" xr:uid="{00000000-0006-0000-0C00-00000B000000}">
      <text>
        <r>
          <rPr>
            <sz val="11"/>
            <color rgb="FF000000"/>
            <rFont val="Calibri"/>
            <family val="2"/>
          </rPr>
          <t>======
ID#AAAADwLNNpU
Vitor_RunTimeError    (2019-11-18 00:14:26)
Celular TIM</t>
        </r>
      </text>
    </comment>
    <comment ref="AG17" authorId="0" shapeId="0" xr:uid="{00000000-0006-0000-0C00-000009000000}">
      <text>
        <r>
          <rPr>
            <sz val="11"/>
            <color rgb="FF000000"/>
            <rFont val="Calibri"/>
            <family val="2"/>
          </rPr>
          <t>======
ID#AAAADwLNNqQ
Vitor_RunTimeError    (2019-11-18 00:14:26)
Só vai cair dia 002/01/2019</t>
        </r>
      </text>
    </comment>
    <comment ref="AA24" authorId="0" shapeId="0" xr:uid="{00000000-0006-0000-0C00-000005000000}">
      <text>
        <r>
          <rPr>
            <sz val="11"/>
            <color rgb="FF000000"/>
            <rFont val="Calibri"/>
            <family val="2"/>
          </rPr>
          <t>======
ID#AAAADwLNNrc
Vitor_RunTimeError    (2019-11-18 00:14:26)
Gastei 70 reais para comprar o cabo e o conversor, meu pai deu 50. (70-50)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fD4x8fVHcnrghU2OsAu7XfL8EK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7" authorId="0" shapeId="0" xr:uid="{00000000-0006-0000-0D00-000007000000}">
      <text>
        <r>
          <rPr>
            <sz val="11"/>
            <color rgb="FF000000"/>
            <rFont val="Calibri"/>
            <family val="2"/>
          </rPr>
          <t>======
ID#AAAADwLNNok
Vitor Barbosa    (2019-11-18 00:14:26)
Hong He que eles pagaram muita gasolina</t>
        </r>
      </text>
    </comment>
    <comment ref="E8" authorId="0" shapeId="0" xr:uid="{00000000-0006-0000-0D00-000006000000}">
      <text>
        <r>
          <rPr>
            <sz val="11"/>
            <color rgb="FF000000"/>
            <rFont val="Calibri"/>
            <family val="2"/>
          </rPr>
          <t>======
ID#AAAADwLNNos
Vitor_RunTimeError    (2019-11-18 00:14:26)
Mcdonalds Fábio pagou de 25,00. 
Eu paguei a bolacha bauduco e o xtapa, de 6 reais. 
Eu paguei a Yellow dele de 20 reais. 
Tudo dá 51 reais. 
Do meu bolso saíram 26 reais. 
Logo são 12,50 + 4 +</t>
        </r>
      </text>
    </comment>
    <comment ref="AF8" authorId="0" shapeId="0" xr:uid="{00000000-0006-0000-0D00-000002000000}">
      <text>
        <r>
          <rPr>
            <sz val="11"/>
            <color rgb="FF000000"/>
            <rFont val="Calibri"/>
            <family val="2"/>
          </rPr>
          <t>======
ID#AAAADwLNNr4
Vitor    (2019-11-18 00:14:26)
Não se sabe, é uma estimativa</t>
        </r>
      </text>
    </comment>
    <comment ref="E14" authorId="0" shapeId="0" xr:uid="{00000000-0006-0000-0D00-000001000000}">
      <text>
        <r>
          <rPr>
            <sz val="11"/>
            <color rgb="FF000000"/>
            <rFont val="Calibri"/>
            <family val="2"/>
          </rPr>
          <t>======
ID#AAAADwLNNtI
Vitor_RunTimeError    (2019-11-18 00:14:26)
Mcdonalds Fábio pagou de 25,00. 
Eu paguei a bolacha bauduco e o xtapa, de 6 reais. 
Eu paguei a Yellow dele de 20 reais. 
Tudo dá 51 reais. 
Do meu bolso saíram 26 reais. 
Logo são 12,50 + 4 +o</t>
        </r>
      </text>
    </comment>
    <comment ref="F26" authorId="0" shapeId="0" xr:uid="{00000000-0006-0000-0D00-000003000000}">
      <text>
        <r>
          <rPr>
            <sz val="11"/>
            <color rgb="FF000000"/>
            <rFont val="Calibri"/>
            <family val="2"/>
          </rPr>
          <t>======
ID#AAAADwLNNrs
Vitor_RunTimeError    (2019-11-18 00:14:26)
Espelho e Cheirinho</t>
        </r>
      </text>
    </comment>
    <comment ref="E33" authorId="0" shapeId="0" xr:uid="{00000000-0006-0000-0D00-000004000000}">
      <text>
        <r>
          <rPr>
            <sz val="11"/>
            <color rgb="FF000000"/>
            <rFont val="Calibri"/>
            <family val="2"/>
          </rPr>
          <t>======
ID#AAAADwLNNrY
Vitor_RunTimeError    (2019-11-18 00:14:26)
Para a Dentista</t>
        </r>
      </text>
    </comment>
    <comment ref="F33" authorId="0" shapeId="0" xr:uid="{00000000-0006-0000-0D00-000005000000}">
      <text>
        <r>
          <rPr>
            <sz val="11"/>
            <color rgb="FF000000"/>
            <rFont val="Calibri"/>
            <family val="2"/>
          </rPr>
          <t>======
ID#AAAADwLNNqw
Vitor_RunTimeError    (2019-11-18 00:14:26)
Comprar escova de dente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vedYP88l4O9h6c029DAuLHuRytA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A21" authorId="0" shapeId="0" xr:uid="{00000000-0006-0000-0E00-000005000000}">
      <text>
        <r>
          <rPr>
            <sz val="11"/>
            <color rgb="FF000000"/>
            <rFont val="Calibri"/>
            <family val="2"/>
          </rPr>
          <t>======
ID#AAAADwLNNp8
Vitor Barbosa    (2019-11-18 00:14:26)
Uber voltando com o Vinicius</t>
        </r>
      </text>
    </comment>
    <comment ref="AB21" authorId="0" shapeId="0" xr:uid="{00000000-0006-0000-0E00-000004000000}">
      <text>
        <r>
          <rPr>
            <sz val="11"/>
            <color rgb="FF000000"/>
            <rFont val="Calibri"/>
            <family val="2"/>
          </rPr>
          <t>======
ID#AAAADwLNNqI
Vitor Barbosa    (2019-11-18 00:14:26)
Ubers com Fábio</t>
        </r>
      </text>
    </comment>
    <comment ref="AF21" authorId="0" shapeId="0" xr:uid="{00000000-0006-0000-0E00-000003000000}">
      <text>
        <r>
          <rPr>
            <sz val="11"/>
            <color rgb="FF000000"/>
            <rFont val="Calibri"/>
            <family val="2"/>
          </rPr>
          <t>======
ID#AAAADwLNNqk
Vitor Barbosa    (2019-11-18 00:14:26)
Teoricamento Hideki me deve 1 real</t>
        </r>
      </text>
    </comment>
    <comment ref="E33" authorId="0" shapeId="0" xr:uid="{00000000-0006-0000-0E00-000001000000}">
      <text>
        <r>
          <rPr>
            <sz val="11"/>
            <color rgb="FF000000"/>
            <rFont val="Calibri"/>
            <family val="2"/>
          </rPr>
          <t>======
ID#AAAADwLNNs8
Vitor_RunTimeError    (2019-11-18 00:14:26)
Para a Dentista</t>
        </r>
      </text>
    </comment>
    <comment ref="F33" authorId="0" shapeId="0" xr:uid="{00000000-0006-0000-0E00-000002000000}">
      <text>
        <r>
          <rPr>
            <sz val="11"/>
            <color rgb="FF000000"/>
            <rFont val="Calibri"/>
            <family val="2"/>
          </rPr>
          <t>======
ID#AAAADwLNNso
Vitor_RunTimeError    (2019-11-18 00:14:26)
Comprar escova de dente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YNgBb5k8oc8De+tlv0kEpikiD7A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14" authorId="0" shapeId="0" xr:uid="{00000000-0006-0000-0F00-000004000000}">
      <text>
        <r>
          <rPr>
            <sz val="11"/>
            <color rgb="FF000000"/>
            <rFont val="Calibri"/>
            <family val="2"/>
          </rPr>
          <t>======
ID#AAAADwLNNpg
Vitor Barbosa    (2019-11-18 00:14:26)
Divine chocolates RS</t>
        </r>
      </text>
    </comment>
    <comment ref="T16" authorId="0" shapeId="0" xr:uid="{00000000-0006-0000-0F00-000002000000}">
      <text>
        <r>
          <rPr>
            <sz val="11"/>
            <color rgb="FF000000"/>
            <rFont val="Calibri"/>
            <family val="2"/>
          </rPr>
          <t>======
ID#AAAADwLNNrA
Vitor Barbosa    (2019-11-18 00:14:26)
Pavilhão Japonês</t>
        </r>
      </text>
    </comment>
    <comment ref="P22" authorId="0" shapeId="0" xr:uid="{00000000-0006-0000-0F00-000003000000}">
      <text>
        <r>
          <rPr>
            <sz val="11"/>
            <color rgb="FF000000"/>
            <rFont val="Calibri"/>
            <family val="2"/>
          </rPr>
          <t>======
ID#AAAADwLNNqY
Vitor Barbosa    (2019-11-18 00:14:26)
Água Congonhas</t>
        </r>
      </text>
    </comment>
    <comment ref="E33" authorId="0" shapeId="0" xr:uid="{00000000-0006-0000-0F00-000001000000}">
      <text>
        <r>
          <rPr>
            <sz val="11"/>
            <color rgb="FF000000"/>
            <rFont val="Calibri"/>
            <family val="2"/>
          </rPr>
          <t>======
ID#AAAADwLNNsA
Vitor_RunTimeError    (2019-11-18 00:14:26)
Para a Dentista</t>
        </r>
      </text>
    </comment>
    <comment ref="F33" authorId="0" shapeId="0" xr:uid="{00000000-0006-0000-0F00-000005000000}">
      <text>
        <r>
          <rPr>
            <sz val="11"/>
            <color rgb="FF000000"/>
            <rFont val="Calibri"/>
            <family val="2"/>
          </rPr>
          <t>======
ID#AAAADwLNNoc
Vitor_RunTimeError    (2019-11-18 00:14:26)
Comprar escova de dente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IRJrIEHmX+maXFoWREvKPPvjnlA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2" authorId="0" shapeId="0" xr:uid="{00000000-0006-0000-1000-000006000000}">
      <text>
        <r>
          <rPr>
            <sz val="11"/>
            <color rgb="FF000000"/>
            <rFont val="Calibri"/>
            <family val="2"/>
          </rPr>
          <t>======
ID#AAAADwLNNpw
Vitor Barbosa    (2019-11-18 00:14:26)
IPT vaquinha, ridículo</t>
        </r>
      </text>
    </comment>
    <comment ref="Q14" authorId="0" shapeId="0" xr:uid="{00000000-0006-0000-1000-000003000000}">
      <text>
        <r>
          <rPr>
            <sz val="11"/>
            <color rgb="FF000000"/>
            <rFont val="Calibri"/>
            <family val="2"/>
          </rPr>
          <t>======
ID#AAAADwLNNsU
Vitor Barbosa    (2019-11-18 00:14:26)
Divine chocolates RS</t>
        </r>
      </text>
    </comment>
    <comment ref="T16" authorId="0" shapeId="0" xr:uid="{00000000-0006-0000-1000-000007000000}">
      <text>
        <r>
          <rPr>
            <sz val="11"/>
            <color rgb="FF000000"/>
            <rFont val="Calibri"/>
            <family val="2"/>
          </rPr>
          <t>======
ID#AAAADwLNNpQ
Vitor Barbosa    (2019-11-18 00:14:26)
Pavilhão Japonês</t>
        </r>
      </text>
    </comment>
    <comment ref="P22" authorId="0" shapeId="0" xr:uid="{00000000-0006-0000-1000-000002000000}">
      <text>
        <r>
          <rPr>
            <sz val="11"/>
            <color rgb="FF000000"/>
            <rFont val="Calibri"/>
            <family val="2"/>
          </rPr>
          <t>======
ID#AAAADwLNNtE
Vitor Barbosa    (2019-11-18 00:14:26)
Água Congonhas</t>
        </r>
      </text>
    </comment>
    <comment ref="E33" authorId="0" shapeId="0" xr:uid="{00000000-0006-0000-1000-000005000000}">
      <text>
        <r>
          <rPr>
            <sz val="11"/>
            <color rgb="FF000000"/>
            <rFont val="Calibri"/>
            <family val="2"/>
          </rPr>
          <t>======
ID#AAAADwLNNrI
Vitor_RunTimeError    (2019-11-18 00:14:26)
Para a Dentista</t>
        </r>
      </text>
    </comment>
    <comment ref="F33" authorId="0" shapeId="0" xr:uid="{00000000-0006-0000-1000-000001000000}">
      <text>
        <r>
          <rPr>
            <sz val="11"/>
            <color rgb="FF000000"/>
            <rFont val="Calibri"/>
            <family val="2"/>
          </rPr>
          <t>======
ID#AAAADwLNNtQ
Vitor_RunTimeError    (2019-11-18 00:14:26)
Comprar escova de dente</t>
        </r>
      </text>
    </comment>
    <comment ref="U33" authorId="0" shapeId="0" xr:uid="{00000000-0006-0000-1000-000004000000}">
      <text>
        <r>
          <rPr>
            <sz val="11"/>
            <color rgb="FF000000"/>
            <rFont val="Calibri"/>
            <family val="2"/>
          </rPr>
          <t>======
ID#AAAADwLNNrw
Vitor Barbosa    (2019-11-18 00:14:26)
Nota fiscal paulista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YQhqVV/fM/H4ZF8K9MR2aQ929D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8" authorId="0" shapeId="0" xr:uid="{00000000-0006-0000-1100-000005000000}">
      <text>
        <r>
          <rPr>
            <sz val="11"/>
            <color rgb="FF000000"/>
            <rFont val="Calibri"/>
            <family val="2"/>
          </rPr>
          <t>======
ID#AAAADwLNNog
Vitor Barbosa    (2019-11-18 00:14:26)
Pastel</t>
        </r>
      </text>
    </comment>
    <comment ref="O14" authorId="0" shapeId="0" xr:uid="{00000000-0006-0000-1100-000002000000}">
      <text>
        <r>
          <rPr>
            <sz val="11"/>
            <color rgb="FF000000"/>
            <rFont val="Calibri"/>
            <family val="2"/>
          </rPr>
          <t>======
ID#AAAADwLNNpI
Vitor Barbosa    (2019-11-18 00:14:26)
Água</t>
        </r>
      </text>
    </comment>
    <comment ref="H21" authorId="0" shapeId="0" xr:uid="{00000000-0006-0000-1100-000003000000}">
      <text>
        <r>
          <rPr>
            <sz val="11"/>
            <color rgb="FF000000"/>
            <rFont val="Calibri"/>
            <family val="2"/>
          </rPr>
          <t>======
ID#AAAADwLNNo8
Vitor Barbosa    (2019-11-18 00:14:26)
O filhaa da puta ainda cobrou 20 reais da devolução, ridículo filho da puta. Que uso pra comprar algo que o mata.</t>
        </r>
      </text>
    </comment>
    <comment ref="E33" authorId="0" shapeId="0" xr:uid="{00000000-0006-0000-1100-000004000000}">
      <text>
        <r>
          <rPr>
            <sz val="11"/>
            <color rgb="FF000000"/>
            <rFont val="Calibri"/>
            <family val="2"/>
          </rPr>
          <t>======
ID#AAAADwLNNo4
Vitor_RunTimeError    (2019-11-18 00:14:26)
Para a Dentista</t>
        </r>
      </text>
    </comment>
    <comment ref="F33" authorId="0" shapeId="0" xr:uid="{00000000-0006-0000-1100-000001000000}">
      <text>
        <r>
          <rPr>
            <sz val="11"/>
            <color rgb="FF000000"/>
            <rFont val="Calibri"/>
            <family val="2"/>
          </rPr>
          <t>======
ID#AAAADwLNNro
Vitor_RunTimeError    (2019-11-18 00:14:26)
Comprar escova de dente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zluekwNNIokzis+FjfuLalC4RrA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8" authorId="0" shapeId="0" xr:uid="{00000000-0006-0000-1200-000005000000}">
      <text>
        <r>
          <rPr>
            <sz val="11"/>
            <color rgb="FF000000"/>
            <rFont val="Calibri"/>
            <family val="2"/>
          </rPr>
          <t>======
ID#AAAADwLNNqM
Vitor Barbosa    (2019-11-18 00:14:26)
Bandeco</t>
        </r>
      </text>
    </comment>
    <comment ref="R8" authorId="0" shapeId="0" xr:uid="{00000000-0006-0000-1200-000007000000}">
      <text>
        <r>
          <rPr>
            <sz val="11"/>
            <color rgb="FF000000"/>
            <rFont val="Calibri"/>
            <family val="2"/>
          </rPr>
          <t>======
ID#AAAADwLNNoY
Vitor Barbosa    (2019-11-18 00:14:26)
Pastel</t>
        </r>
      </text>
    </comment>
    <comment ref="AC11" authorId="0" shapeId="0" xr:uid="{00000000-0006-0000-1200-000003000000}">
      <text>
        <r>
          <rPr>
            <sz val="11"/>
            <color rgb="FF000000"/>
            <rFont val="Calibri"/>
            <family val="2"/>
          </rPr>
          <t>======
ID#AAAADwLNNr0
Vitor Barbosa    (2019-11-18 00:14:26)
Na FFLCH</t>
        </r>
      </text>
    </comment>
    <comment ref="O14" authorId="0" shapeId="0" xr:uid="{00000000-0006-0000-1200-000002000000}">
      <text>
        <r>
          <rPr>
            <sz val="11"/>
            <color rgb="FF000000"/>
            <rFont val="Calibri"/>
            <family val="2"/>
          </rPr>
          <t>======
ID#AAAADwLNNsQ
Vitor Barbosa    (2019-11-18 00:14:26)
Água</t>
        </r>
      </text>
    </comment>
    <comment ref="H21" authorId="0" shapeId="0" xr:uid="{00000000-0006-0000-1200-000006000000}">
      <text>
        <r>
          <rPr>
            <sz val="11"/>
            <color rgb="FF000000"/>
            <rFont val="Calibri"/>
            <family val="2"/>
          </rPr>
          <t>======
ID#AAAADwLNNpk
Vitor Barbosa    (2019-11-18 00:14:26)
O filhaa da puta ainda cobrou 20 reais da devolução, ridículo filho da puta. Que uso pra comprar algo que o mata.</t>
        </r>
      </text>
    </comment>
    <comment ref="AB21" authorId="0" shapeId="0" xr:uid="{00000000-0006-0000-1200-000008000000}">
      <text>
        <r>
          <rPr>
            <sz val="11"/>
            <color rgb="FF000000"/>
            <rFont val="Calibri"/>
            <family val="2"/>
          </rPr>
          <t>======
ID#AAAADwLNNoU
Vitor Barbosa    (2019-11-18 00:14:26)
Correção do Uber com 5 reais de 6,40</t>
        </r>
      </text>
    </comment>
    <comment ref="E33" authorId="0" shapeId="0" xr:uid="{00000000-0006-0000-1200-000004000000}">
      <text>
        <r>
          <rPr>
            <sz val="11"/>
            <color rgb="FF000000"/>
            <rFont val="Calibri"/>
            <family val="2"/>
          </rPr>
          <t>======
ID#AAAADwLNNqo
Vitor_RunTimeError    (2019-11-18 00:14:26)
Para a Dentista</t>
        </r>
      </text>
    </comment>
    <comment ref="F33" authorId="0" shapeId="0" xr:uid="{00000000-0006-0000-1200-000001000000}">
      <text>
        <r>
          <rPr>
            <sz val="11"/>
            <color rgb="FF000000"/>
            <rFont val="Calibri"/>
            <family val="2"/>
          </rPr>
          <t>======
ID#AAAADwLNNtM
Vitor_RunTimeError    (2019-11-18 00:14:26)
Comprar escova de dente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BtLC1OYqAxuyApEYHMP1V8D9cw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8" authorId="0" shapeId="0" xr:uid="{00000000-0006-0000-1300-000001000000}">
      <text>
        <r>
          <rPr>
            <sz val="11"/>
            <color rgb="FF000000"/>
            <rFont val="Calibri"/>
            <family val="2"/>
          </rPr>
          <t>======
ID#AAAADwLNNsM
Vitor Barbosa    (2019-11-18 00:14:26)
Bandeco</t>
        </r>
      </text>
    </comment>
    <comment ref="AF8" authorId="0" shapeId="0" xr:uid="{00000000-0006-0000-1300-000003000000}">
      <text>
        <r>
          <rPr>
            <sz val="11"/>
            <color rgb="FF000000"/>
            <rFont val="Calibri"/>
            <family val="2"/>
          </rPr>
          <t>======
ID#AAAADwLNNqA
Vitor Barbosa    (2019-11-18 00:14:26)
Na carteira</t>
        </r>
      </text>
    </comment>
    <comment ref="H14" authorId="0" shapeId="0" xr:uid="{00000000-0006-0000-1300-000002000000}">
      <text>
        <r>
          <rPr>
            <sz val="11"/>
            <color rgb="FF000000"/>
            <rFont val="Calibri"/>
            <family val="2"/>
          </rPr>
          <t>======
ID#AAAADwLNNrQ
Vitor Barbosa    (2019-11-18 00:14:26)
Leite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cNzKInlHXOIWgMXAhq2JLhTE1E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8" authorId="0" shapeId="0" xr:uid="{00000000-0006-0000-1400-000003000000}">
      <text>
        <r>
          <rPr>
            <sz val="11"/>
            <color rgb="FF000000"/>
            <rFont val="Calibri"/>
            <family val="2"/>
          </rPr>
          <t>======
ID#AAAADwLNNqc
Vitor Barbosa    (2019-11-18 00:14:26)
Bandeco</t>
        </r>
      </text>
    </comment>
    <comment ref="P8" authorId="0" shapeId="0" xr:uid="{00000000-0006-0000-1400-000002000000}">
      <text>
        <r>
          <rPr>
            <sz val="11"/>
            <color rgb="FF000000"/>
            <rFont val="Calibri"/>
            <family val="2"/>
          </rPr>
          <t>======
ID#AAAADwLNNrM
Vitor    (2019-11-18 00:14:26)
Bandeco tá junto</t>
        </r>
      </text>
    </comment>
    <comment ref="H14" authorId="0" shapeId="0" xr:uid="{00000000-0006-0000-1400-000004000000}">
      <text>
        <r>
          <rPr>
            <sz val="11"/>
            <color rgb="FF000000"/>
            <rFont val="Calibri"/>
            <family val="2"/>
          </rPr>
          <t>======
ID#AAAADwLNNqE
Vitor Barbosa    (2019-11-18 00:14:26)
Leite</t>
        </r>
      </text>
    </comment>
    <comment ref="P32" authorId="0" shapeId="0" xr:uid="{00000000-0006-0000-1400-000005000000}">
      <text>
        <r>
          <rPr>
            <sz val="11"/>
            <color rgb="FF000000"/>
            <rFont val="Calibri"/>
            <family val="2"/>
          </rPr>
          <t>======
ID#AAAADwLNNp0
Vitor    (2019-11-18 00:14:26)
Mãe, celular</t>
        </r>
      </text>
    </comment>
    <comment ref="R32" authorId="0" shapeId="0" xr:uid="{00000000-0006-0000-1400-000001000000}">
      <text>
        <r>
          <rPr>
            <sz val="11"/>
            <color rgb="FF000000"/>
            <rFont val="Calibri"/>
            <family val="2"/>
          </rPr>
          <t>======
ID#AAAADwLNNs4
Vitor    (2019-11-18 00:14:26)
Filtro</t>
        </r>
      </text>
    </comment>
    <comment ref="U32" authorId="0" shapeId="0" xr:uid="{00000000-0006-0000-1400-000006000000}">
      <text>
        <r>
          <rPr>
            <sz val="11"/>
            <color rgb="FF000000"/>
            <rFont val="Calibri"/>
            <family val="2"/>
          </rPr>
          <t>======
ID#AAAADwLNNpo
Vitor    (2019-11-18 00:14:26)
Mãe, esponja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wgSZC/KkzNVBL3L1szTK7ldkFw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F19" authorId="0" shapeId="0" xr:uid="{00000000-0006-0000-1500-000001000000}">
      <text>
        <r>
          <rPr>
            <sz val="11"/>
            <color rgb="FF000000"/>
            <rFont val="Calibri"/>
            <family val="2"/>
          </rPr>
          <t>======
ID#AAAADwLNNsk
Vitor    (2019-11-18 00:14:26)
Nubank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rM5QImxSsSW4oI2m16TLRsGp6Q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Vitor</author>
  </authors>
  <commentList>
    <comment ref="K16" authorId="0" shapeId="0" xr:uid="{00000000-0006-0000-1700-000001000000}">
      <text>
        <r>
          <rPr>
            <sz val="11"/>
            <color rgb="FF000000"/>
            <rFont val="Calibri"/>
            <family val="2"/>
          </rPr>
          <t>======
ID#AAAADwLNNp4
Vitor    (2019-11-18 00:14:26)
Na verdade de outubro</t>
        </r>
      </text>
    </comment>
    <comment ref="AF20" authorId="1" shapeId="0" xr:uid="{7FEE1F62-1174-4223-A9AA-4708A742BFD3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Dinheiro</t>
        </r>
      </text>
    </comment>
    <comment ref="K38" authorId="0" shapeId="0" xr:uid="{00000000-0006-0000-1700-000002000000}">
      <text>
        <r>
          <rPr>
            <sz val="11"/>
            <color rgb="FF000000"/>
            <rFont val="Calibri"/>
            <family val="2"/>
          </rPr>
          <t>======
ID#AAAADwLNNpE
Vitor    (2019-11-18 00:14:26)
Errado, têm que aprender a somar as faturas juntas quando ele tiver uma fechada e outra já aberta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Ax6h0jO5Lx+Z5wXaxeR2y/WW3A=="/>
    </ext>
  </extL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</author>
    <author/>
  </authors>
  <commentList>
    <comment ref="AF12" authorId="0" shapeId="0" xr:uid="{90961E42-0850-4957-BD23-82EB3E07295E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Pai te deu 50 reais e você gastou 72 no mercado</t>
        </r>
      </text>
    </comment>
    <comment ref="K16" authorId="1" shapeId="0" xr:uid="{00000000-0006-0000-1900-000001000000}">
      <text>
        <r>
          <rPr>
            <sz val="11"/>
            <color rgb="FF000000"/>
            <rFont val="Calibri"/>
            <family val="2"/>
          </rPr>
          <t>======
ID#AAAADwLNNs0
Vitor    (2019-11-18 00:14:26)
Na verdade de outubro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zEJwaSsETt+o+QIrjwyqUajlRQ=="/>
    </ext>
  </extL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</author>
    <author/>
    <author>vitor</author>
  </authors>
  <commentList>
    <comment ref="AC12" authorId="0" shapeId="0" xr:uid="{07A5183F-E411-4D94-9DA6-C5014BBF0B43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Pai te deu 50 reais e você gastou 72 no mercado</t>
        </r>
      </text>
    </comment>
    <comment ref="H16" authorId="1" shapeId="0" xr:uid="{01768F4B-B966-47E6-84B9-03F2806A85EB}">
      <text>
        <r>
          <rPr>
            <sz val="11"/>
            <color rgb="FF000000"/>
            <rFont val="Calibri"/>
            <family val="2"/>
          </rPr>
          <t>======
ID#AAAADwLNNs0
Vitor    (2019-11-18 00:14:26)
Na verdade de outubro</t>
        </r>
      </text>
    </comment>
    <comment ref="Y25" authorId="2" shapeId="0" xr:uid="{D68424DD-0BE8-4290-9953-85B76B81A0EA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Amazon AWS (Não deveria ter cobrado né)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</author>
    <author>Vitor</author>
    <author/>
  </authors>
  <commentList>
    <comment ref="Z8" authorId="0" shapeId="0" xr:uid="{1CFE3F1A-2088-4718-A268-3D574A828B50}">
      <text>
        <r>
          <rPr>
            <b/>
            <sz val="9"/>
            <color indexed="81"/>
            <rFont val="Tahoma"/>
            <family val="2"/>
          </rPr>
          <t>vitor:</t>
        </r>
        <r>
          <rPr>
            <sz val="9"/>
            <color indexed="81"/>
            <rFont val="Tahoma"/>
            <family val="2"/>
          </rPr>
          <t xml:space="preserve">
Brigadeiro Natália
</t>
        </r>
      </text>
    </comment>
    <comment ref="W9" authorId="0" shapeId="0" xr:uid="{26F14788-48EE-4DA1-BEF3-27D84747F7F5}">
      <text>
        <r>
          <rPr>
            <b/>
            <sz val="9"/>
            <color indexed="81"/>
            <rFont val="Tahoma"/>
            <family val="2"/>
          </rPr>
          <t>vitor:</t>
        </r>
        <r>
          <rPr>
            <sz val="9"/>
            <color indexed="81"/>
            <rFont val="Tahoma"/>
            <family val="2"/>
          </rPr>
          <t xml:space="preserve">
Asuka</t>
        </r>
      </text>
    </comment>
    <comment ref="AC12" authorId="1" shapeId="0" xr:uid="{C86189DE-DDAF-4B9A-94A7-800DF1718ABC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Pai te deu 50 reais e você gastou 72 no mercado</t>
        </r>
      </text>
    </comment>
    <comment ref="M14" authorId="0" shapeId="0" xr:uid="{5C240D32-73DB-4859-9DE9-E36A980568F6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Algodão Miguinha</t>
        </r>
      </text>
    </comment>
    <comment ref="H16" authorId="2" shapeId="0" xr:uid="{276400CD-BFDE-4600-98F8-C38197B1665F}">
      <text>
        <r>
          <rPr>
            <sz val="11"/>
            <color rgb="FF000000"/>
            <rFont val="Calibri"/>
            <family val="2"/>
          </rPr>
          <t>======
ID#AAAADwLNNs0
Vitor    (2019-11-18 00:14:26)
Na verdade de outubro</t>
        </r>
      </text>
    </comment>
    <comment ref="Y22" authorId="0" shapeId="0" xr:uid="{F7359EB1-6DBA-4513-9DFB-EF043EF3CE84}">
      <text>
        <r>
          <rPr>
            <b/>
            <sz val="9"/>
            <color indexed="81"/>
            <rFont val="Tahoma"/>
            <family val="2"/>
          </rPr>
          <t>vitor:</t>
        </r>
        <r>
          <rPr>
            <sz val="9"/>
            <color indexed="81"/>
            <rFont val="Tahoma"/>
            <family val="2"/>
          </rPr>
          <t xml:space="preserve">
Curso Udemy</t>
        </r>
      </text>
    </comment>
    <comment ref="Y25" authorId="0" shapeId="0" xr:uid="{B4D26DF4-6D1B-4AB2-B02A-30E7B96BC9D4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Amazon AWS (Não deveria ter cobrado né)</t>
        </r>
      </text>
    </comment>
    <comment ref="J32" authorId="0" shapeId="0" xr:uid="{2FB8A78D-780E-4F2E-9DFE-05197EDEC8A9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PicPay Retorno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</author>
  </authors>
  <commentList>
    <comment ref="Q12" authorId="0" shapeId="0" xr:uid="{333421F1-B2D7-45B7-B48A-D65BB10681D6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Café fresco do povo do IPT</t>
        </r>
      </text>
    </comment>
    <comment ref="N26" authorId="0" shapeId="0" xr:uid="{FF17EE8A-488F-4273-9AE9-FD54E34EE2EC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30 informacao UEFI
</t>
        </r>
      </text>
    </comment>
  </commentList>
</comments>
</file>

<file path=xl/sharedStrings.xml><?xml version="1.0" encoding="utf-8"?>
<sst xmlns="http://schemas.openxmlformats.org/spreadsheetml/2006/main" count="15979" uniqueCount="210">
  <si>
    <t>Ano</t>
  </si>
  <si>
    <t>Mês</t>
  </si>
  <si>
    <t>Defi</t>
  </si>
  <si>
    <t>TipoDia</t>
  </si>
  <si>
    <t>Categoria1</t>
  </si>
  <si>
    <t>fds</t>
  </si>
  <si>
    <t>sem</t>
  </si>
  <si>
    <t>Dia</t>
  </si>
  <si>
    <t>DiaSemana</t>
  </si>
  <si>
    <t>sex</t>
  </si>
  <si>
    <t>sáb</t>
  </si>
  <si>
    <t>dom</t>
  </si>
  <si>
    <t>seg</t>
  </si>
  <si>
    <t>Caterogia2</t>
  </si>
  <si>
    <t>ter</t>
  </si>
  <si>
    <t>qua</t>
  </si>
  <si>
    <t>Valores</t>
  </si>
  <si>
    <t>qui</t>
  </si>
  <si>
    <t>DiaMês</t>
  </si>
  <si>
    <t>Comida</t>
  </si>
  <si>
    <t>Bares-Restaurantes</t>
  </si>
  <si>
    <t>BK</t>
  </si>
  <si>
    <t>Salgados</t>
  </si>
  <si>
    <t>Café</t>
  </si>
  <si>
    <t>Mercado</t>
  </si>
  <si>
    <t>C</t>
  </si>
  <si>
    <t>Geral</t>
  </si>
  <si>
    <t>Saúde</t>
  </si>
  <si>
    <t>Lazer</t>
  </si>
  <si>
    <t>Contas</t>
  </si>
  <si>
    <t>Transporte</t>
  </si>
  <si>
    <t>BU</t>
  </si>
  <si>
    <t>BOM</t>
  </si>
  <si>
    <t>Uber</t>
  </si>
  <si>
    <t>Material Escolar</t>
  </si>
  <si>
    <t>Xerox</t>
  </si>
  <si>
    <t>Compras</t>
  </si>
  <si>
    <t>Moradia</t>
  </si>
  <si>
    <t>Star</t>
  </si>
  <si>
    <t>Acessórios</t>
  </si>
  <si>
    <t>Livros</t>
  </si>
  <si>
    <t>Roupas</t>
  </si>
  <si>
    <t>Cuidados Pessoais</t>
  </si>
  <si>
    <t>G</t>
  </si>
  <si>
    <t>Renda</t>
  </si>
  <si>
    <t>Total Gastos</t>
  </si>
  <si>
    <t>T</t>
  </si>
  <si>
    <t>Lucro</t>
  </si>
  <si>
    <t>Depósitos</t>
  </si>
  <si>
    <t>Bares/Restaurantes</t>
  </si>
  <si>
    <t>Educação</t>
  </si>
  <si>
    <t>Poupado</t>
  </si>
  <si>
    <t>DiaSem</t>
  </si>
  <si>
    <t>Gasto</t>
  </si>
  <si>
    <t>Gastos</t>
  </si>
  <si>
    <t>Cat1</t>
  </si>
  <si>
    <t>Cat2</t>
  </si>
  <si>
    <t>Cat3</t>
  </si>
  <si>
    <t xml:space="preserve">Dinheiro </t>
  </si>
  <si>
    <t>Cartão</t>
  </si>
  <si>
    <t>Investimentos</t>
  </si>
  <si>
    <t>Carteira</t>
  </si>
  <si>
    <t>Total</t>
  </si>
  <si>
    <t>Poupança</t>
  </si>
  <si>
    <t>Hoje</t>
  </si>
  <si>
    <t>R</t>
  </si>
  <si>
    <t>-</t>
  </si>
  <si>
    <t>pago</t>
  </si>
  <si>
    <t>nãoteve</t>
  </si>
  <si>
    <t>Projeção</t>
  </si>
  <si>
    <t>Nubank</t>
  </si>
  <si>
    <t>Corrente</t>
  </si>
  <si>
    <t>Casa</t>
  </si>
  <si>
    <t>Easynvest</t>
  </si>
  <si>
    <t>Real</t>
  </si>
  <si>
    <t>Input</t>
  </si>
  <si>
    <t>%</t>
  </si>
  <si>
    <t>nãotem</t>
  </si>
  <si>
    <t>8</t>
  </si>
  <si>
    <t>Gasto por dia</t>
  </si>
  <si>
    <t>Atual</t>
  </si>
  <si>
    <t>Café - Star</t>
  </si>
  <si>
    <t>não ter</t>
  </si>
  <si>
    <t>não teve</t>
  </si>
  <si>
    <t>Acúmulo de gasto</t>
  </si>
  <si>
    <t>Inter</t>
  </si>
  <si>
    <t>NuConta</t>
  </si>
  <si>
    <t>Tirando:</t>
  </si>
  <si>
    <t/>
  </si>
  <si>
    <t>Yellow</t>
  </si>
  <si>
    <t>Não se sabe</t>
  </si>
  <si>
    <t>Doces</t>
  </si>
  <si>
    <t xml:space="preserve">não tem </t>
  </si>
  <si>
    <t>Gasto ao longo do mês</t>
  </si>
  <si>
    <t>Viagem</t>
  </si>
  <si>
    <t>Nuconta</t>
  </si>
  <si>
    <t>Correção</t>
  </si>
  <si>
    <t>teve</t>
  </si>
  <si>
    <t>a</t>
  </si>
  <si>
    <t>Digio</t>
  </si>
  <si>
    <t xml:space="preserve">Plano inicial </t>
  </si>
  <si>
    <t>Máximo:</t>
  </si>
  <si>
    <t>Lucrar:</t>
  </si>
  <si>
    <t>Poupar:</t>
  </si>
  <si>
    <t>Máx:</t>
  </si>
  <si>
    <t>Falta:</t>
  </si>
  <si>
    <t>Real:</t>
  </si>
  <si>
    <t>Comidinhas</t>
  </si>
  <si>
    <t>Diferença:</t>
  </si>
  <si>
    <t>Café / Doces</t>
  </si>
  <si>
    <t>Lista de Prioridades:</t>
  </si>
  <si>
    <t>Lazer (ingressos)</t>
  </si>
  <si>
    <t xml:space="preserve">Spotify, Vivo </t>
  </si>
  <si>
    <t>BU - Investir</t>
  </si>
  <si>
    <t>Acessório/Tampão</t>
  </si>
  <si>
    <t>BOM - Investir</t>
  </si>
  <si>
    <t>Uber / 99pop</t>
  </si>
  <si>
    <t>Passagens</t>
  </si>
  <si>
    <t>Escritório</t>
  </si>
  <si>
    <t>Rico</t>
  </si>
  <si>
    <t>Material de escritório</t>
  </si>
  <si>
    <t>Cortar cabelo</t>
  </si>
  <si>
    <t>Viagens</t>
  </si>
  <si>
    <t>Até o momento</t>
  </si>
  <si>
    <t>Premissas:</t>
  </si>
  <si>
    <t>Não sair com os muleques 
para gastar milhões</t>
  </si>
  <si>
    <t>Vai de domingo para 
o cafofo e fica no cafofo</t>
  </si>
  <si>
    <t>Janta</t>
  </si>
  <si>
    <t xml:space="preserve">Poupado real </t>
  </si>
  <si>
    <t xml:space="preserve">% Poupado real </t>
  </si>
  <si>
    <t>Alimentos</t>
  </si>
  <si>
    <t>Higiene Pessoal</t>
  </si>
  <si>
    <t xml:space="preserve">Absoluto </t>
  </si>
  <si>
    <t>Acúmulos</t>
  </si>
  <si>
    <t>Prestação</t>
  </si>
  <si>
    <t>Sem pais:</t>
  </si>
  <si>
    <t>Com pais</t>
  </si>
  <si>
    <t>Banco do Brasil</t>
  </si>
  <si>
    <t>Santander</t>
  </si>
  <si>
    <t>Bens materiais essenciais:</t>
  </si>
  <si>
    <t>Notebook com performance equivalente de i7</t>
  </si>
  <si>
    <t>Celular que não trave, abre tudo em segundos</t>
  </si>
  <si>
    <t>Serviços essenciais:</t>
  </si>
  <si>
    <t>Bilhete único</t>
  </si>
  <si>
    <t>Internet de casa</t>
  </si>
  <si>
    <t xml:space="preserve">Internet no celular </t>
  </si>
  <si>
    <t>Spotify</t>
  </si>
  <si>
    <t>É ESSENCIAL TER NETFLIX? - Como está lá separado, tá ok</t>
  </si>
  <si>
    <t>Preço:</t>
  </si>
  <si>
    <t>Total:</t>
  </si>
  <si>
    <t>Qtde no mês</t>
  </si>
  <si>
    <t>Meia:</t>
  </si>
  <si>
    <t>Inteira:</t>
  </si>
  <si>
    <t>Metrô</t>
  </si>
  <si>
    <t>Ônibus</t>
  </si>
  <si>
    <t>Em viagens de metrô:</t>
  </si>
  <si>
    <t>Sobra do IPT:</t>
  </si>
  <si>
    <t>Em viagens:</t>
  </si>
  <si>
    <t>359/050</t>
  </si>
  <si>
    <t>280BI</t>
  </si>
  <si>
    <t>BU:</t>
  </si>
  <si>
    <t>Se eu carregar só o BU:</t>
  </si>
  <si>
    <t>Meses</t>
  </si>
  <si>
    <t>SUM of Bares-Restaurantes</t>
  </si>
  <si>
    <t>SUM of BK</t>
  </si>
  <si>
    <t>SUM of Doces</t>
  </si>
  <si>
    <t>SUM of Salgados</t>
  </si>
  <si>
    <t>SUM of Starbucks</t>
  </si>
  <si>
    <t>SUM of Café</t>
  </si>
  <si>
    <t>SUM of Mercado</t>
  </si>
  <si>
    <t>SUM of Saúde</t>
  </si>
  <si>
    <t>SUM of Lazer</t>
  </si>
  <si>
    <t>SUM of Yellow</t>
  </si>
  <si>
    <t>SUM of Contas</t>
  </si>
  <si>
    <t>SUM of BU</t>
  </si>
  <si>
    <t>SUM of BOM</t>
  </si>
  <si>
    <t>SUM of Uber</t>
  </si>
  <si>
    <t>SUM of Viagem</t>
  </si>
  <si>
    <t>SUM of Material Escolar</t>
  </si>
  <si>
    <t>SUM of Xerox</t>
  </si>
  <si>
    <t>SUM of Compras</t>
  </si>
  <si>
    <t>SUM of Acessórios</t>
  </si>
  <si>
    <t>SUM of Livros</t>
  </si>
  <si>
    <t>SUM of Roupas</t>
  </si>
  <si>
    <t>SUM of Casa</t>
  </si>
  <si>
    <t>SUM of Cuidados Pessoais</t>
  </si>
  <si>
    <t>Starbucks</t>
  </si>
  <si>
    <t xml:space="preserve">Média mensal </t>
  </si>
  <si>
    <t>Poupado teórico</t>
  </si>
  <si>
    <t>% Poupado teórico</t>
  </si>
  <si>
    <t>Começo Dezembro:</t>
  </si>
  <si>
    <t>Renda Dezembro:</t>
  </si>
  <si>
    <t>Gastos Dezembro:</t>
  </si>
  <si>
    <t>Notebook:</t>
  </si>
  <si>
    <t>BIQ</t>
  </si>
  <si>
    <t>Parcela</t>
  </si>
  <si>
    <t>1ª</t>
  </si>
  <si>
    <t>2ª</t>
  </si>
  <si>
    <t>Salário sem descontos</t>
  </si>
  <si>
    <t>Salário com descontos</t>
  </si>
  <si>
    <t>Outubro:</t>
  </si>
  <si>
    <t>Novembro:</t>
  </si>
  <si>
    <t>% Sem desconto</t>
  </si>
  <si>
    <t>% Com desconto</t>
  </si>
  <si>
    <t>BB</t>
  </si>
  <si>
    <t>/dia</t>
  </si>
  <si>
    <t>Total Geral</t>
  </si>
  <si>
    <t>Notebook</t>
  </si>
  <si>
    <t>Celular</t>
  </si>
  <si>
    <t>SSD 860 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</si>
</sst>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F800]dddd"/>
    <numFmt numFmtId="165" formatCode="[$-416]d"/>
    <numFmt numFmtId="166" formatCode="0.0"/>
    <numFmt numFmtId="167" formatCode="&quot;R$&quot;#,##0.00"/>
    <numFmt numFmtId="168" formatCode="#,##0.00;\(#,##0.00\)"/>
    <numFmt numFmtId="169" formatCode="_-&quot;R$&quot;* #,##0.00_-;\-&quot;R$&quot;* #,##0.00_-;_-&quot;R$&quot;* &quot;-&quot;??_-;_-@"/>
    <numFmt numFmtId="170" formatCode="#,##0;\(#,##0\)"/>
    <numFmt numFmtId="171" formatCode="0.0%"/>
  </numFmts>
  <fonts count="2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5700"/>
      <name val="Calibri"/>
      <family val="2"/>
    </font>
    <font>
      <sz val="11"/>
      <name val="Calibri"/>
      <family val="2"/>
    </font>
    <font>
      <sz val="11"/>
      <color rgb="FF006100"/>
      <name val="Arial"/>
      <family val="2"/>
    </font>
    <font>
      <sz val="11"/>
      <color rgb="FF9C5700"/>
      <name val="Arial"/>
      <family val="2"/>
    </font>
    <font>
      <b/>
      <sz val="11"/>
      <color rgb="FFFFFFFF"/>
      <name val="Calibri"/>
      <family val="2"/>
    </font>
    <font>
      <b/>
      <sz val="13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FFFFFF"/>
      <name val="Arial"/>
      <family val="2"/>
    </font>
    <font>
      <sz val="13"/>
      <color theme="1"/>
      <name val="Arial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B6DDE8"/>
        <bgColor rgb="FFB6DDE8"/>
      </patternFill>
    </fill>
    <fill>
      <patternFill patternType="solid">
        <fgColor rgb="FFEAF1DD"/>
        <bgColor rgb="FFEAF1DD"/>
      </patternFill>
    </fill>
    <fill>
      <patternFill patternType="solid">
        <fgColor rgb="FFEEECE1"/>
        <bgColor rgb="FFEEECE1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2" tint="-0.14999847407452621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rgb="FFF2F2F2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FFFFFF"/>
      </left>
      <right/>
      <top style="thin">
        <color rgb="FF999999"/>
      </top>
      <bottom/>
      <diagonal/>
    </border>
    <border>
      <left style="thin">
        <color rgb="FFFFFFFF"/>
      </left>
      <right style="thin">
        <color rgb="FF999999"/>
      </right>
      <top style="thin">
        <color rgb="FF999999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999999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999999"/>
      </left>
      <right/>
      <top style="thin">
        <color rgb="FFFFFFFF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0" fillId="0" borderId="0" applyFont="0" applyFill="0" applyBorder="0" applyAlignment="0" applyProtection="0"/>
  </cellStyleXfs>
  <cellXfs count="287">
    <xf numFmtId="0" fontId="0" fillId="0" borderId="0" xfId="0" applyFont="1" applyAlignment="1"/>
    <xf numFmtId="0" fontId="0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2" fillId="0" borderId="0" xfId="0" applyFont="1"/>
    <xf numFmtId="165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2" fontId="1" fillId="0" borderId="0" xfId="0" applyNumberFormat="1" applyFont="1" applyAlignment="1">
      <alignment horizontal="center"/>
    </xf>
    <xf numFmtId="0" fontId="0" fillId="0" borderId="8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0" fillId="0" borderId="10" xfId="0" applyFont="1" applyBorder="1"/>
    <xf numFmtId="2" fontId="1" fillId="0" borderId="11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0" fillId="0" borderId="0" xfId="0" applyNumberFormat="1" applyFont="1"/>
    <xf numFmtId="2" fontId="1" fillId="0" borderId="12" xfId="0" applyNumberFormat="1" applyFont="1" applyBorder="1" applyAlignment="1">
      <alignment horizontal="center"/>
    </xf>
    <xf numFmtId="0" fontId="0" fillId="0" borderId="14" xfId="0" applyFont="1" applyBorder="1"/>
    <xf numFmtId="0" fontId="1" fillId="2" borderId="15" xfId="0" applyFont="1" applyFill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6" xfId="0" applyNumberFormat="1" applyFont="1" applyBorder="1" applyAlignment="1">
      <alignment horizontal="center"/>
    </xf>
    <xf numFmtId="2" fontId="0" fillId="0" borderId="17" xfId="0" applyNumberFormat="1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2" fontId="3" fillId="3" borderId="18" xfId="0" applyNumberFormat="1" applyFont="1" applyFill="1" applyBorder="1" applyAlignment="1">
      <alignment horizontal="center"/>
    </xf>
    <xf numFmtId="0" fontId="0" fillId="0" borderId="19" xfId="0" applyFont="1" applyBorder="1"/>
    <xf numFmtId="0" fontId="0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9" fontId="5" fillId="4" borderId="5" xfId="0" applyNumberFormat="1" applyFont="1" applyFill="1" applyBorder="1"/>
    <xf numFmtId="9" fontId="6" fillId="3" borderId="5" xfId="0" applyNumberFormat="1" applyFont="1" applyFill="1" applyBorder="1"/>
    <xf numFmtId="9" fontId="0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7" fontId="0" fillId="0" borderId="0" xfId="0" applyNumberFormat="1" applyFont="1"/>
    <xf numFmtId="14" fontId="0" fillId="0" borderId="0" xfId="0" applyNumberFormat="1" applyFont="1"/>
    <xf numFmtId="0" fontId="0" fillId="0" borderId="0" xfId="0" applyFont="1"/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1" fillId="0" borderId="24" xfId="0" applyNumberFormat="1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65" fontId="1" fillId="0" borderId="24" xfId="0" applyNumberFormat="1" applyFont="1" applyBorder="1" applyAlignment="1">
      <alignment horizontal="center"/>
    </xf>
    <xf numFmtId="165" fontId="1" fillId="0" borderId="16" xfId="0" applyNumberFormat="1" applyFont="1" applyBorder="1" applyAlignment="1">
      <alignment horizontal="center"/>
    </xf>
    <xf numFmtId="0" fontId="0" fillId="0" borderId="16" xfId="0" applyFont="1" applyBorder="1"/>
    <xf numFmtId="166" fontId="1" fillId="0" borderId="24" xfId="0" applyNumberFormat="1" applyFont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0" borderId="24" xfId="0" applyFont="1" applyBorder="1"/>
    <xf numFmtId="166" fontId="0" fillId="0" borderId="24" xfId="0" applyNumberFormat="1" applyFont="1" applyBorder="1"/>
    <xf numFmtId="0" fontId="1" fillId="0" borderId="1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166" fontId="0" fillId="0" borderId="24" xfId="0" applyNumberFormat="1" applyFont="1" applyBorder="1" applyAlignment="1">
      <alignment horizontal="center"/>
    </xf>
    <xf numFmtId="0" fontId="1" fillId="0" borderId="28" xfId="0" applyFont="1" applyBorder="1" applyAlignment="1">
      <alignment horizontal="left"/>
    </xf>
    <xf numFmtId="168" fontId="0" fillId="0" borderId="29" xfId="0" applyNumberFormat="1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0" xfId="0" applyFont="1" applyAlignment="1">
      <alignment horizontal="right"/>
    </xf>
    <xf numFmtId="0" fontId="1" fillId="0" borderId="30" xfId="0" applyFont="1" applyBorder="1" applyAlignment="1">
      <alignment horizontal="left"/>
    </xf>
    <xf numFmtId="168" fontId="0" fillId="0" borderId="31" xfId="0" applyNumberFormat="1" applyFont="1" applyBorder="1"/>
    <xf numFmtId="0" fontId="1" fillId="0" borderId="32" xfId="0" applyFont="1" applyBorder="1" applyAlignment="1">
      <alignment horizontal="left"/>
    </xf>
    <xf numFmtId="9" fontId="5" fillId="0" borderId="33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2" fontId="1" fillId="0" borderId="34" xfId="0" applyNumberFormat="1" applyFont="1" applyBorder="1" applyAlignment="1">
      <alignment horizontal="center"/>
    </xf>
    <xf numFmtId="168" fontId="0" fillId="0" borderId="34" xfId="0" applyNumberFormat="1" applyFont="1" applyBorder="1"/>
    <xf numFmtId="0" fontId="1" fillId="0" borderId="0" xfId="0" applyFont="1" applyAlignment="1">
      <alignment horizontal="left"/>
    </xf>
    <xf numFmtId="168" fontId="0" fillId="0" borderId="4" xfId="0" applyNumberFormat="1" applyFont="1" applyBorder="1"/>
    <xf numFmtId="9" fontId="0" fillId="5" borderId="35" xfId="0" applyNumberFormat="1" applyFont="1" applyFill="1" applyBorder="1" applyAlignment="1">
      <alignment horizontal="center"/>
    </xf>
    <xf numFmtId="168" fontId="0" fillId="5" borderId="36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9" fontId="0" fillId="6" borderId="37" xfId="0" applyNumberFormat="1" applyFont="1" applyFill="1" applyBorder="1" applyAlignment="1">
      <alignment horizontal="center"/>
    </xf>
    <xf numFmtId="168" fontId="0" fillId="6" borderId="38" xfId="0" applyNumberFormat="1" applyFont="1" applyFill="1" applyBorder="1" applyAlignment="1">
      <alignment horizontal="center"/>
    </xf>
    <xf numFmtId="9" fontId="0" fillId="5" borderId="37" xfId="0" applyNumberFormat="1" applyFont="1" applyFill="1" applyBorder="1" applyAlignment="1">
      <alignment horizontal="center"/>
    </xf>
    <xf numFmtId="168" fontId="0" fillId="5" borderId="38" xfId="0" applyNumberFormat="1" applyFont="1" applyFill="1" applyBorder="1" applyAlignment="1">
      <alignment horizontal="center"/>
    </xf>
    <xf numFmtId="9" fontId="6" fillId="0" borderId="0" xfId="0" applyNumberFormat="1" applyFont="1" applyAlignment="1">
      <alignment horizontal="center"/>
    </xf>
    <xf numFmtId="0" fontId="0" fillId="7" borderId="5" xfId="0" applyFont="1" applyFill="1" applyBorder="1"/>
    <xf numFmtId="0" fontId="0" fillId="7" borderId="5" xfId="0" applyFont="1" applyFill="1" applyBorder="1" applyAlignment="1">
      <alignment horizontal="center"/>
    </xf>
    <xf numFmtId="168" fontId="0" fillId="0" borderId="17" xfId="0" applyNumberFormat="1" applyFont="1" applyBorder="1"/>
    <xf numFmtId="0" fontId="1" fillId="0" borderId="24" xfId="0" applyFont="1" applyBorder="1" applyAlignment="1">
      <alignment horizontal="left"/>
    </xf>
    <xf numFmtId="2" fontId="0" fillId="0" borderId="24" xfId="0" applyNumberFormat="1" applyFont="1" applyBorder="1" applyAlignment="1">
      <alignment horizontal="center"/>
    </xf>
    <xf numFmtId="2" fontId="1" fillId="6" borderId="39" xfId="0" applyNumberFormat="1" applyFont="1" applyFill="1" applyBorder="1" applyAlignment="1">
      <alignment horizontal="center"/>
    </xf>
    <xf numFmtId="168" fontId="1" fillId="0" borderId="31" xfId="0" applyNumberFormat="1" applyFont="1" applyBorder="1"/>
    <xf numFmtId="168" fontId="0" fillId="6" borderId="40" xfId="0" applyNumberFormat="1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164" fontId="1" fillId="8" borderId="5" xfId="0" applyNumberFormat="1" applyFont="1" applyFill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9" fontId="5" fillId="0" borderId="33" xfId="0" applyNumberFormat="1" applyFont="1" applyBorder="1" applyAlignment="1">
      <alignment horizontal="right"/>
    </xf>
    <xf numFmtId="0" fontId="1" fillId="9" borderId="5" xfId="0" applyFont="1" applyFill="1" applyBorder="1" applyAlignment="1">
      <alignment horizontal="center"/>
    </xf>
    <xf numFmtId="166" fontId="1" fillId="0" borderId="24" xfId="0" applyNumberFormat="1" applyFont="1" applyBorder="1" applyAlignment="1">
      <alignment horizontal="left"/>
    </xf>
    <xf numFmtId="165" fontId="1" fillId="9" borderId="5" xfId="0" applyNumberFormat="1" applyFont="1" applyFill="1" applyBorder="1" applyAlignment="1">
      <alignment horizontal="center"/>
    </xf>
    <xf numFmtId="168" fontId="0" fillId="0" borderId="40" xfId="0" applyNumberFormat="1" applyFont="1" applyBorder="1" applyAlignment="1">
      <alignment horizontal="center"/>
    </xf>
    <xf numFmtId="9" fontId="1" fillId="0" borderId="34" xfId="0" applyNumberFormat="1" applyFont="1" applyBorder="1" applyAlignment="1">
      <alignment horizontal="center"/>
    </xf>
    <xf numFmtId="168" fontId="0" fillId="0" borderId="34" xfId="0" applyNumberFormat="1" applyFont="1" applyBorder="1" applyAlignment="1">
      <alignment horizontal="center"/>
    </xf>
    <xf numFmtId="166" fontId="0" fillId="10" borderId="15" xfId="0" applyNumberFormat="1" applyFont="1" applyFill="1" applyBorder="1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8" fontId="2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 applyFont="1"/>
    <xf numFmtId="168" fontId="0" fillId="0" borderId="0" xfId="0" applyNumberFormat="1" applyFont="1"/>
    <xf numFmtId="9" fontId="0" fillId="5" borderId="38" xfId="0" applyNumberFormat="1" applyFont="1" applyFill="1" applyBorder="1" applyAlignment="1">
      <alignment horizontal="center"/>
    </xf>
    <xf numFmtId="9" fontId="0" fillId="6" borderId="38" xfId="0" applyNumberFormat="1" applyFont="1" applyFill="1" applyBorder="1" applyAlignment="1">
      <alignment horizontal="center"/>
    </xf>
    <xf numFmtId="2" fontId="0" fillId="0" borderId="24" xfId="0" applyNumberFormat="1" applyFont="1" applyBorder="1" applyAlignment="1">
      <alignment horizontal="right"/>
    </xf>
    <xf numFmtId="2" fontId="1" fillId="11" borderId="39" xfId="0" applyNumberFormat="1" applyFont="1" applyFill="1" applyBorder="1" applyAlignment="1">
      <alignment horizontal="center"/>
    </xf>
    <xf numFmtId="168" fontId="0" fillId="11" borderId="40" xfId="0" applyNumberFormat="1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169" fontId="1" fillId="0" borderId="0" xfId="0" applyNumberFormat="1" applyFont="1" applyAlignment="1">
      <alignment horizontal="center"/>
    </xf>
    <xf numFmtId="16" fontId="0" fillId="0" borderId="41" xfId="0" applyNumberFormat="1" applyFont="1" applyBorder="1" applyAlignment="1">
      <alignment horizontal="center"/>
    </xf>
    <xf numFmtId="168" fontId="1" fillId="0" borderId="4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168" fontId="0" fillId="5" borderId="42" xfId="0" applyNumberFormat="1" applyFont="1" applyFill="1" applyBorder="1" applyAlignment="1">
      <alignment horizontal="center"/>
    </xf>
    <xf numFmtId="4" fontId="0" fillId="0" borderId="0" xfId="0" applyNumberFormat="1" applyFont="1" applyAlignment="1">
      <alignment horizontal="center"/>
    </xf>
    <xf numFmtId="168" fontId="1" fillId="6" borderId="38" xfId="0" applyNumberFormat="1" applyFont="1" applyFill="1" applyBorder="1" applyAlignment="1">
      <alignment horizontal="center"/>
    </xf>
    <xf numFmtId="168" fontId="0" fillId="6" borderId="42" xfId="0" applyNumberFormat="1" applyFont="1" applyFill="1" applyBorder="1" applyAlignment="1">
      <alignment horizontal="center"/>
    </xf>
    <xf numFmtId="166" fontId="0" fillId="0" borderId="0" xfId="0" applyNumberFormat="1" applyFont="1"/>
    <xf numFmtId="0" fontId="0" fillId="0" borderId="2" xfId="0" applyFont="1" applyBorder="1"/>
    <xf numFmtId="0" fontId="1" fillId="12" borderId="5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center"/>
    </xf>
    <xf numFmtId="0" fontId="0" fillId="12" borderId="5" xfId="0" applyFont="1" applyFill="1" applyBorder="1"/>
    <xf numFmtId="0" fontId="0" fillId="12" borderId="5" xfId="0" applyFont="1" applyFill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1" fillId="0" borderId="44" xfId="0" applyFont="1" applyBorder="1" applyAlignment="1">
      <alignment horizontal="left"/>
    </xf>
    <xf numFmtId="0" fontId="1" fillId="0" borderId="13" xfId="0" applyFont="1" applyBorder="1"/>
    <xf numFmtId="168" fontId="1" fillId="0" borderId="0" xfId="0" applyNumberFormat="1" applyFont="1"/>
    <xf numFmtId="0" fontId="0" fillId="0" borderId="13" xfId="0" applyFont="1" applyBorder="1"/>
    <xf numFmtId="168" fontId="1" fillId="0" borderId="4" xfId="0" applyNumberFormat="1" applyFont="1" applyBorder="1"/>
    <xf numFmtId="9" fontId="5" fillId="0" borderId="0" xfId="0" applyNumberFormat="1" applyFont="1" applyAlignment="1">
      <alignment horizontal="right"/>
    </xf>
    <xf numFmtId="0" fontId="1" fillId="0" borderId="34" xfId="0" applyFont="1" applyBorder="1" applyAlignment="1">
      <alignment horizontal="left"/>
    </xf>
    <xf numFmtId="0" fontId="0" fillId="0" borderId="21" xfId="0" applyFont="1" applyBorder="1"/>
    <xf numFmtId="9" fontId="5" fillId="0" borderId="17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9" fontId="1" fillId="0" borderId="34" xfId="0" applyNumberFormat="1" applyFont="1" applyBorder="1" applyAlignment="1">
      <alignment horizontal="center" vertical="center"/>
    </xf>
    <xf numFmtId="168" fontId="0" fillId="0" borderId="34" xfId="0" applyNumberFormat="1" applyFont="1" applyBorder="1" applyAlignment="1">
      <alignment horizontal="center" vertical="center"/>
    </xf>
    <xf numFmtId="0" fontId="1" fillId="0" borderId="0" xfId="0" applyFont="1"/>
    <xf numFmtId="4" fontId="0" fillId="0" borderId="0" xfId="0" applyNumberFormat="1" applyFont="1"/>
    <xf numFmtId="0" fontId="9" fillId="0" borderId="43" xfId="0" applyFont="1" applyBorder="1"/>
    <xf numFmtId="0" fontId="10" fillId="0" borderId="2" xfId="0" applyFont="1" applyBorder="1"/>
    <xf numFmtId="168" fontId="9" fillId="0" borderId="3" xfId="0" applyNumberFormat="1" applyFont="1" applyBorder="1"/>
    <xf numFmtId="168" fontId="1" fillId="5" borderId="38" xfId="0" applyNumberFormat="1" applyFont="1" applyFill="1" applyBorder="1" applyAlignment="1">
      <alignment horizontal="center"/>
    </xf>
    <xf numFmtId="0" fontId="1" fillId="13" borderId="5" xfId="0" applyFont="1" applyFill="1" applyBorder="1" applyAlignment="1">
      <alignment horizontal="left"/>
    </xf>
    <xf numFmtId="0" fontId="0" fillId="13" borderId="5" xfId="0" applyFont="1" applyFill="1" applyBorder="1" applyAlignment="1">
      <alignment horizontal="left"/>
    </xf>
    <xf numFmtId="0" fontId="1" fillId="13" borderId="5" xfId="0" applyFont="1" applyFill="1" applyBorder="1" applyAlignment="1">
      <alignment horizontal="center"/>
    </xf>
    <xf numFmtId="165" fontId="1" fillId="13" borderId="18" xfId="0" applyNumberFormat="1" applyFont="1" applyFill="1" applyBorder="1" applyAlignment="1">
      <alignment horizontal="center"/>
    </xf>
    <xf numFmtId="168" fontId="11" fillId="13" borderId="5" xfId="0" applyNumberFormat="1" applyFont="1" applyFill="1" applyBorder="1" applyAlignment="1">
      <alignment horizontal="center"/>
    </xf>
    <xf numFmtId="165" fontId="11" fillId="13" borderId="5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left"/>
    </xf>
    <xf numFmtId="166" fontId="0" fillId="0" borderId="16" xfId="0" applyNumberFormat="1" applyFont="1" applyBorder="1" applyAlignment="1">
      <alignment horizontal="center"/>
    </xf>
    <xf numFmtId="0" fontId="0" fillId="0" borderId="0" xfId="0" applyFont="1" applyAlignment="1">
      <alignment wrapText="1"/>
    </xf>
    <xf numFmtId="0" fontId="12" fillId="0" borderId="0" xfId="0" applyFont="1"/>
    <xf numFmtId="168" fontId="12" fillId="0" borderId="4" xfId="0" applyNumberFormat="1" applyFont="1" applyBorder="1"/>
    <xf numFmtId="168" fontId="7" fillId="0" borderId="4" xfId="0" applyNumberFormat="1" applyFont="1" applyBorder="1"/>
    <xf numFmtId="9" fontId="13" fillId="0" borderId="17" xfId="0" applyNumberFormat="1" applyFont="1" applyBorder="1" applyAlignment="1">
      <alignment horizontal="right"/>
    </xf>
    <xf numFmtId="168" fontId="12" fillId="0" borderId="0" xfId="0" applyNumberFormat="1" applyFont="1"/>
    <xf numFmtId="168" fontId="0" fillId="5" borderId="36" xfId="0" applyNumberFormat="1" applyFont="1" applyFill="1" applyBorder="1" applyAlignment="1">
      <alignment horizontal="center"/>
    </xf>
    <xf numFmtId="9" fontId="14" fillId="0" borderId="0" xfId="0" applyNumberFormat="1" applyFont="1" applyAlignment="1">
      <alignment horizontal="right"/>
    </xf>
    <xf numFmtId="169" fontId="15" fillId="14" borderId="45" xfId="0" applyNumberFormat="1" applyFont="1" applyFill="1" applyBorder="1"/>
    <xf numFmtId="168" fontId="0" fillId="6" borderId="38" xfId="0" applyNumberFormat="1" applyFont="1" applyFill="1" applyBorder="1" applyAlignment="1">
      <alignment horizontal="center"/>
    </xf>
    <xf numFmtId="168" fontId="0" fillId="5" borderId="42" xfId="0" applyNumberFormat="1" applyFont="1" applyFill="1" applyBorder="1" applyAlignment="1">
      <alignment horizontal="center"/>
    </xf>
    <xf numFmtId="168" fontId="0" fillId="5" borderId="38" xfId="0" applyNumberFormat="1" applyFont="1" applyFill="1" applyBorder="1" applyAlignment="1">
      <alignment horizontal="center"/>
    </xf>
    <xf numFmtId="17" fontId="0" fillId="0" borderId="0" xfId="0" applyNumberFormat="1" applyFont="1"/>
    <xf numFmtId="169" fontId="0" fillId="0" borderId="0" xfId="0" applyNumberFormat="1" applyFont="1"/>
    <xf numFmtId="0" fontId="0" fillId="14" borderId="5" xfId="0" applyFont="1" applyFill="1" applyBorder="1"/>
    <xf numFmtId="9" fontId="0" fillId="0" borderId="0" xfId="0" applyNumberFormat="1" applyFont="1"/>
    <xf numFmtId="0" fontId="16" fillId="0" borderId="24" xfId="0" applyFont="1" applyBorder="1" applyAlignment="1">
      <alignment horizontal="left"/>
    </xf>
    <xf numFmtId="2" fontId="15" fillId="0" borderId="24" xfId="0" applyNumberFormat="1" applyFont="1" applyBorder="1" applyAlignment="1">
      <alignment horizontal="right"/>
    </xf>
    <xf numFmtId="169" fontId="1" fillId="0" borderId="0" xfId="0" applyNumberFormat="1" applyFont="1"/>
    <xf numFmtId="0" fontId="8" fillId="0" borderId="0" xfId="0" applyFont="1"/>
    <xf numFmtId="17" fontId="1" fillId="0" borderId="0" xfId="0" applyNumberFormat="1" applyFont="1"/>
    <xf numFmtId="0" fontId="1" fillId="0" borderId="43" xfId="0" applyFont="1" applyBorder="1" applyAlignment="1">
      <alignment horizontal="left"/>
    </xf>
    <xf numFmtId="2" fontId="0" fillId="0" borderId="2" xfId="0" applyNumberFormat="1" applyFont="1" applyBorder="1"/>
    <xf numFmtId="0" fontId="0" fillId="0" borderId="3" xfId="0" applyFont="1" applyBorder="1"/>
    <xf numFmtId="0" fontId="1" fillId="0" borderId="43" xfId="0" applyFont="1" applyBorder="1"/>
    <xf numFmtId="169" fontId="0" fillId="0" borderId="3" xfId="0" applyNumberFormat="1" applyFont="1" applyBorder="1"/>
    <xf numFmtId="0" fontId="1" fillId="0" borderId="13" xfId="0" applyFont="1" applyBorder="1" applyAlignment="1">
      <alignment horizontal="left"/>
    </xf>
    <xf numFmtId="0" fontId="0" fillId="0" borderId="4" xfId="0" applyFont="1" applyBorder="1"/>
    <xf numFmtId="169" fontId="0" fillId="0" borderId="4" xfId="0" applyNumberFormat="1" applyFont="1" applyBorder="1"/>
    <xf numFmtId="0" fontId="1" fillId="0" borderId="21" xfId="0" applyFont="1" applyBorder="1"/>
    <xf numFmtId="169" fontId="0" fillId="0" borderId="17" xfId="0" applyNumberFormat="1" applyFont="1" applyBorder="1"/>
    <xf numFmtId="0" fontId="1" fillId="0" borderId="21" xfId="0" applyFont="1" applyBorder="1" applyAlignment="1">
      <alignment horizontal="left"/>
    </xf>
    <xf numFmtId="2" fontId="0" fillId="0" borderId="16" xfId="0" applyNumberFormat="1" applyFont="1" applyBorder="1"/>
    <xf numFmtId="0" fontId="0" fillId="0" borderId="17" xfId="0" applyFont="1" applyBorder="1"/>
    <xf numFmtId="0" fontId="0" fillId="0" borderId="43" xfId="0" applyFont="1" applyBorder="1"/>
    <xf numFmtId="0" fontId="1" fillId="0" borderId="2" xfId="0" applyFont="1" applyBorder="1"/>
    <xf numFmtId="0" fontId="1" fillId="0" borderId="3" xfId="0" applyFont="1" applyBorder="1"/>
    <xf numFmtId="17" fontId="1" fillId="0" borderId="13" xfId="0" applyNumberFormat="1" applyFont="1" applyBorder="1"/>
    <xf numFmtId="17" fontId="1" fillId="0" borderId="21" xfId="0" applyNumberFormat="1" applyFont="1" applyBorder="1"/>
    <xf numFmtId="0" fontId="0" fillId="0" borderId="6" xfId="0" applyFont="1" applyBorder="1" applyAlignment="1"/>
    <xf numFmtId="0" fontId="0" fillId="0" borderId="6" xfId="0" pivotButton="1" applyFont="1" applyBorder="1" applyAlignment="1"/>
    <xf numFmtId="0" fontId="0" fillId="0" borderId="46" xfId="0" applyFont="1" applyBorder="1" applyAlignment="1"/>
    <xf numFmtId="0" fontId="0" fillId="0" borderId="47" xfId="0" applyFont="1" applyBorder="1" applyAlignment="1"/>
    <xf numFmtId="0" fontId="0" fillId="0" borderId="48" xfId="0" applyFont="1" applyBorder="1" applyAlignment="1"/>
    <xf numFmtId="0" fontId="0" fillId="0" borderId="49" xfId="0" applyFont="1" applyBorder="1" applyAlignment="1"/>
    <xf numFmtId="17" fontId="0" fillId="0" borderId="6" xfId="0" applyNumberFormat="1" applyFont="1" applyBorder="1" applyAlignment="1"/>
    <xf numFmtId="0" fontId="0" fillId="0" borderId="6" xfId="0" applyNumberFormat="1" applyFont="1" applyBorder="1" applyAlignment="1"/>
    <xf numFmtId="0" fontId="0" fillId="0" borderId="48" xfId="0" applyNumberFormat="1" applyFont="1" applyBorder="1" applyAlignment="1"/>
    <xf numFmtId="0" fontId="0" fillId="0" borderId="49" xfId="0" applyNumberFormat="1" applyFont="1" applyBorder="1" applyAlignment="1"/>
    <xf numFmtId="17" fontId="0" fillId="0" borderId="50" xfId="0" applyNumberFormat="1" applyFont="1" applyBorder="1" applyAlignment="1"/>
    <xf numFmtId="0" fontId="0" fillId="0" borderId="50" xfId="0" applyNumberFormat="1" applyFont="1" applyBorder="1" applyAlignment="1"/>
    <xf numFmtId="0" fontId="0" fillId="0" borderId="23" xfId="0" applyNumberFormat="1" applyFont="1" applyBorder="1" applyAlignment="1"/>
    <xf numFmtId="0" fontId="0" fillId="0" borderId="51" xfId="0" applyNumberFormat="1" applyFont="1" applyBorder="1" applyAlignment="1"/>
    <xf numFmtId="17" fontId="0" fillId="0" borderId="52" xfId="0" applyNumberFormat="1" applyFont="1" applyBorder="1" applyAlignment="1"/>
    <xf numFmtId="0" fontId="0" fillId="0" borderId="52" xfId="0" applyNumberFormat="1" applyFont="1" applyBorder="1" applyAlignment="1"/>
    <xf numFmtId="0" fontId="0" fillId="0" borderId="53" xfId="0" applyNumberFormat="1" applyFont="1" applyBorder="1" applyAlignment="1"/>
    <xf numFmtId="0" fontId="0" fillId="0" borderId="54" xfId="0" applyNumberFormat="1" applyFont="1" applyBorder="1" applyAlignment="1"/>
    <xf numFmtId="0" fontId="0" fillId="0" borderId="14" xfId="0" pivotButton="1" applyFont="1" applyBorder="1" applyAlignment="1"/>
    <xf numFmtId="0" fontId="0" fillId="0" borderId="14" xfId="0" applyFont="1" applyBorder="1" applyAlignment="1"/>
    <xf numFmtId="0" fontId="0" fillId="0" borderId="55" xfId="0" applyFont="1" applyBorder="1" applyAlignment="1"/>
    <xf numFmtId="0" fontId="0" fillId="0" borderId="56" xfId="0" applyFont="1" applyBorder="1" applyAlignment="1"/>
    <xf numFmtId="0" fontId="0" fillId="0" borderId="57" xfId="0" applyFont="1" applyBorder="1" applyAlignment="1"/>
    <xf numFmtId="0" fontId="0" fillId="0" borderId="58" xfId="0" applyFont="1" applyBorder="1" applyAlignment="1"/>
    <xf numFmtId="0" fontId="0" fillId="0" borderId="59" xfId="0" applyFont="1" applyBorder="1" applyAlignment="1"/>
    <xf numFmtId="0" fontId="0" fillId="0" borderId="60" xfId="0" applyFont="1" applyBorder="1" applyAlignment="1"/>
    <xf numFmtId="0" fontId="0" fillId="0" borderId="61" xfId="0" applyFont="1" applyBorder="1" applyAlignment="1"/>
    <xf numFmtId="0" fontId="0" fillId="0" borderId="62" xfId="0" applyFont="1" applyBorder="1" applyAlignment="1"/>
    <xf numFmtId="168" fontId="17" fillId="5" borderId="36" xfId="0" applyNumberFormat="1" applyFont="1" applyFill="1" applyBorder="1" applyAlignment="1">
      <alignment horizontal="center"/>
    </xf>
    <xf numFmtId="168" fontId="17" fillId="6" borderId="38" xfId="0" applyNumberFormat="1" applyFont="1" applyFill="1" applyBorder="1" applyAlignment="1">
      <alignment horizontal="center"/>
    </xf>
    <xf numFmtId="168" fontId="17" fillId="5" borderId="38" xfId="0" applyNumberFormat="1" applyFont="1" applyFill="1" applyBorder="1" applyAlignment="1">
      <alignment horizontal="center"/>
    </xf>
    <xf numFmtId="0" fontId="17" fillId="0" borderId="0" xfId="0" applyFont="1"/>
    <xf numFmtId="166" fontId="0" fillId="0" borderId="0" xfId="0" applyNumberFormat="1" applyFont="1" applyAlignment="1"/>
    <xf numFmtId="2" fontId="0" fillId="0" borderId="0" xfId="0" applyNumberFormat="1" applyFont="1" applyAlignment="1"/>
    <xf numFmtId="10" fontId="1" fillId="0" borderId="0" xfId="1" applyNumberFormat="1" applyFont="1" applyAlignment="1">
      <alignment horizontal="center"/>
    </xf>
    <xf numFmtId="168" fontId="17" fillId="11" borderId="40" xfId="0" applyNumberFormat="1" applyFont="1" applyFill="1" applyBorder="1" applyAlignment="1">
      <alignment horizontal="center"/>
    </xf>
    <xf numFmtId="0" fontId="0" fillId="7" borderId="23" xfId="0" applyFont="1" applyFill="1" applyBorder="1"/>
    <xf numFmtId="0" fontId="0" fillId="7" borderId="23" xfId="0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/>
    <xf numFmtId="168" fontId="1" fillId="0" borderId="24" xfId="0" applyNumberFormat="1" applyFont="1" applyBorder="1" applyAlignment="1">
      <alignment horizontal="left"/>
    </xf>
    <xf numFmtId="170" fontId="0" fillId="0" borderId="40" xfId="0" applyNumberFormat="1" applyFont="1" applyBorder="1" applyAlignment="1">
      <alignment horizontal="center"/>
    </xf>
    <xf numFmtId="0" fontId="0" fillId="0" borderId="63" xfId="0" applyFont="1" applyBorder="1" applyAlignment="1"/>
    <xf numFmtId="9" fontId="0" fillId="15" borderId="35" xfId="0" applyNumberFormat="1" applyFont="1" applyFill="1" applyBorder="1" applyAlignment="1">
      <alignment horizontal="center"/>
    </xf>
    <xf numFmtId="168" fontId="17" fillId="15" borderId="36" xfId="0" applyNumberFormat="1" applyFont="1" applyFill="1" applyBorder="1" applyAlignment="1">
      <alignment horizontal="center"/>
    </xf>
    <xf numFmtId="168" fontId="0" fillId="15" borderId="36" xfId="0" applyNumberFormat="1" applyFont="1" applyFill="1" applyBorder="1" applyAlignment="1">
      <alignment horizontal="center"/>
    </xf>
    <xf numFmtId="168" fontId="0" fillId="16" borderId="4" xfId="0" applyNumberFormat="1" applyFont="1" applyFill="1" applyBorder="1"/>
    <xf numFmtId="0" fontId="1" fillId="16" borderId="0" xfId="0" applyFont="1" applyFill="1" applyAlignment="1">
      <alignment horizontal="left"/>
    </xf>
    <xf numFmtId="168" fontId="0" fillId="16" borderId="0" xfId="0" applyNumberFormat="1" applyFont="1" applyFill="1"/>
    <xf numFmtId="0" fontId="1" fillId="17" borderId="0" xfId="0" applyFont="1" applyFill="1" applyAlignment="1">
      <alignment horizontal="left"/>
    </xf>
    <xf numFmtId="168" fontId="0" fillId="17" borderId="0" xfId="0" applyNumberFormat="1" applyFont="1" applyFill="1"/>
    <xf numFmtId="168" fontId="0" fillId="17" borderId="4" xfId="0" applyNumberFormat="1" applyFont="1" applyFill="1" applyBorder="1"/>
    <xf numFmtId="0" fontId="1" fillId="0" borderId="26" xfId="0" applyFont="1" applyBorder="1" applyAlignment="1">
      <alignment horizontal="left"/>
    </xf>
    <xf numFmtId="0" fontId="0" fillId="13" borderId="23" xfId="0" applyFont="1" applyFill="1" applyBorder="1" applyAlignment="1">
      <alignment horizontal="left"/>
    </xf>
    <xf numFmtId="166" fontId="1" fillId="0" borderId="26" xfId="0" applyNumberFormat="1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168" fontId="0" fillId="18" borderId="36" xfId="0" applyNumberFormat="1" applyFont="1" applyFill="1" applyBorder="1" applyAlignment="1">
      <alignment horizontal="center"/>
    </xf>
    <xf numFmtId="168" fontId="1" fillId="13" borderId="5" xfId="0" applyNumberFormat="1" applyFont="1" applyFill="1" applyBorder="1" applyAlignment="1">
      <alignment horizontal="left"/>
    </xf>
    <xf numFmtId="0" fontId="0" fillId="16" borderId="0" xfId="0" applyFont="1" applyFill="1" applyAlignment="1">
      <alignment horizontal="left"/>
    </xf>
    <xf numFmtId="0" fontId="1" fillId="16" borderId="0" xfId="0" applyFont="1" applyFill="1" applyAlignment="1">
      <alignment horizontal="center"/>
    </xf>
    <xf numFmtId="0" fontId="0" fillId="16" borderId="0" xfId="0" applyFont="1" applyFill="1" applyAlignment="1"/>
    <xf numFmtId="0" fontId="0" fillId="16" borderId="0" xfId="0" applyFont="1" applyFill="1" applyAlignment="1">
      <alignment horizontal="center"/>
    </xf>
    <xf numFmtId="0" fontId="17" fillId="17" borderId="0" xfId="0" applyFont="1" applyFill="1" applyAlignment="1">
      <alignment horizontal="left"/>
    </xf>
    <xf numFmtId="0" fontId="0" fillId="17" borderId="0" xfId="0" applyFont="1" applyFill="1" applyAlignment="1">
      <alignment horizontal="left"/>
    </xf>
    <xf numFmtId="0" fontId="1" fillId="17" borderId="0" xfId="0" applyFont="1" applyFill="1" applyAlignment="1">
      <alignment horizontal="center"/>
    </xf>
    <xf numFmtId="0" fontId="0" fillId="17" borderId="0" xfId="0" applyFont="1" applyFill="1" applyAlignment="1"/>
    <xf numFmtId="0" fontId="0" fillId="17" borderId="0" xfId="0" applyFont="1" applyFill="1" applyAlignment="1">
      <alignment horizontal="center"/>
    </xf>
    <xf numFmtId="168" fontId="1" fillId="11" borderId="40" xfId="0" applyNumberFormat="1" applyFont="1" applyFill="1" applyBorder="1" applyAlignment="1">
      <alignment horizontal="center"/>
    </xf>
    <xf numFmtId="168" fontId="1" fillId="5" borderId="36" xfId="0" applyNumberFormat="1" applyFont="1" applyFill="1" applyBorder="1" applyAlignment="1">
      <alignment horizontal="center"/>
    </xf>
    <xf numFmtId="168" fontId="1" fillId="15" borderId="36" xfId="0" applyNumberFormat="1" applyFont="1" applyFill="1" applyBorder="1" applyAlignment="1">
      <alignment horizontal="center"/>
    </xf>
    <xf numFmtId="0" fontId="17" fillId="17" borderId="0" xfId="0" quotePrefix="1" applyFont="1" applyFill="1" applyAlignment="1">
      <alignment horizontal="center"/>
    </xf>
    <xf numFmtId="0" fontId="17" fillId="7" borderId="23" xfId="0" applyFont="1" applyFill="1" applyBorder="1" applyAlignment="1">
      <alignment horizontal="center"/>
    </xf>
    <xf numFmtId="171" fontId="0" fillId="0" borderId="23" xfId="1" applyNumberFormat="1" applyFont="1" applyFill="1" applyBorder="1"/>
    <xf numFmtId="0" fontId="1" fillId="2" borderId="22" xfId="0" applyFont="1" applyFill="1" applyBorder="1" applyAlignment="1">
      <alignment horizontal="center"/>
    </xf>
    <xf numFmtId="0" fontId="4" fillId="0" borderId="23" xfId="0" applyFont="1" applyBorder="1"/>
    <xf numFmtId="0" fontId="8" fillId="0" borderId="43" xfId="0" applyFont="1" applyBorder="1" applyAlignment="1">
      <alignment horizontal="center"/>
    </xf>
    <xf numFmtId="0" fontId="4" fillId="0" borderId="3" xfId="0" applyFont="1" applyBorder="1"/>
  </cellXfs>
  <cellStyles count="2">
    <cellStyle name="Normal" xfId="0" builtinId="0"/>
    <cellStyle name="Porcentagem" xfId="1" builtinId="5"/>
  </cellStyles>
  <dxfs count="16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2D69B"/>
          <bgColor rgb="FFC2D69B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comments19.xml.rels><?xml version="1.0" encoding="UTF-8" standalone="yes"?>
<Relationships xmlns="http://schemas.openxmlformats.org/package/2006/relationships"><Relationship Id="rId1" Type="http://customschemas.google.com/relationships/workbookmetadata" Target="commentsmeta18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customschemas.google.com/relationships/workbookmetadata" Target="meta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3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Calibri"/>
              </a:defRPr>
            </a:pPr>
            <a:r>
              <a:rPr lang="pt-BR"/>
              <a:t>Distribuição de gastos semanais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Dinâmica!$M$7</c:f>
              <c:strCache>
                <c:ptCount val="1"/>
              </c:strCache>
            </c:strRef>
          </c:tx>
          <c:invertIfNegative val="1"/>
          <c:cat>
            <c:strRef>
              <c:f>Dinâmica!$L$8:$L$15</c:f>
              <c:strCache>
                <c:ptCount val="8"/>
                <c:pt idx="0">
                  <c:v>DiaSemana</c:v>
                </c:pt>
                <c:pt idx="1">
                  <c:v>dom</c:v>
                </c:pt>
                <c:pt idx="2">
                  <c:v>qua</c:v>
                </c:pt>
                <c:pt idx="3">
                  <c:v>qui</c:v>
                </c:pt>
                <c:pt idx="4">
                  <c:v>sáb</c:v>
                </c:pt>
                <c:pt idx="5">
                  <c:v>seg</c:v>
                </c:pt>
                <c:pt idx="6">
                  <c:v>sex</c:v>
                </c:pt>
                <c:pt idx="7">
                  <c:v>ter</c:v>
                </c:pt>
              </c:strCache>
            </c:strRef>
          </c:cat>
          <c:val>
            <c:numRef>
              <c:f>Dinâmica!$M$8:$M$15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51A7-4DAC-8E35-A5A57D2F9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3775086"/>
        <c:axId val="810125820"/>
      </c:barChart>
      <c:catAx>
        <c:axId val="70377508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810125820"/>
        <c:crosses val="autoZero"/>
        <c:auto val="1"/>
        <c:lblAlgn val="ctr"/>
        <c:lblOffset val="100"/>
        <c:noMultiLvlLbl val="1"/>
      </c:catAx>
      <c:valAx>
        <c:axId val="81012582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crossAx val="70377508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Calibri"/>
              </a:defRPr>
            </a:pPr>
            <a:r>
              <a:rPr lang="pt-BR"/>
              <a:t> Aumento do patrimônio sem o auxílio da USP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Meses!$D$3:$D$13</c:f>
              <c:numCache>
                <c:formatCode>mmm\-yy</c:formatCode>
                <c:ptCount val="11"/>
                <c:pt idx="0">
                  <c:v>43374</c:v>
                </c:pt>
                <c:pt idx="1">
                  <c:v>43405</c:v>
                </c:pt>
                <c:pt idx="2">
                  <c:v>43435</c:v>
                </c:pt>
                <c:pt idx="3">
                  <c:v>43466</c:v>
                </c:pt>
                <c:pt idx="4">
                  <c:v>43497</c:v>
                </c:pt>
                <c:pt idx="5">
                  <c:v>43525</c:v>
                </c:pt>
                <c:pt idx="6">
                  <c:v>43556</c:v>
                </c:pt>
                <c:pt idx="7">
                  <c:v>43586</c:v>
                </c:pt>
                <c:pt idx="8">
                  <c:v>43617</c:v>
                </c:pt>
                <c:pt idx="9">
                  <c:v>43647</c:v>
                </c:pt>
                <c:pt idx="10">
                  <c:v>43678</c:v>
                </c:pt>
              </c:numCache>
            </c:numRef>
          </c:xVal>
          <c:yVal>
            <c:numRef>
              <c:f>Meses!$E$3:$E$13</c:f>
              <c:numCache>
                <c:formatCode>_-"R$"* #,##0.00_-;\-"R$"* #,##0.00_-;_-"R$"* "-"??_-;_-@</c:formatCode>
                <c:ptCount val="11"/>
                <c:pt idx="0">
                  <c:v>1713.3699999999994</c:v>
                </c:pt>
                <c:pt idx="1">
                  <c:v>2036.0399999999995</c:v>
                </c:pt>
                <c:pt idx="2">
                  <c:v>2314.9499999999989</c:v>
                </c:pt>
                <c:pt idx="3">
                  <c:v>2731.849999999999</c:v>
                </c:pt>
                <c:pt idx="4">
                  <c:v>3160.849999999999</c:v>
                </c:pt>
                <c:pt idx="5">
                  <c:v>3578.2099999999987</c:v>
                </c:pt>
                <c:pt idx="6">
                  <c:v>4015.2599999999998</c:v>
                </c:pt>
                <c:pt idx="7">
                  <c:v>4383.6500000000024</c:v>
                </c:pt>
                <c:pt idx="8">
                  <c:v>4927.4500000000035</c:v>
                </c:pt>
                <c:pt idx="9">
                  <c:v>5439.0500000000047</c:v>
                </c:pt>
                <c:pt idx="10">
                  <c:v>5868.5700000000061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36-40BD-836D-2B55D809E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397366"/>
        <c:axId val="719618537"/>
      </c:scatterChart>
      <c:valAx>
        <c:axId val="15923973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 lang="pt-BR"/>
              </a:p>
            </c:rich>
          </c:tx>
          <c:overlay val="0"/>
        </c:title>
        <c:numFmt formatCode="mmm\-yy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pt-BR"/>
          </a:p>
        </c:txPr>
        <c:crossAx val="719618537"/>
        <c:crosses val="autoZero"/>
        <c:crossBetween val="midCat"/>
      </c:valAx>
      <c:valAx>
        <c:axId val="719618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pt-BR"/>
                  <a:t>Meses</a:t>
                </a:r>
              </a:p>
            </c:rich>
          </c:tx>
          <c:overlay val="0"/>
        </c:title>
        <c:numFmt formatCode="_-&quot;R$&quot;* #,##0.00_-;\-&quot;R$&quot;* #,##0.00_-;_-&quot;R$&quot;* &quot;-&quot;??_-;_-@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1592397366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Calibri"/>
              </a:defRPr>
            </a:pPr>
            <a:r>
              <a:rPr lang="pt-BR"/>
              <a:t> Aumento do patrimônio com o auxílio da USP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Meses!$Q$3:$Q$19</c:f>
              <c:numCache>
                <c:formatCode>mmm\-yy</c:formatCode>
                <c:ptCount val="17"/>
                <c:pt idx="0">
                  <c:v>43404</c:v>
                </c:pt>
                <c:pt idx="1">
                  <c:v>43434</c:v>
                </c:pt>
                <c:pt idx="2">
                  <c:v>43463</c:v>
                </c:pt>
                <c:pt idx="3">
                  <c:v>43469</c:v>
                </c:pt>
                <c:pt idx="4">
                  <c:v>43521</c:v>
                </c:pt>
                <c:pt idx="5">
                  <c:v>43555</c:v>
                </c:pt>
                <c:pt idx="6">
                  <c:v>43583</c:v>
                </c:pt>
                <c:pt idx="7">
                  <c:v>43616</c:v>
                </c:pt>
                <c:pt idx="8">
                  <c:v>43646</c:v>
                </c:pt>
                <c:pt idx="9">
                  <c:v>43670</c:v>
                </c:pt>
                <c:pt idx="10">
                  <c:v>43708</c:v>
                </c:pt>
                <c:pt idx="11">
                  <c:v>43738</c:v>
                </c:pt>
                <c:pt idx="12">
                  <c:v>43769</c:v>
                </c:pt>
                <c:pt idx="13">
                  <c:v>43799</c:v>
                </c:pt>
                <c:pt idx="14">
                  <c:v>43830</c:v>
                </c:pt>
                <c:pt idx="15">
                  <c:v>43861</c:v>
                </c:pt>
                <c:pt idx="16">
                  <c:v>43890</c:v>
                </c:pt>
              </c:numCache>
            </c:numRef>
          </c:xVal>
          <c:yVal>
            <c:numRef>
              <c:f>Meses!$R$3:$R$19</c:f>
              <c:numCache>
                <c:formatCode>_-"R$"* #,##0.00_-;\-"R$"* #,##0.00_-;_-"R$"* "-"??_-;_-@</c:formatCode>
                <c:ptCount val="17"/>
                <c:pt idx="0">
                  <c:v>2692.31</c:v>
                </c:pt>
                <c:pt idx="1">
                  <c:v>3427.3999999999996</c:v>
                </c:pt>
                <c:pt idx="2">
                  <c:v>4175.41</c:v>
                </c:pt>
                <c:pt idx="3">
                  <c:v>3905.0200000000004</c:v>
                </c:pt>
                <c:pt idx="4">
                  <c:v>5570</c:v>
                </c:pt>
                <c:pt idx="5">
                  <c:v>6164.4</c:v>
                </c:pt>
                <c:pt idx="6">
                  <c:v>7144.2800000000007</c:v>
                </c:pt>
                <c:pt idx="7">
                  <c:v>7580.48</c:v>
                </c:pt>
                <c:pt idx="8">
                  <c:v>8130.75</c:v>
                </c:pt>
                <c:pt idx="9">
                  <c:v>8930.34</c:v>
                </c:pt>
                <c:pt idx="10">
                  <c:v>9231.32</c:v>
                </c:pt>
                <c:pt idx="11">
                  <c:v>9475.31</c:v>
                </c:pt>
                <c:pt idx="12">
                  <c:v>9990.1700000000019</c:v>
                </c:pt>
                <c:pt idx="13">
                  <c:v>12393.91</c:v>
                </c:pt>
                <c:pt idx="14">
                  <c:v>11602.169999999998</c:v>
                </c:pt>
                <c:pt idx="15">
                  <c:v>13113.869999999999</c:v>
                </c:pt>
                <c:pt idx="16">
                  <c:v>15360.23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E2-474A-947B-61210FE7A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810153"/>
        <c:axId val="506096119"/>
      </c:scatterChart>
      <c:valAx>
        <c:axId val="7658101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pt-BR"/>
                  <a:t>Meses</a:t>
                </a:r>
              </a:p>
            </c:rich>
          </c:tx>
          <c:overlay val="0"/>
        </c:title>
        <c:numFmt formatCode="mmm\-yy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506096119"/>
        <c:crosses val="autoZero"/>
        <c:crossBetween val="midCat"/>
      </c:valAx>
      <c:valAx>
        <c:axId val="50609611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pt-BR"/>
                  <a:t>Patrimônio</a:t>
                </a:r>
              </a:p>
            </c:rich>
          </c:tx>
          <c:overlay val="0"/>
        </c:title>
        <c:numFmt formatCode="_-&quot;R$&quot;* #,##0.00_-;\-&quot;R$&quot;* #,##0.00_-;_-&quot;R$&quot;* &quot;-&quot;??_-;_-@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765810153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Dinâmico!$B$1</c:f>
              <c:strCache>
                <c:ptCount val="1"/>
              </c:strCache>
            </c:strRef>
          </c:tx>
          <c:spPr>
            <a:ln w="28575" cmpd="sng">
              <a:solidFill>
                <a:srgbClr val="4F81B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val>
            <c:numRef>
              <c:f>Dinâmico!$B$2:$B$18</c:f>
              <c:numCache>
                <c:formatCode>General</c:formatCode>
                <c:ptCount val="17"/>
                <c:pt idx="0">
                  <c:v>0</c:v>
                </c:pt>
                <c:pt idx="1">
                  <c:v>345.37</c:v>
                </c:pt>
                <c:pt idx="2">
                  <c:v>146.32999999999998</c:v>
                </c:pt>
                <c:pt idx="3">
                  <c:v>127.72</c:v>
                </c:pt>
                <c:pt idx="4">
                  <c:v>319.38</c:v>
                </c:pt>
                <c:pt idx="5">
                  <c:v>271.75</c:v>
                </c:pt>
                <c:pt idx="6">
                  <c:v>190.19</c:v>
                </c:pt>
                <c:pt idx="7">
                  <c:v>150.9</c:v>
                </c:pt>
                <c:pt idx="8">
                  <c:v>263.74</c:v>
                </c:pt>
                <c:pt idx="9">
                  <c:v>239.00000000000003</c:v>
                </c:pt>
                <c:pt idx="10">
                  <c:v>247.62</c:v>
                </c:pt>
                <c:pt idx="11">
                  <c:v>333.55999999999995</c:v>
                </c:pt>
                <c:pt idx="12">
                  <c:v>226.6</c:v>
                </c:pt>
                <c:pt idx="13">
                  <c:v>305.8</c:v>
                </c:pt>
                <c:pt idx="14">
                  <c:v>268.51000000000005</c:v>
                </c:pt>
                <c:pt idx="15">
                  <c:v>3436.4700000000003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2-4673-8351-137B32492706}"/>
            </c:ext>
          </c:extLst>
        </c:ser>
        <c:ser>
          <c:idx val="1"/>
          <c:order val="1"/>
          <c:tx>
            <c:strRef>
              <c:f>Dinâmico!$C$1</c:f>
              <c:strCache>
                <c:ptCount val="1"/>
              </c:strCache>
            </c:strRef>
          </c:tx>
          <c:spPr>
            <a:ln w="28575" cmpd="sng">
              <a:solidFill>
                <a:srgbClr val="C0504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val>
            <c:numRef>
              <c:f>Dinâmico!$C$2:$C$18</c:f>
              <c:numCache>
                <c:formatCode>General</c:formatCode>
                <c:ptCount val="17"/>
                <c:pt idx="0">
                  <c:v>0</c:v>
                </c:pt>
                <c:pt idx="1">
                  <c:v>16.899999999999999</c:v>
                </c:pt>
                <c:pt idx="2">
                  <c:v>16.899999999999999</c:v>
                </c:pt>
                <c:pt idx="3">
                  <c:v>55.15</c:v>
                </c:pt>
                <c:pt idx="4">
                  <c:v>80.5</c:v>
                </c:pt>
                <c:pt idx="5">
                  <c:v>43.629999999999995</c:v>
                </c:pt>
                <c:pt idx="6">
                  <c:v>47.03</c:v>
                </c:pt>
                <c:pt idx="7">
                  <c:v>39.25</c:v>
                </c:pt>
                <c:pt idx="8">
                  <c:v>28.799999999999997</c:v>
                </c:pt>
                <c:pt idx="9">
                  <c:v>0</c:v>
                </c:pt>
                <c:pt idx="10">
                  <c:v>51.699999999999996</c:v>
                </c:pt>
                <c:pt idx="11">
                  <c:v>30.799999999999997</c:v>
                </c:pt>
                <c:pt idx="12">
                  <c:v>17.899999999999999</c:v>
                </c:pt>
                <c:pt idx="13">
                  <c:v>0</c:v>
                </c:pt>
                <c:pt idx="14">
                  <c:v>13.45</c:v>
                </c:pt>
                <c:pt idx="15">
                  <c:v>442.01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E2-4673-8351-137B32492706}"/>
            </c:ext>
          </c:extLst>
        </c:ser>
        <c:ser>
          <c:idx val="2"/>
          <c:order val="2"/>
          <c:tx>
            <c:strRef>
              <c:f>Dinâmico!$D$1</c:f>
              <c:strCache>
                <c:ptCount val="1"/>
              </c:strCache>
            </c:strRef>
          </c:tx>
          <c:spPr>
            <a:ln w="28575" cmpd="sng">
              <a:solidFill>
                <a:srgbClr val="9BBB5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val>
            <c:numRef>
              <c:f>Dinâmico!$D$2:$D$18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40.98</c:v>
                </c:pt>
                <c:pt idx="6">
                  <c:v>3.8</c:v>
                </c:pt>
                <c:pt idx="7">
                  <c:v>0</c:v>
                </c:pt>
                <c:pt idx="8">
                  <c:v>0</c:v>
                </c:pt>
                <c:pt idx="9">
                  <c:v>24.5</c:v>
                </c:pt>
                <c:pt idx="10">
                  <c:v>2.5</c:v>
                </c:pt>
                <c:pt idx="11">
                  <c:v>44</c:v>
                </c:pt>
                <c:pt idx="12">
                  <c:v>3.8</c:v>
                </c:pt>
                <c:pt idx="13">
                  <c:v>9</c:v>
                </c:pt>
                <c:pt idx="14">
                  <c:v>8.5</c:v>
                </c:pt>
                <c:pt idx="15">
                  <c:v>137.07999999999998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E2-4673-8351-137B32492706}"/>
            </c:ext>
          </c:extLst>
        </c:ser>
        <c:ser>
          <c:idx val="3"/>
          <c:order val="3"/>
          <c:tx>
            <c:strRef>
              <c:f>Dinâmico!$E$1</c:f>
              <c:strCache>
                <c:ptCount val="1"/>
              </c:strCache>
            </c:strRef>
          </c:tx>
          <c:spPr>
            <a:ln w="28575" cmpd="sng">
              <a:solidFill>
                <a:srgbClr val="8064A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val>
            <c:numRef>
              <c:f>Dinâmico!$E$2:$E$18</c:f>
              <c:numCache>
                <c:formatCode>General</c:formatCode>
                <c:ptCount val="17"/>
                <c:pt idx="0">
                  <c:v>0</c:v>
                </c:pt>
                <c:pt idx="1">
                  <c:v>25.75</c:v>
                </c:pt>
                <c:pt idx="2">
                  <c:v>14.5</c:v>
                </c:pt>
                <c:pt idx="3">
                  <c:v>8.5</c:v>
                </c:pt>
                <c:pt idx="4">
                  <c:v>29.9</c:v>
                </c:pt>
                <c:pt idx="5">
                  <c:v>22.5</c:v>
                </c:pt>
                <c:pt idx="6">
                  <c:v>12.23</c:v>
                </c:pt>
                <c:pt idx="7">
                  <c:v>9</c:v>
                </c:pt>
                <c:pt idx="8">
                  <c:v>8.5</c:v>
                </c:pt>
                <c:pt idx="9">
                  <c:v>28.8</c:v>
                </c:pt>
                <c:pt idx="10">
                  <c:v>14</c:v>
                </c:pt>
                <c:pt idx="11">
                  <c:v>46.480000000000004</c:v>
                </c:pt>
                <c:pt idx="12">
                  <c:v>41.7</c:v>
                </c:pt>
                <c:pt idx="13">
                  <c:v>58.379999999999995</c:v>
                </c:pt>
                <c:pt idx="14">
                  <c:v>64.760000000000005</c:v>
                </c:pt>
                <c:pt idx="15">
                  <c:v>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E2-4673-8351-137B32492706}"/>
            </c:ext>
          </c:extLst>
        </c:ser>
        <c:ser>
          <c:idx val="4"/>
          <c:order val="4"/>
          <c:tx>
            <c:strRef>
              <c:f>Dinâmico!$F$1</c:f>
              <c:strCache>
                <c:ptCount val="1"/>
              </c:strCache>
            </c:strRef>
          </c:tx>
          <c:spPr>
            <a:ln w="28575" cmpd="sng">
              <a:solidFill>
                <a:srgbClr val="4BACC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BACC6"/>
              </a:solidFill>
              <a:ln cmpd="sng">
                <a:solidFill>
                  <a:srgbClr val="4BACC6"/>
                </a:solidFill>
              </a:ln>
            </c:spPr>
          </c:marker>
          <c:val>
            <c:numRef>
              <c:f>Dinâmico!$F$2:$F$18</c:f>
              <c:numCache>
                <c:formatCode>General</c:formatCode>
                <c:ptCount val="17"/>
                <c:pt idx="0">
                  <c:v>0</c:v>
                </c:pt>
                <c:pt idx="1">
                  <c:v>26.8</c:v>
                </c:pt>
                <c:pt idx="2">
                  <c:v>18.3</c:v>
                </c:pt>
                <c:pt idx="3">
                  <c:v>8.5</c:v>
                </c:pt>
                <c:pt idx="4">
                  <c:v>4.5</c:v>
                </c:pt>
                <c:pt idx="5">
                  <c:v>9.5399999999999991</c:v>
                </c:pt>
                <c:pt idx="6">
                  <c:v>15.47</c:v>
                </c:pt>
                <c:pt idx="7">
                  <c:v>8.5</c:v>
                </c:pt>
                <c:pt idx="8">
                  <c:v>21.5</c:v>
                </c:pt>
                <c:pt idx="9">
                  <c:v>18</c:v>
                </c:pt>
                <c:pt idx="10">
                  <c:v>20.3</c:v>
                </c:pt>
                <c:pt idx="11">
                  <c:v>11.3</c:v>
                </c:pt>
                <c:pt idx="12">
                  <c:v>6.5</c:v>
                </c:pt>
                <c:pt idx="13">
                  <c:v>26.99</c:v>
                </c:pt>
                <c:pt idx="14">
                  <c:v>14.99</c:v>
                </c:pt>
                <c:pt idx="15">
                  <c:v>211.19000000000005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E2-4673-8351-137B32492706}"/>
            </c:ext>
          </c:extLst>
        </c:ser>
        <c:ser>
          <c:idx val="5"/>
          <c:order val="5"/>
          <c:tx>
            <c:strRef>
              <c:f>Dinâmico!$G$1</c:f>
              <c:strCache>
                <c:ptCount val="1"/>
              </c:strCache>
            </c:strRef>
          </c:tx>
          <c:spPr>
            <a:ln w="28575" cmpd="sng">
              <a:solidFill>
                <a:srgbClr val="F7964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79646"/>
              </a:solidFill>
              <a:ln cmpd="sng">
                <a:solidFill>
                  <a:srgbClr val="F79646"/>
                </a:solidFill>
              </a:ln>
            </c:spPr>
          </c:marker>
          <c:val>
            <c:numRef>
              <c:f>Dinâmico!$G$2:$G$18</c:f>
              <c:numCache>
                <c:formatCode>General</c:formatCode>
                <c:ptCount val="17"/>
                <c:pt idx="0">
                  <c:v>0</c:v>
                </c:pt>
                <c:pt idx="1">
                  <c:v>31</c:v>
                </c:pt>
                <c:pt idx="2">
                  <c:v>40</c:v>
                </c:pt>
                <c:pt idx="3">
                  <c:v>40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40</c:v>
                </c:pt>
                <c:pt idx="8">
                  <c:v>75</c:v>
                </c:pt>
                <c:pt idx="9">
                  <c:v>30</c:v>
                </c:pt>
                <c:pt idx="10">
                  <c:v>20</c:v>
                </c:pt>
                <c:pt idx="11">
                  <c:v>20</c:v>
                </c:pt>
                <c:pt idx="12">
                  <c:v>30</c:v>
                </c:pt>
                <c:pt idx="13">
                  <c:v>50</c:v>
                </c:pt>
                <c:pt idx="14">
                  <c:v>27.3</c:v>
                </c:pt>
                <c:pt idx="15">
                  <c:v>463.3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E2-4673-8351-137B32492706}"/>
            </c:ext>
          </c:extLst>
        </c:ser>
        <c:ser>
          <c:idx val="6"/>
          <c:order val="6"/>
          <c:tx>
            <c:strRef>
              <c:f>Dinâmico!$H$1</c:f>
              <c:strCache>
                <c:ptCount val="1"/>
              </c:strCache>
            </c:strRef>
          </c:tx>
          <c:spPr>
            <a:ln w="28575" cmpd="sng">
              <a:solidFill>
                <a:srgbClr val="2F4D7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F4D71"/>
              </a:solidFill>
              <a:ln cmpd="sng">
                <a:solidFill>
                  <a:srgbClr val="2F4D71"/>
                </a:solidFill>
              </a:ln>
            </c:spPr>
          </c:marker>
          <c:val>
            <c:numRef>
              <c:f>Dinâmico!$H$2:$H$18</c:f>
              <c:numCache>
                <c:formatCode>General</c:formatCode>
                <c:ptCount val="17"/>
                <c:pt idx="0">
                  <c:v>0</c:v>
                </c:pt>
                <c:pt idx="1">
                  <c:v>80.59</c:v>
                </c:pt>
                <c:pt idx="2">
                  <c:v>69.05</c:v>
                </c:pt>
                <c:pt idx="3">
                  <c:v>100.22000000000001</c:v>
                </c:pt>
                <c:pt idx="4">
                  <c:v>97.38000000000001</c:v>
                </c:pt>
                <c:pt idx="5">
                  <c:v>181.48</c:v>
                </c:pt>
                <c:pt idx="6">
                  <c:v>120.59</c:v>
                </c:pt>
                <c:pt idx="7">
                  <c:v>268.5</c:v>
                </c:pt>
                <c:pt idx="8">
                  <c:v>105.34</c:v>
                </c:pt>
                <c:pt idx="9">
                  <c:v>144.04</c:v>
                </c:pt>
                <c:pt idx="10">
                  <c:v>169.41</c:v>
                </c:pt>
                <c:pt idx="11">
                  <c:v>139.20000000000002</c:v>
                </c:pt>
                <c:pt idx="12">
                  <c:v>155.08999999999997</c:v>
                </c:pt>
                <c:pt idx="13">
                  <c:v>101.65</c:v>
                </c:pt>
                <c:pt idx="14">
                  <c:v>123.09</c:v>
                </c:pt>
                <c:pt idx="15">
                  <c:v>1855.63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E2-4673-8351-137B32492706}"/>
            </c:ext>
          </c:extLst>
        </c:ser>
        <c:ser>
          <c:idx val="7"/>
          <c:order val="7"/>
          <c:tx>
            <c:strRef>
              <c:f>Dinâmico!$I$1</c:f>
              <c:strCache>
                <c:ptCount val="1"/>
              </c:strCache>
            </c:strRef>
          </c:tx>
          <c:spPr>
            <a:ln w="28575" cmpd="sng">
              <a:solidFill>
                <a:srgbClr val="73302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3302E"/>
              </a:solidFill>
              <a:ln cmpd="sng">
                <a:solidFill>
                  <a:srgbClr val="73302E"/>
                </a:solidFill>
              </a:ln>
            </c:spPr>
          </c:marker>
          <c:val>
            <c:numRef>
              <c:f>Dinâmico!$I$2:$I$18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160</c:v>
                </c:pt>
                <c:pt idx="3">
                  <c:v>175.48</c:v>
                </c:pt>
                <c:pt idx="4">
                  <c:v>0</c:v>
                </c:pt>
                <c:pt idx="5">
                  <c:v>180.69</c:v>
                </c:pt>
                <c:pt idx="6">
                  <c:v>296.73</c:v>
                </c:pt>
                <c:pt idx="7">
                  <c:v>8.89</c:v>
                </c:pt>
                <c:pt idx="8">
                  <c:v>154.91</c:v>
                </c:pt>
                <c:pt idx="9">
                  <c:v>154.74</c:v>
                </c:pt>
                <c:pt idx="10">
                  <c:v>1.79</c:v>
                </c:pt>
                <c:pt idx="11">
                  <c:v>172.75</c:v>
                </c:pt>
                <c:pt idx="12">
                  <c:v>0</c:v>
                </c:pt>
                <c:pt idx="13">
                  <c:v>150</c:v>
                </c:pt>
                <c:pt idx="14">
                  <c:v>9.34</c:v>
                </c:pt>
                <c:pt idx="15">
                  <c:v>1465.32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E2-4673-8351-137B32492706}"/>
            </c:ext>
          </c:extLst>
        </c:ser>
        <c:ser>
          <c:idx val="8"/>
          <c:order val="8"/>
          <c:tx>
            <c:strRef>
              <c:f>Dinâmico!$J$1</c:f>
              <c:strCache>
                <c:ptCount val="1"/>
              </c:strCache>
            </c:strRef>
          </c:tx>
          <c:spPr>
            <a:ln w="28575" cmpd="sng">
              <a:solidFill>
                <a:srgbClr val="5D703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D7035"/>
              </a:solidFill>
              <a:ln cmpd="sng">
                <a:solidFill>
                  <a:srgbClr val="5D7035"/>
                </a:solidFill>
              </a:ln>
            </c:spPr>
          </c:marker>
          <c:val>
            <c:numRef>
              <c:f>Dinâmico!$J$2:$J$18</c:f>
              <c:numCache>
                <c:formatCode>General</c:formatCode>
                <c:ptCount val="17"/>
                <c:pt idx="0">
                  <c:v>0</c:v>
                </c:pt>
                <c:pt idx="1">
                  <c:v>145</c:v>
                </c:pt>
                <c:pt idx="2">
                  <c:v>10</c:v>
                </c:pt>
                <c:pt idx="3">
                  <c:v>34</c:v>
                </c:pt>
                <c:pt idx="4">
                  <c:v>149.42000000000002</c:v>
                </c:pt>
                <c:pt idx="5">
                  <c:v>57.75</c:v>
                </c:pt>
                <c:pt idx="6">
                  <c:v>0</c:v>
                </c:pt>
                <c:pt idx="7">
                  <c:v>30</c:v>
                </c:pt>
                <c:pt idx="8">
                  <c:v>5</c:v>
                </c:pt>
                <c:pt idx="9">
                  <c:v>81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46.5</c:v>
                </c:pt>
                <c:pt idx="15">
                  <c:v>566.67000000000007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E2-4673-8351-137B32492706}"/>
            </c:ext>
          </c:extLst>
        </c:ser>
        <c:ser>
          <c:idx val="9"/>
          <c:order val="9"/>
          <c:tx>
            <c:strRef>
              <c:f>Dinâmico!$K$1</c:f>
              <c:strCache>
                <c:ptCount val="1"/>
              </c:strCache>
            </c:strRef>
          </c:tx>
          <c:spPr>
            <a:ln w="28575" cmpd="sng">
              <a:solidFill>
                <a:srgbClr val="4D3C6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D3C61"/>
              </a:solidFill>
              <a:ln cmpd="sng">
                <a:solidFill>
                  <a:srgbClr val="4D3C61"/>
                </a:solidFill>
              </a:ln>
            </c:spPr>
          </c:marker>
          <c:val>
            <c:numRef>
              <c:f>Dinâmico!$K$2:$K$18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73</c:v>
                </c:pt>
                <c:pt idx="6">
                  <c:v>40</c:v>
                </c:pt>
                <c:pt idx="7">
                  <c:v>45</c:v>
                </c:pt>
                <c:pt idx="8">
                  <c:v>15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10</c:v>
                </c:pt>
                <c:pt idx="14">
                  <c:v>20</c:v>
                </c:pt>
                <c:pt idx="15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E2-4673-8351-137B32492706}"/>
            </c:ext>
          </c:extLst>
        </c:ser>
        <c:ser>
          <c:idx val="10"/>
          <c:order val="10"/>
          <c:tx>
            <c:strRef>
              <c:f>Dinâmico!$L$1</c:f>
              <c:strCache>
                <c:ptCount val="1"/>
              </c:strCache>
            </c:strRef>
          </c:tx>
          <c:spPr>
            <a:ln w="28575" cmpd="sng">
              <a:solidFill>
                <a:srgbClr val="2D677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D6777"/>
              </a:solidFill>
              <a:ln cmpd="sng">
                <a:solidFill>
                  <a:srgbClr val="2D6777"/>
                </a:solidFill>
              </a:ln>
            </c:spPr>
          </c:marker>
          <c:val>
            <c:numRef>
              <c:f>Dinâmico!$L$2:$L$18</c:f>
              <c:numCache>
                <c:formatCode>General</c:formatCode>
                <c:ptCount val="17"/>
                <c:pt idx="0">
                  <c:v>0</c:v>
                </c:pt>
                <c:pt idx="1">
                  <c:v>100.84</c:v>
                </c:pt>
                <c:pt idx="2">
                  <c:v>71.89</c:v>
                </c:pt>
                <c:pt idx="3">
                  <c:v>71.89</c:v>
                </c:pt>
                <c:pt idx="4">
                  <c:v>71.89</c:v>
                </c:pt>
                <c:pt idx="5">
                  <c:v>71.89</c:v>
                </c:pt>
                <c:pt idx="6">
                  <c:v>76.89</c:v>
                </c:pt>
                <c:pt idx="7">
                  <c:v>76.89</c:v>
                </c:pt>
                <c:pt idx="8">
                  <c:v>76.89</c:v>
                </c:pt>
                <c:pt idx="9">
                  <c:v>76.89</c:v>
                </c:pt>
                <c:pt idx="10">
                  <c:v>76.89</c:v>
                </c:pt>
                <c:pt idx="11">
                  <c:v>76.89</c:v>
                </c:pt>
                <c:pt idx="12">
                  <c:v>76.89</c:v>
                </c:pt>
                <c:pt idx="13">
                  <c:v>76.89</c:v>
                </c:pt>
                <c:pt idx="14">
                  <c:v>76.89</c:v>
                </c:pt>
                <c:pt idx="15">
                  <c:v>1080.4099999999999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E2-4673-8351-137B32492706}"/>
            </c:ext>
          </c:extLst>
        </c:ser>
        <c:ser>
          <c:idx val="11"/>
          <c:order val="11"/>
          <c:tx>
            <c:strRef>
              <c:f>Dinâmico!$M$1</c:f>
              <c:strCache>
                <c:ptCount val="1"/>
              </c:strCache>
            </c:strRef>
          </c:tx>
          <c:spPr>
            <a:ln w="28575" cmpd="sng">
              <a:solidFill>
                <a:srgbClr val="945A2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45A2A"/>
              </a:solidFill>
              <a:ln cmpd="sng">
                <a:solidFill>
                  <a:srgbClr val="945A2A"/>
                </a:solidFill>
              </a:ln>
            </c:spPr>
          </c:marker>
          <c:val>
            <c:numRef>
              <c:f>Dinâmico!$M$2:$M$18</c:f>
              <c:numCache>
                <c:formatCode>General</c:formatCode>
                <c:ptCount val="17"/>
                <c:pt idx="0">
                  <c:v>0</c:v>
                </c:pt>
                <c:pt idx="1">
                  <c:v>171</c:v>
                </c:pt>
                <c:pt idx="2">
                  <c:v>192</c:v>
                </c:pt>
                <c:pt idx="3">
                  <c:v>192</c:v>
                </c:pt>
                <c:pt idx="4">
                  <c:v>192</c:v>
                </c:pt>
                <c:pt idx="5">
                  <c:v>96</c:v>
                </c:pt>
                <c:pt idx="6">
                  <c:v>30.1</c:v>
                </c:pt>
                <c:pt idx="7">
                  <c:v>206.4</c:v>
                </c:pt>
                <c:pt idx="8">
                  <c:v>206.4</c:v>
                </c:pt>
                <c:pt idx="9">
                  <c:v>211.15</c:v>
                </c:pt>
                <c:pt idx="10">
                  <c:v>206.4</c:v>
                </c:pt>
                <c:pt idx="11">
                  <c:v>0</c:v>
                </c:pt>
                <c:pt idx="12">
                  <c:v>103.2</c:v>
                </c:pt>
                <c:pt idx="13">
                  <c:v>206.4</c:v>
                </c:pt>
                <c:pt idx="14">
                  <c:v>211.20000000000002</c:v>
                </c:pt>
                <c:pt idx="15">
                  <c:v>2224.2500000000005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E2-4673-8351-137B32492706}"/>
            </c:ext>
          </c:extLst>
        </c:ser>
        <c:ser>
          <c:idx val="12"/>
          <c:order val="12"/>
          <c:tx>
            <c:strRef>
              <c:f>Dinâmico!$N$1</c:f>
              <c:strCache>
                <c:ptCount val="1"/>
              </c:strCache>
            </c:strRef>
          </c:tx>
          <c:spPr>
            <a:ln w="28575" cmpd="sng">
              <a:solidFill>
                <a:srgbClr val="729AC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29ACA"/>
              </a:solidFill>
              <a:ln cmpd="sng">
                <a:solidFill>
                  <a:srgbClr val="729ACA"/>
                </a:solidFill>
              </a:ln>
            </c:spPr>
          </c:marker>
          <c:val>
            <c:numRef>
              <c:f>Dinâmico!$N$2:$N$18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4.4000000000000004</c:v>
                </c:pt>
                <c:pt idx="4">
                  <c:v>0</c:v>
                </c:pt>
                <c:pt idx="5">
                  <c:v>78</c:v>
                </c:pt>
                <c:pt idx="6">
                  <c:v>22.05</c:v>
                </c:pt>
                <c:pt idx="7">
                  <c:v>135</c:v>
                </c:pt>
                <c:pt idx="8">
                  <c:v>0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  <c:pt idx="12">
                  <c:v>80</c:v>
                </c:pt>
                <c:pt idx="13">
                  <c:v>135</c:v>
                </c:pt>
                <c:pt idx="14">
                  <c:v>135</c:v>
                </c:pt>
                <c:pt idx="15">
                  <c:v>994.45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E2-4673-8351-137B32492706}"/>
            </c:ext>
          </c:extLst>
        </c:ser>
        <c:ser>
          <c:idx val="13"/>
          <c:order val="13"/>
          <c:tx>
            <c:strRef>
              <c:f>Dinâmico!$O$1</c:f>
              <c:strCache>
                <c:ptCount val="1"/>
              </c:strCache>
            </c:strRef>
          </c:tx>
          <c:spPr>
            <a:ln w="28575" cmpd="sng">
              <a:solidFill>
                <a:srgbClr val="CD737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D7371"/>
              </a:solidFill>
              <a:ln cmpd="sng">
                <a:solidFill>
                  <a:srgbClr val="CD7371"/>
                </a:solidFill>
              </a:ln>
            </c:spPr>
          </c:marker>
          <c:val>
            <c:numRef>
              <c:f>Dinâmico!$O$2:$O$18</c:f>
              <c:numCache>
                <c:formatCode>General</c:formatCode>
                <c:ptCount val="17"/>
                <c:pt idx="0">
                  <c:v>0</c:v>
                </c:pt>
                <c:pt idx="1">
                  <c:v>9.1</c:v>
                </c:pt>
                <c:pt idx="2">
                  <c:v>35.950000000000003</c:v>
                </c:pt>
                <c:pt idx="3">
                  <c:v>18.689999999999998</c:v>
                </c:pt>
                <c:pt idx="4">
                  <c:v>41.68</c:v>
                </c:pt>
                <c:pt idx="5">
                  <c:v>92.490000000000009</c:v>
                </c:pt>
                <c:pt idx="6">
                  <c:v>0</c:v>
                </c:pt>
                <c:pt idx="7">
                  <c:v>52.7</c:v>
                </c:pt>
                <c:pt idx="8">
                  <c:v>48.580000000000005</c:v>
                </c:pt>
                <c:pt idx="9">
                  <c:v>111.08</c:v>
                </c:pt>
                <c:pt idx="10">
                  <c:v>126.41</c:v>
                </c:pt>
                <c:pt idx="11">
                  <c:v>195.21</c:v>
                </c:pt>
                <c:pt idx="12">
                  <c:v>111.11</c:v>
                </c:pt>
                <c:pt idx="13">
                  <c:v>145.82</c:v>
                </c:pt>
                <c:pt idx="14">
                  <c:v>209.28999999999996</c:v>
                </c:pt>
                <c:pt idx="15">
                  <c:v>1198.1099999999999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E2-4673-8351-137B32492706}"/>
            </c:ext>
          </c:extLst>
        </c:ser>
        <c:ser>
          <c:idx val="14"/>
          <c:order val="14"/>
          <c:tx>
            <c:strRef>
              <c:f>Dinâmico!$P$1</c:f>
              <c:strCache>
                <c:ptCount val="1"/>
              </c:strCache>
            </c:strRef>
          </c:tx>
          <c:spPr>
            <a:ln w="28575" cmpd="sng">
              <a:solidFill>
                <a:srgbClr val="AFC97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AFC97A"/>
              </a:solidFill>
              <a:ln cmpd="sng">
                <a:solidFill>
                  <a:srgbClr val="AFC97A"/>
                </a:solidFill>
              </a:ln>
            </c:spPr>
          </c:marker>
          <c:val>
            <c:numRef>
              <c:f>Dinâmico!$P$2:$P$18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89.08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E2-4673-8351-137B32492706}"/>
            </c:ext>
          </c:extLst>
        </c:ser>
        <c:ser>
          <c:idx val="15"/>
          <c:order val="15"/>
          <c:tx>
            <c:strRef>
              <c:f>Dinâmico!$Q$1</c:f>
              <c:strCache>
                <c:ptCount val="1"/>
              </c:strCache>
            </c:strRef>
          </c:tx>
          <c:spPr>
            <a:ln w="28575" cmpd="sng">
              <a:solidFill>
                <a:srgbClr val="9983B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983B5"/>
              </a:solidFill>
              <a:ln cmpd="sng">
                <a:solidFill>
                  <a:srgbClr val="9983B5"/>
                </a:solidFill>
              </a:ln>
            </c:spPr>
          </c:marker>
          <c:val>
            <c:numRef>
              <c:f>Dinâmico!$Q$2:$Q$18</c:f>
              <c:numCache>
                <c:formatCode>General</c:formatCode>
                <c:ptCount val="17"/>
                <c:pt idx="0">
                  <c:v>0</c:v>
                </c:pt>
                <c:pt idx="1">
                  <c:v>40.9</c:v>
                </c:pt>
                <c:pt idx="2">
                  <c:v>0</c:v>
                </c:pt>
                <c:pt idx="3">
                  <c:v>38.5</c:v>
                </c:pt>
                <c:pt idx="4">
                  <c:v>14.9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5.1000000000000014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2.7</c:v>
                </c:pt>
                <c:pt idx="14">
                  <c:v>0</c:v>
                </c:pt>
                <c:pt idx="15">
                  <c:v>102.10000000000001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FE2-4673-8351-137B32492706}"/>
            </c:ext>
          </c:extLst>
        </c:ser>
        <c:ser>
          <c:idx val="16"/>
          <c:order val="16"/>
          <c:tx>
            <c:strRef>
              <c:f>Dinâmico!$R$1</c:f>
              <c:strCache>
                <c:ptCount val="1"/>
              </c:strCache>
            </c:strRef>
          </c:tx>
          <c:spPr>
            <a:ln w="28575" cmpd="sng">
              <a:solidFill>
                <a:srgbClr val="6FBDD1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FBDD1"/>
              </a:solidFill>
              <a:ln cmpd="sng">
                <a:solidFill>
                  <a:srgbClr val="6FBDD1"/>
                </a:solidFill>
              </a:ln>
            </c:spPr>
          </c:marker>
          <c:val>
            <c:numRef>
              <c:f>Dinâmico!$R$2:$R$18</c:f>
              <c:numCache>
                <c:formatCode>General</c:formatCode>
                <c:ptCount val="17"/>
                <c:pt idx="0">
                  <c:v>0</c:v>
                </c:pt>
                <c:pt idx="1">
                  <c:v>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3.05</c:v>
                </c:pt>
                <c:pt idx="15">
                  <c:v>75.05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FE2-4673-8351-137B32492706}"/>
            </c:ext>
          </c:extLst>
        </c:ser>
        <c:ser>
          <c:idx val="17"/>
          <c:order val="17"/>
          <c:tx>
            <c:strRef>
              <c:f>Dinâmico!$S$1</c:f>
              <c:strCache>
                <c:ptCount val="1"/>
              </c:strCache>
            </c:strRef>
          </c:tx>
          <c:spPr>
            <a:ln w="28575" cmpd="sng">
              <a:solidFill>
                <a:srgbClr val="F9AB6B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9AB6B"/>
              </a:solidFill>
              <a:ln cmpd="sng">
                <a:solidFill>
                  <a:srgbClr val="F9AB6B"/>
                </a:solidFill>
              </a:ln>
            </c:spPr>
          </c:marker>
          <c:val>
            <c:numRef>
              <c:f>Dinâmico!$S$2:$S$18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FE2-4673-8351-137B32492706}"/>
            </c:ext>
          </c:extLst>
        </c:ser>
        <c:ser>
          <c:idx val="18"/>
          <c:order val="18"/>
          <c:tx>
            <c:strRef>
              <c:f>Dinâmico!$T$1</c:f>
              <c:strCache>
                <c:ptCount val="1"/>
              </c:strCache>
            </c:strRef>
          </c:tx>
          <c:spPr>
            <a:ln w="28575" cmpd="sng">
              <a:solidFill>
                <a:srgbClr val="3F679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F6797"/>
              </a:solidFill>
              <a:ln cmpd="sng">
                <a:solidFill>
                  <a:srgbClr val="3F6797"/>
                </a:solidFill>
              </a:ln>
            </c:spPr>
          </c:marker>
          <c:val>
            <c:numRef>
              <c:f>Dinâmico!$T$2:$T$18</c:f>
              <c:numCache>
                <c:formatCode>General</c:formatCode>
                <c:ptCount val="17"/>
                <c:pt idx="0">
                  <c:v>0</c:v>
                </c:pt>
                <c:pt idx="1">
                  <c:v>25</c:v>
                </c:pt>
                <c:pt idx="2">
                  <c:v>40.799999999999997</c:v>
                </c:pt>
                <c:pt idx="3">
                  <c:v>45.49</c:v>
                </c:pt>
                <c:pt idx="4">
                  <c:v>108.05999999999999</c:v>
                </c:pt>
                <c:pt idx="5">
                  <c:v>98.4</c:v>
                </c:pt>
                <c:pt idx="6">
                  <c:v>99.84</c:v>
                </c:pt>
                <c:pt idx="7">
                  <c:v>43.97</c:v>
                </c:pt>
                <c:pt idx="8">
                  <c:v>160.97</c:v>
                </c:pt>
                <c:pt idx="9">
                  <c:v>40.299999999999997</c:v>
                </c:pt>
                <c:pt idx="10">
                  <c:v>367.59</c:v>
                </c:pt>
                <c:pt idx="11">
                  <c:v>9.61</c:v>
                </c:pt>
                <c:pt idx="12">
                  <c:v>91.679999999999993</c:v>
                </c:pt>
                <c:pt idx="13">
                  <c:v>20.399999999999999</c:v>
                </c:pt>
                <c:pt idx="14">
                  <c:v>49.85</c:v>
                </c:pt>
                <c:pt idx="15">
                  <c:v>1201.96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FE2-4673-8351-137B32492706}"/>
            </c:ext>
          </c:extLst>
        </c:ser>
        <c:ser>
          <c:idx val="19"/>
          <c:order val="19"/>
          <c:tx>
            <c:strRef>
              <c:f>Dinâmico!$U$1</c:f>
              <c:strCache>
                <c:ptCount val="1"/>
              </c:strCache>
            </c:strRef>
          </c:tx>
          <c:spPr>
            <a:ln w="28575" cmpd="sng">
              <a:solidFill>
                <a:srgbClr val="9A403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A403E"/>
              </a:solidFill>
              <a:ln cmpd="sng">
                <a:solidFill>
                  <a:srgbClr val="9A403E"/>
                </a:solidFill>
              </a:ln>
            </c:spPr>
          </c:marker>
          <c:val>
            <c:numRef>
              <c:f>Dinâmico!$U$2:$U$18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79.89</c:v>
                </c:pt>
                <c:pt idx="3">
                  <c:v>0</c:v>
                </c:pt>
                <c:pt idx="4">
                  <c:v>28.5</c:v>
                </c:pt>
                <c:pt idx="5">
                  <c:v>0</c:v>
                </c:pt>
                <c:pt idx="6">
                  <c:v>0</c:v>
                </c:pt>
                <c:pt idx="7">
                  <c:v>29.9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14.36</c:v>
                </c:pt>
                <c:pt idx="13">
                  <c:v>0</c:v>
                </c:pt>
                <c:pt idx="14">
                  <c:v>18.899999999999999</c:v>
                </c:pt>
                <c:pt idx="15">
                  <c:v>171.54999999999998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FE2-4673-8351-137B32492706}"/>
            </c:ext>
          </c:extLst>
        </c:ser>
        <c:ser>
          <c:idx val="20"/>
          <c:order val="20"/>
          <c:tx>
            <c:strRef>
              <c:f>Dinâmico!$V$1</c:f>
              <c:strCache>
                <c:ptCount val="1"/>
              </c:strCache>
            </c:strRef>
          </c:tx>
          <c:spPr>
            <a:ln w="28575" cmpd="sng">
              <a:solidFill>
                <a:srgbClr val="7C9647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C9647"/>
              </a:solidFill>
              <a:ln cmpd="sng">
                <a:solidFill>
                  <a:srgbClr val="7C9647"/>
                </a:solidFill>
              </a:ln>
            </c:spPr>
          </c:marker>
          <c:val>
            <c:numRef>
              <c:f>Dinâmico!$V$2:$V$18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39.9</c:v>
                </c:pt>
                <c:pt idx="5">
                  <c:v>49.99</c:v>
                </c:pt>
                <c:pt idx="6">
                  <c:v>0</c:v>
                </c:pt>
                <c:pt idx="7">
                  <c:v>0</c:v>
                </c:pt>
                <c:pt idx="8">
                  <c:v>60</c:v>
                </c:pt>
                <c:pt idx="9">
                  <c:v>0</c:v>
                </c:pt>
                <c:pt idx="10">
                  <c:v>350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499.89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FE2-4673-8351-137B32492706}"/>
            </c:ext>
          </c:extLst>
        </c:ser>
        <c:ser>
          <c:idx val="21"/>
          <c:order val="21"/>
          <c:tx>
            <c:strRef>
              <c:f>Dinâmico!$W$1</c:f>
              <c:strCache>
                <c:ptCount val="1"/>
              </c:strCache>
            </c:strRef>
          </c:tx>
          <c:spPr>
            <a:ln w="28575" cmpd="sng">
              <a:solidFill>
                <a:srgbClr val="66508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665082"/>
              </a:solidFill>
              <a:ln cmpd="sng">
                <a:solidFill>
                  <a:srgbClr val="665082"/>
                </a:solidFill>
              </a:ln>
            </c:spPr>
          </c:marker>
          <c:val>
            <c:numRef>
              <c:f>Dinâmico!$W$2:$W$18</c:f>
              <c:numCache>
                <c:formatCode>General</c:formatCode>
                <c:ptCount val="17"/>
                <c:pt idx="0">
                  <c:v>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589.85</c:v>
                </c:pt>
                <c:pt idx="5">
                  <c:v>550</c:v>
                </c:pt>
                <c:pt idx="6">
                  <c:v>550</c:v>
                </c:pt>
                <c:pt idx="7">
                  <c:v>550</c:v>
                </c:pt>
                <c:pt idx="8">
                  <c:v>550</c:v>
                </c:pt>
                <c:pt idx="9">
                  <c:v>550</c:v>
                </c:pt>
                <c:pt idx="10">
                  <c:v>550</c:v>
                </c:pt>
                <c:pt idx="11">
                  <c:v>550</c:v>
                </c:pt>
                <c:pt idx="12">
                  <c:v>550</c:v>
                </c:pt>
                <c:pt idx="13">
                  <c:v>550</c:v>
                </c:pt>
                <c:pt idx="14">
                  <c:v>550</c:v>
                </c:pt>
                <c:pt idx="15">
                  <c:v>7889.85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FE2-4673-8351-137B32492706}"/>
            </c:ext>
          </c:extLst>
        </c:ser>
        <c:ser>
          <c:idx val="22"/>
          <c:order val="22"/>
          <c:tx>
            <c:strRef>
              <c:f>Dinâmico!$X$1</c:f>
              <c:strCache>
                <c:ptCount val="1"/>
              </c:strCache>
            </c:strRef>
          </c:tx>
          <c:spPr>
            <a:ln w="28575" cmpd="sng">
              <a:solidFill>
                <a:srgbClr val="3C8A9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3C8A9E"/>
              </a:solidFill>
              <a:ln cmpd="sng">
                <a:solidFill>
                  <a:srgbClr val="3C8A9E"/>
                </a:solidFill>
              </a:ln>
            </c:spPr>
          </c:marker>
          <c:val>
            <c:numRef>
              <c:f>Dinâmico!$X$2:$X$18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85.38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0</c:v>
                </c:pt>
                <c:pt idx="7">
                  <c:v>45</c:v>
                </c:pt>
                <c:pt idx="8">
                  <c:v>0</c:v>
                </c:pt>
                <c:pt idx="9">
                  <c:v>45</c:v>
                </c:pt>
                <c:pt idx="10">
                  <c:v>0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45</c:v>
                </c:pt>
                <c:pt idx="15">
                  <c:v>284.38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FE2-4673-8351-137B32492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8425119"/>
        <c:axId val="201302142"/>
      </c:lineChart>
      <c:catAx>
        <c:axId val="1678425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 lang="pt-BR"/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201302142"/>
        <c:crosses val="autoZero"/>
        <c:auto val="1"/>
        <c:lblAlgn val="ctr"/>
        <c:lblOffset val="100"/>
        <c:noMultiLvlLbl val="1"/>
      </c:catAx>
      <c:valAx>
        <c:axId val="20130214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1678425119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390525</xdr:colOff>
      <xdr:row>18</xdr:row>
      <xdr:rowOff>19050</xdr:rowOff>
    </xdr:from>
    <xdr:ext cx="5505450" cy="2876550"/>
    <xdr:graphicFrame macro="">
      <xdr:nvGraphicFramePr>
        <xdr:cNvPr id="858228519" name="Chart 1">
          <a:extLst>
            <a:ext uri="{FF2B5EF4-FFF2-40B4-BE49-F238E27FC236}">
              <a16:creationId xmlns:a16="http://schemas.microsoft.com/office/drawing/2014/main" id="{00000000-0008-0000-0000-000027872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25</xdr:row>
      <xdr:rowOff>47625</xdr:rowOff>
    </xdr:from>
    <xdr:ext cx="7277100" cy="4438650"/>
    <xdr:graphicFrame macro="">
      <xdr:nvGraphicFramePr>
        <xdr:cNvPr id="1170306287" name="Chart 2">
          <a:extLst>
            <a:ext uri="{FF2B5EF4-FFF2-40B4-BE49-F238E27FC236}">
              <a16:creationId xmlns:a16="http://schemas.microsoft.com/office/drawing/2014/main" id="{00000000-0008-0000-1B00-0000EF74C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9525</xdr:colOff>
      <xdr:row>25</xdr:row>
      <xdr:rowOff>85725</xdr:rowOff>
    </xdr:from>
    <xdr:ext cx="7753350" cy="4438650"/>
    <xdr:graphicFrame macro="">
      <xdr:nvGraphicFramePr>
        <xdr:cNvPr id="1607024378" name="Chart 3">
          <a:extLst>
            <a:ext uri="{FF2B5EF4-FFF2-40B4-BE49-F238E27FC236}">
              <a16:creationId xmlns:a16="http://schemas.microsoft.com/office/drawing/2014/main" id="{00000000-0008-0000-1B00-0000FA3EC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3</xdr:row>
      <xdr:rowOff>85725</xdr:rowOff>
    </xdr:from>
    <xdr:ext cx="13525500" cy="6924675"/>
    <xdr:graphicFrame macro="">
      <xdr:nvGraphicFramePr>
        <xdr:cNvPr id="1919104509" name="Chart 4">
          <a:extLst>
            <a:ext uri="{FF2B5EF4-FFF2-40B4-BE49-F238E27FC236}">
              <a16:creationId xmlns:a16="http://schemas.microsoft.com/office/drawing/2014/main" id="{00000000-0008-0000-2100-0000FD356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vitor" refreshedDate="43926.468145833336" refreshedVersion="6" recordCount="14" xr:uid="{00000000-000A-0000-FFFF-FFFF02000000}">
  <cacheSource type="worksheet">
    <worksheetSource ref="C30:Z44" sheet="BaseDeDados"/>
  </cacheSource>
  <cacheFields count="24">
    <cacheField name="Meses" numFmtId="17">
      <sharedItems containsSemiMixedTypes="0" containsNonDate="0" containsDate="1" containsString="0" minDate="2018-08-01T00:00:00" maxDate="2019-09-02T00:00:00" count="14"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</sharedItems>
    </cacheField>
    <cacheField name="Bares-Restaurantes" numFmtId="0">
      <sharedItems containsSemiMixedTypes="0" containsString="0" containsNumber="1" minValue="127.72" maxValue="345.37"/>
    </cacheField>
    <cacheField name="BK" numFmtId="0">
      <sharedItems containsSemiMixedTypes="0" containsString="0" containsNumber="1" minValue="0" maxValue="80.5"/>
    </cacheField>
    <cacheField name="Doces" numFmtId="0">
      <sharedItems containsSemiMixedTypes="0" containsString="0" containsNumber="1" minValue="0" maxValue="44"/>
    </cacheField>
    <cacheField name="Salgados" numFmtId="0">
      <sharedItems containsSemiMixedTypes="0" containsString="0" containsNumber="1" minValue="8.5" maxValue="64.760000000000005"/>
    </cacheField>
    <cacheField name="Café" numFmtId="0">
      <sharedItems containsSemiMixedTypes="0" containsString="0" containsNumber="1" minValue="4.5" maxValue="26.99"/>
    </cacheField>
    <cacheField name="Starbucks" numFmtId="0">
      <sharedItems containsSemiMixedTypes="0" containsString="0" containsNumber="1" minValue="20" maxValue="75"/>
    </cacheField>
    <cacheField name="Mercado" numFmtId="0">
      <sharedItems containsSemiMixedTypes="0" containsString="0" containsNumber="1" minValue="69.05" maxValue="268.5"/>
    </cacheField>
    <cacheField name="Saúde" numFmtId="0">
      <sharedItems containsSemiMixedTypes="0" containsString="0" containsNumber="1" minValue="0" maxValue="296.73"/>
    </cacheField>
    <cacheField name="Lazer" numFmtId="0">
      <sharedItems containsSemiMixedTypes="0" containsString="0" containsNumber="1" minValue="0" maxValue="149.42000000000002"/>
    </cacheField>
    <cacheField name="Yellow" numFmtId="0">
      <sharedItems containsSemiMixedTypes="0" containsString="0" containsNumber="1" containsInteger="1" minValue="0" maxValue="73"/>
    </cacheField>
    <cacheField name="Contas" numFmtId="0">
      <sharedItems containsSemiMixedTypes="0" containsString="0" containsNumber="1" minValue="71.89" maxValue="100.84"/>
    </cacheField>
    <cacheField name="BU" numFmtId="0">
      <sharedItems containsSemiMixedTypes="0" containsString="0" containsNumber="1" minValue="0" maxValue="211.20000000000002"/>
    </cacheField>
    <cacheField name="BOM" numFmtId="0">
      <sharedItems containsSemiMixedTypes="0" containsString="0" containsNumber="1" minValue="0" maxValue="135"/>
    </cacheField>
    <cacheField name="Uber" numFmtId="0">
      <sharedItems containsSemiMixedTypes="0" containsString="0" containsNumber="1" minValue="0" maxValue="209.28999999999996"/>
    </cacheField>
    <cacheField name="Viagem" numFmtId="0">
      <sharedItems containsSemiMixedTypes="0" containsString="0" containsNumber="1" minValue="0" maxValue="89.08"/>
    </cacheField>
    <cacheField name="Material Escolar" numFmtId="0">
      <sharedItems containsSemiMixedTypes="0" containsString="0" containsNumber="1" minValue="0" maxValue="40.9"/>
    </cacheField>
    <cacheField name="Xerox" numFmtId="0">
      <sharedItems containsSemiMixedTypes="0" containsString="0" containsNumber="1" minValue="0" maxValue="72"/>
    </cacheField>
    <cacheField name="Compras" numFmtId="0">
      <sharedItems containsSemiMixedTypes="0" containsString="0" containsNumber="1" containsInteger="1" minValue="0" maxValue="0"/>
    </cacheField>
    <cacheField name="Acessórios" numFmtId="0">
      <sharedItems containsSemiMixedTypes="0" containsString="0" containsNumber="1" minValue="9.61" maxValue="367.59"/>
    </cacheField>
    <cacheField name="Livros" numFmtId="0">
      <sharedItems containsSemiMixedTypes="0" containsString="0" containsNumber="1" minValue="0" maxValue="79.89"/>
    </cacheField>
    <cacheField name="Roupas" numFmtId="0">
      <sharedItems containsSemiMixedTypes="0" containsString="0" containsNumber="1" minValue="0" maxValue="350"/>
    </cacheField>
    <cacheField name="Casa" numFmtId="0">
      <sharedItems containsSemiMixedTypes="0" containsString="0" containsNumber="1" minValue="550" maxValue="600"/>
    </cacheField>
    <cacheField name="Cuidados Pessoais" numFmtId="0">
      <sharedItems containsSemiMixedTypes="0" containsString="0" containsNumber="1" minValue="0" maxValue="85.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vitor" refreshedDate="43926.468145949075" refreshedVersion="6" recordCount="30" xr:uid="{00000000-000A-0000-FFFF-FFFF01000000}">
  <cacheSource type="worksheet">
    <worksheetSource ref="G7:J37" sheet="Dinâmica"/>
  </cacheSource>
  <cacheFields count="4">
    <cacheField name="TipoDia" numFmtId="0">
      <sharedItems/>
    </cacheField>
    <cacheField name="DiaSemana" numFmtId="0">
      <sharedItems count="7">
        <s v="sex"/>
        <s v="sáb"/>
        <s v="dom"/>
        <s v="seg"/>
        <s v="ter"/>
        <s v="qua"/>
        <s v="qui"/>
      </sharedItems>
    </cacheField>
    <cacheField name="DiaMês" numFmtId="165">
      <sharedItems containsSemiMixedTypes="0" containsNonDate="0" containsDate="1" containsString="0" minDate="2018-06-01T00:00:00" maxDate="2018-07-01T00:00:00"/>
    </cacheField>
    <cacheField name="Valores" numFmtId="0">
      <sharedItems containsSemiMixedTypes="0" containsString="0" containsNumber="1" minValue="0" maxValue="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vitor" refreshedDate="43926.468145949075" refreshedVersion="6" recordCount="20" xr:uid="{00000000-000A-0000-FFFF-FFFF00000000}">
  <cacheSource type="worksheet">
    <worksheetSource ref="A5:D25" sheet="Jun2018"/>
  </cacheSource>
  <cacheFields count="4">
    <cacheField name="Cat1" numFmtId="0">
      <sharedItems/>
    </cacheField>
    <cacheField name="Cat2" numFmtId="0">
      <sharedItems/>
    </cacheField>
    <cacheField name="Cat3" numFmtId="0">
      <sharedItems containsBlank="1"/>
    </cacheField>
    <cacheField name="Valores" numFmtId="2">
      <sharedItems containsSemiMixedTypes="0" containsString="0" containsNumber="1" minValue="0" maxValue="1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345.37"/>
    <n v="16.899999999999999"/>
    <n v="0"/>
    <n v="25.75"/>
    <n v="26.8"/>
    <n v="31"/>
    <n v="80.59"/>
    <n v="0"/>
    <n v="145"/>
    <n v="0"/>
    <n v="100.84"/>
    <n v="171"/>
    <n v="0"/>
    <n v="9.1"/>
    <n v="0"/>
    <n v="40.9"/>
    <n v="72"/>
    <n v="0"/>
    <n v="25"/>
    <n v="0"/>
    <n v="0"/>
    <n v="600"/>
    <n v="0"/>
  </r>
  <r>
    <x v="1"/>
    <n v="146.32999999999998"/>
    <n v="16.899999999999999"/>
    <n v="0"/>
    <n v="14.5"/>
    <n v="18.3"/>
    <n v="40"/>
    <n v="69.05"/>
    <n v="160"/>
    <n v="10"/>
    <n v="0"/>
    <n v="71.89"/>
    <n v="192"/>
    <n v="0"/>
    <n v="35.950000000000003"/>
    <n v="0"/>
    <n v="0"/>
    <n v="0"/>
    <n v="0"/>
    <n v="40.799999999999997"/>
    <n v="79.89"/>
    <n v="0"/>
    <n v="600"/>
    <n v="85.38"/>
  </r>
  <r>
    <x v="2"/>
    <n v="127.72"/>
    <n v="55.15"/>
    <n v="0"/>
    <n v="8.5"/>
    <n v="8.5"/>
    <n v="40"/>
    <n v="100.22000000000001"/>
    <n v="175.48"/>
    <n v="34"/>
    <n v="0"/>
    <n v="71.89"/>
    <n v="192"/>
    <n v="4.4000000000000004"/>
    <n v="18.689999999999998"/>
    <n v="0"/>
    <n v="38.5"/>
    <n v="0"/>
    <n v="0"/>
    <n v="45.49"/>
    <n v="0"/>
    <n v="0"/>
    <n v="600"/>
    <n v="0"/>
  </r>
  <r>
    <x v="3"/>
    <n v="319.38"/>
    <n v="80.5"/>
    <n v="0"/>
    <n v="29.9"/>
    <n v="4.5"/>
    <n v="20"/>
    <n v="97.38000000000001"/>
    <n v="0"/>
    <n v="149.42000000000002"/>
    <n v="20"/>
    <n v="71.89"/>
    <n v="192"/>
    <n v="0"/>
    <n v="41.68"/>
    <n v="0"/>
    <n v="14.9"/>
    <n v="0"/>
    <n v="0"/>
    <n v="108.05999999999999"/>
    <n v="28.5"/>
    <n v="39.9"/>
    <n v="589.85"/>
    <n v="0"/>
  </r>
  <r>
    <x v="4"/>
    <n v="271.75"/>
    <n v="43.629999999999995"/>
    <n v="40.98"/>
    <n v="22.5"/>
    <n v="9.5399999999999991"/>
    <n v="20"/>
    <n v="181.48"/>
    <n v="180.69"/>
    <n v="57.75"/>
    <n v="73"/>
    <n v="71.89"/>
    <n v="96"/>
    <n v="78"/>
    <n v="92.490000000000009"/>
    <n v="0"/>
    <n v="0"/>
    <n v="0"/>
    <n v="0"/>
    <n v="98.4"/>
    <n v="0"/>
    <n v="49.99"/>
    <n v="550"/>
    <n v="14"/>
  </r>
  <r>
    <x v="5"/>
    <n v="190.19"/>
    <n v="47.03"/>
    <n v="3.8"/>
    <n v="12.23"/>
    <n v="15.47"/>
    <n v="20"/>
    <n v="120.59"/>
    <n v="296.73"/>
    <n v="0"/>
    <n v="40"/>
    <n v="76.89"/>
    <n v="30.1"/>
    <n v="22.05"/>
    <n v="0"/>
    <n v="89.08"/>
    <n v="0"/>
    <n v="0"/>
    <n v="0"/>
    <n v="99.84"/>
    <n v="0"/>
    <n v="0"/>
    <n v="550"/>
    <n v="0"/>
  </r>
  <r>
    <x v="6"/>
    <n v="150.9"/>
    <n v="39.25"/>
    <n v="0"/>
    <n v="9"/>
    <n v="8.5"/>
    <n v="40"/>
    <n v="268.5"/>
    <n v="8.89"/>
    <n v="30"/>
    <n v="45"/>
    <n v="76.89"/>
    <n v="206.4"/>
    <n v="135"/>
    <n v="52.7"/>
    <n v="0"/>
    <n v="0"/>
    <n v="0"/>
    <n v="0"/>
    <n v="43.97"/>
    <n v="29.9"/>
    <n v="0"/>
    <n v="550"/>
    <n v="45"/>
  </r>
  <r>
    <x v="7"/>
    <n v="263.74"/>
    <n v="28.799999999999997"/>
    <n v="0"/>
    <n v="8.5"/>
    <n v="21.5"/>
    <n v="75"/>
    <n v="105.34"/>
    <n v="154.91"/>
    <n v="5"/>
    <n v="15"/>
    <n v="76.89"/>
    <n v="206.4"/>
    <n v="0"/>
    <n v="48.580000000000005"/>
    <n v="6"/>
    <n v="0"/>
    <n v="0"/>
    <n v="0"/>
    <n v="160.97"/>
    <n v="0"/>
    <n v="60"/>
    <n v="550"/>
    <n v="0"/>
  </r>
  <r>
    <x v="8"/>
    <n v="239.00000000000003"/>
    <n v="0"/>
    <n v="24.5"/>
    <n v="28.8"/>
    <n v="18"/>
    <n v="30"/>
    <n v="144.04"/>
    <n v="154.74"/>
    <n v="81"/>
    <n v="25"/>
    <n v="76.89"/>
    <n v="211.15"/>
    <n v="135"/>
    <n v="111.08"/>
    <n v="0"/>
    <n v="5.1000000000000014"/>
    <n v="0"/>
    <n v="0"/>
    <n v="40.299999999999997"/>
    <n v="0"/>
    <n v="0"/>
    <n v="550"/>
    <n v="45"/>
  </r>
  <r>
    <x v="9"/>
    <n v="247.62"/>
    <n v="51.699999999999996"/>
    <n v="2.5"/>
    <n v="14"/>
    <n v="20.3"/>
    <n v="20"/>
    <n v="169.41"/>
    <n v="1.79"/>
    <n v="8"/>
    <n v="25"/>
    <n v="76.89"/>
    <n v="206.4"/>
    <n v="135"/>
    <n v="126.41"/>
    <n v="0"/>
    <n v="0"/>
    <n v="0"/>
    <n v="0"/>
    <n v="367.59"/>
    <n v="0"/>
    <n v="350"/>
    <n v="550"/>
    <n v="0"/>
  </r>
  <r>
    <x v="10"/>
    <n v="333.55999999999995"/>
    <n v="30.799999999999997"/>
    <n v="44"/>
    <n v="46.480000000000004"/>
    <n v="11.3"/>
    <n v="20"/>
    <n v="139.20000000000002"/>
    <n v="172.75"/>
    <n v="0"/>
    <n v="25"/>
    <n v="76.89"/>
    <n v="0"/>
    <n v="135"/>
    <n v="195.21"/>
    <n v="0"/>
    <n v="0"/>
    <n v="0"/>
    <n v="0"/>
    <n v="9.61"/>
    <n v="0"/>
    <n v="0"/>
    <n v="550"/>
    <n v="0"/>
  </r>
  <r>
    <x v="11"/>
    <n v="226.6"/>
    <n v="17.899999999999999"/>
    <n v="3.8"/>
    <n v="41.7"/>
    <n v="6.5"/>
    <n v="30"/>
    <n v="155.08999999999997"/>
    <n v="0"/>
    <n v="0"/>
    <n v="25"/>
    <n v="76.89"/>
    <n v="103.2"/>
    <n v="80"/>
    <n v="111.11"/>
    <n v="0"/>
    <n v="0"/>
    <n v="0"/>
    <n v="0"/>
    <n v="91.679999999999993"/>
    <n v="14.36"/>
    <n v="0"/>
    <n v="550"/>
    <n v="50"/>
  </r>
  <r>
    <x v="12"/>
    <n v="305.8"/>
    <n v="0"/>
    <n v="9"/>
    <n v="58.379999999999995"/>
    <n v="26.99"/>
    <n v="50"/>
    <n v="101.65"/>
    <n v="150"/>
    <n v="0"/>
    <n v="10"/>
    <n v="76.89"/>
    <n v="206.4"/>
    <n v="135"/>
    <n v="145.82"/>
    <n v="0"/>
    <n v="2.7"/>
    <n v="0"/>
    <n v="0"/>
    <n v="20.399999999999999"/>
    <n v="0"/>
    <n v="0"/>
    <n v="550"/>
    <n v="0"/>
  </r>
  <r>
    <x v="13"/>
    <n v="268.51000000000005"/>
    <n v="13.45"/>
    <n v="8.5"/>
    <n v="64.760000000000005"/>
    <n v="14.99"/>
    <n v="27.3"/>
    <n v="123.09"/>
    <n v="9.34"/>
    <n v="46.5"/>
    <n v="20"/>
    <n v="76.89"/>
    <n v="211.20000000000002"/>
    <n v="135"/>
    <n v="209.28999999999996"/>
    <n v="0"/>
    <n v="0"/>
    <n v="3.05"/>
    <n v="0"/>
    <n v="49.85"/>
    <n v="18.899999999999999"/>
    <n v="0"/>
    <n v="550"/>
    <n v="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fds"/>
    <x v="0"/>
    <d v="2018-06-01T00:00:00"/>
    <n v="0"/>
  </r>
  <r>
    <s v="fds"/>
    <x v="1"/>
    <d v="2018-06-02T00:00:00"/>
    <n v="89.06"/>
  </r>
  <r>
    <s v="fds"/>
    <x v="2"/>
    <d v="2018-06-03T00:00:00"/>
    <n v="2"/>
  </r>
  <r>
    <s v="sem"/>
    <x v="3"/>
    <d v="2018-06-04T00:00:00"/>
    <n v="0"/>
  </r>
  <r>
    <s v="sem"/>
    <x v="4"/>
    <d v="2018-06-05T00:00:00"/>
    <n v="9.9"/>
  </r>
  <r>
    <s v="sem"/>
    <x v="5"/>
    <d v="2018-06-06T00:00:00"/>
    <n v="0"/>
  </r>
  <r>
    <s v="sem"/>
    <x v="6"/>
    <d v="2018-06-07T00:00:00"/>
    <n v="100"/>
  </r>
  <r>
    <s v="fds"/>
    <x v="0"/>
    <d v="2018-06-08T00:00:00"/>
    <n v="145.94999999999999"/>
  </r>
  <r>
    <s v="fds"/>
    <x v="1"/>
    <d v="2018-06-09T00:00:00"/>
    <n v="4.8"/>
  </r>
  <r>
    <s v="fds"/>
    <x v="2"/>
    <d v="2018-06-10T00:00:00"/>
    <n v="20"/>
  </r>
  <r>
    <s v="sem"/>
    <x v="3"/>
    <d v="2018-06-11T00:00:00"/>
    <n v="12"/>
  </r>
  <r>
    <s v="sem"/>
    <x v="4"/>
    <d v="2018-06-12T00:00:00"/>
    <n v="9.9"/>
  </r>
  <r>
    <s v="sem"/>
    <x v="5"/>
    <d v="2018-06-13T00:00:00"/>
    <n v="0"/>
  </r>
  <r>
    <s v="sem"/>
    <x v="6"/>
    <d v="2018-06-14T00:00:00"/>
    <n v="0"/>
  </r>
  <r>
    <s v="fds"/>
    <x v="0"/>
    <d v="2018-06-15T00:00:00"/>
    <n v="21.9"/>
  </r>
  <r>
    <s v="fds"/>
    <x v="1"/>
    <d v="2018-06-16T00:00:00"/>
    <n v="82.9"/>
  </r>
  <r>
    <s v="fds"/>
    <x v="2"/>
    <d v="2018-06-17T00:00:00"/>
    <n v="0"/>
  </r>
  <r>
    <s v="sem"/>
    <x v="3"/>
    <d v="2018-06-18T00:00:00"/>
    <n v="5"/>
  </r>
  <r>
    <s v="sem"/>
    <x v="4"/>
    <d v="2018-06-19T00:00:00"/>
    <n v="5.8"/>
  </r>
  <r>
    <s v="sem"/>
    <x v="5"/>
    <d v="2018-06-20T00:00:00"/>
    <n v="0"/>
  </r>
  <r>
    <s v="sem"/>
    <x v="6"/>
    <d v="2018-06-21T00:00:00"/>
    <n v="4"/>
  </r>
  <r>
    <s v="fds"/>
    <x v="0"/>
    <d v="2018-06-22T00:00:00"/>
    <n v="36.799999999999997"/>
  </r>
  <r>
    <s v="fds"/>
    <x v="1"/>
    <d v="2018-06-23T00:00:00"/>
    <n v="0"/>
  </r>
  <r>
    <s v="fds"/>
    <x v="2"/>
    <d v="2018-06-24T00:00:00"/>
    <n v="46.3"/>
  </r>
  <r>
    <s v="sem"/>
    <x v="3"/>
    <d v="2018-06-25T00:00:00"/>
    <n v="98"/>
  </r>
  <r>
    <s v="sem"/>
    <x v="4"/>
    <d v="2018-06-26T00:00:00"/>
    <n v="29.9"/>
  </r>
  <r>
    <s v="sem"/>
    <x v="5"/>
    <d v="2018-06-27T00:00:00"/>
    <n v="0"/>
  </r>
  <r>
    <s v="sem"/>
    <x v="6"/>
    <d v="2018-06-28T00:00:00"/>
    <n v="150"/>
  </r>
  <r>
    <s v="fds"/>
    <x v="0"/>
    <d v="2018-06-29T00:00:00"/>
    <n v="20"/>
  </r>
  <r>
    <s v="fds"/>
    <x v="1"/>
    <d v="2018-06-30T00:00:00"/>
    <n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C"/>
    <s v="Bares-Restaurantes"/>
    <m/>
    <n v="99.199999999999989"/>
  </r>
  <r>
    <s v="C"/>
    <s v="BK"/>
    <m/>
    <n v="36.700000000000003"/>
  </r>
  <r>
    <s v="C"/>
    <s v="Salgados"/>
    <m/>
    <n v="31.2"/>
  </r>
  <r>
    <s v="C"/>
    <s v="Café"/>
    <m/>
    <n v="28.900000000000002"/>
  </r>
  <r>
    <s v="C"/>
    <s v="Café"/>
    <s v="Star"/>
    <n v="58.45"/>
  </r>
  <r>
    <s v="C"/>
    <s v="Mercado"/>
    <m/>
    <n v="10.5"/>
  </r>
  <r>
    <s v="G"/>
    <s v="Saúde"/>
    <m/>
    <n v="150"/>
  </r>
  <r>
    <s v="G"/>
    <s v="Lazer"/>
    <m/>
    <n v="20"/>
  </r>
  <r>
    <s v="G"/>
    <s v="Contas"/>
    <m/>
    <n v="71.8"/>
  </r>
  <r>
    <s v="T"/>
    <s v="BU"/>
    <m/>
    <n v="198"/>
  </r>
  <r>
    <s v="T"/>
    <s v="BOM"/>
    <m/>
    <n v="125"/>
  </r>
  <r>
    <s v="T"/>
    <s v="Uber"/>
    <m/>
    <n v="38.9"/>
  </r>
  <r>
    <s v="G"/>
    <s v="Material Escolar"/>
    <m/>
    <n v="0"/>
  </r>
  <r>
    <s v="G"/>
    <s v="Xerox"/>
    <m/>
    <n v="0.4"/>
  </r>
  <r>
    <s v="G"/>
    <s v="Compras"/>
    <m/>
    <n v="0"/>
  </r>
  <r>
    <s v="G"/>
    <s v="Moradia"/>
    <m/>
    <n v="0"/>
  </r>
  <r>
    <s v="G"/>
    <s v="Acessórios"/>
    <m/>
    <n v="0"/>
  </r>
  <r>
    <s v="G"/>
    <s v="Livros"/>
    <m/>
    <n v="35.26"/>
  </r>
  <r>
    <s v="G"/>
    <s v="Roupas"/>
    <m/>
    <n v="0"/>
  </r>
  <r>
    <s v="G"/>
    <s v="Cuidados Pessoais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Dinâmica 2" cacheId="8" applyNumberFormats="0" applyBorderFormats="0" applyFontFormats="0" applyPatternFormats="0" applyAlignmentFormats="0" applyWidthHeightFormats="0" dataCaption="" updatedVersion="6" compact="0" compactData="0">
  <location ref="L8:L16" firstHeaderRow="1" firstDataRow="1" firstDataCol="1"/>
  <pivotFields count="4">
    <pivotField name="TipoDia" compact="0" outline="0" multipleItemSelectionAllowed="1" showAll="0"/>
    <pivotField name="DiaSemana" axis="axisRow" compact="0" outline="0" multipleItemSelectionAllowed="1" showAll="0" sortType="ascending">
      <items count="8">
        <item x="2"/>
        <item x="5"/>
        <item x="6"/>
        <item x="1"/>
        <item x="3"/>
        <item x="0"/>
        <item x="4"/>
        <item t="default"/>
      </items>
    </pivotField>
    <pivotField name="DiaMês" compact="0" numFmtId="165" outline="0" multipleItemSelectionAllowed="1" showAll="0"/>
    <pivotField name="Valores" compact="0" outline="0" multipleItemSelectionAllowe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Dinâmica 3" cacheId="8" applyNumberFormats="0" applyBorderFormats="0" applyFontFormats="0" applyPatternFormats="0" applyAlignmentFormats="0" applyWidthHeightFormats="0" dataCaption="" updatedVersion="6" compact="0" compactData="0">
  <location ref="B23:D40" firstHeaderRow="1" firstDataRow="1" firstDataCol="0"/>
  <pivotFields count="4">
    <pivotField name="TipoDia" compact="0" outline="0" multipleItemSelectionAllowed="1" showAll="0"/>
    <pivotField name="DiaSemana" compact="0" outline="0" multipleItemSelectionAllowed="1" showAll="0"/>
    <pivotField name="DiaMês" compact="0" numFmtId="165" outline="0" multipleItemSelectionAllowed="1" showAll="0"/>
    <pivotField name="Valores" compact="0" outline="0" multipleItemSelectionAllowed="1" showAll="0"/>
  </pivot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Dinâmica" cacheId="10" applyNumberFormats="0" applyBorderFormats="0" applyFontFormats="0" applyPatternFormats="0" applyAlignmentFormats="0" applyWidthHeightFormats="0" dataCaption="" updatedVersion="6" compact="0" compactData="0">
  <location ref="B4:D21" firstHeaderRow="1" firstDataRow="1" firstDataCol="0"/>
  <pivotFields count="4">
    <pivotField name="Cat1" compact="0" outline="0" multipleItemSelectionAllowed="1" showAll="0"/>
    <pivotField name="Cat2" compact="0" outline="0" multipleItemSelectionAllowed="1" showAll="0"/>
    <pivotField name="Cat3" compact="0" outline="0" multipleItemSelectionAllowed="1" showAll="0"/>
    <pivotField name="Valores" compact="0" numFmtId="2" outline="0" multipleItemSelectionAllowed="1" showAll="0"/>
  </pivot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F00-000000000000}" name="TabelaDinâmica" cacheId="5" applyNumberFormats="0" applyBorderFormats="0" applyFontFormats="0" applyPatternFormats="0" applyAlignmentFormats="0" applyWidthHeightFormats="0" dataCaption="" updatedVersion="6" compact="0" compactData="0">
  <location ref="A3:X19" firstHeaderRow="1" firstDataRow="2" firstDataCol="1"/>
  <pivotFields count="24">
    <pivotField name="Meses" axis="axisRow" compact="0" numFmtId="17" outline="0" multipleItemSelectionAllowed="1" showAll="0" sortType="a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Bares-Restaurantes" dataField="1" compact="0" outline="0" multipleItemSelectionAllowed="1" showAll="0"/>
    <pivotField name="BK" dataField="1" compact="0" outline="0" multipleItemSelectionAllowed="1" showAll="0"/>
    <pivotField name="Doces" dataField="1" compact="0" outline="0" multipleItemSelectionAllowed="1" showAll="0"/>
    <pivotField name="Salgados" dataField="1" compact="0" outline="0" multipleItemSelectionAllowed="1" showAll="0"/>
    <pivotField name="Café" dataField="1" compact="0" outline="0" multipleItemSelectionAllowed="1" showAll="0"/>
    <pivotField name="Starbucks" dataField="1" compact="0" outline="0" multipleItemSelectionAllowed="1" showAll="0"/>
    <pivotField name="Mercado" dataField="1" compact="0" outline="0" multipleItemSelectionAllowed="1" showAll="0"/>
    <pivotField name="Saúde" dataField="1" compact="0" outline="0" multipleItemSelectionAllowed="1" showAll="0"/>
    <pivotField name="Lazer" dataField="1" compact="0" outline="0" multipleItemSelectionAllowed="1" showAll="0"/>
    <pivotField name="Yellow" dataField="1" compact="0" outline="0" multipleItemSelectionAllowed="1" showAll="0"/>
    <pivotField name="Contas" dataField="1" compact="0" outline="0" multipleItemSelectionAllowed="1" showAll="0"/>
    <pivotField name="BU" dataField="1" compact="0" outline="0" multipleItemSelectionAllowed="1" showAll="0"/>
    <pivotField name="BOM" dataField="1" compact="0" outline="0" multipleItemSelectionAllowed="1" showAll="0"/>
    <pivotField name="Uber" dataField="1" compact="0" outline="0" multipleItemSelectionAllowed="1" showAll="0"/>
    <pivotField name="Viagem" dataField="1" compact="0" outline="0" multipleItemSelectionAllowed="1" showAll="0"/>
    <pivotField name="Material Escolar" dataField="1" compact="0" outline="0" multipleItemSelectionAllowed="1" showAll="0"/>
    <pivotField name="Xerox" dataField="1" compact="0" outline="0" multipleItemSelectionAllowed="1" showAll="0"/>
    <pivotField name="Compras" dataField="1" compact="0" outline="0" multipleItemSelectionAllowed="1" showAll="0"/>
    <pivotField name="Acessórios" dataField="1" compact="0" outline="0" multipleItemSelectionAllowed="1" showAll="0"/>
    <pivotField name="Livros" dataField="1" compact="0" outline="0" multipleItemSelectionAllowed="1" showAll="0"/>
    <pivotField name="Roupas" dataField="1" compact="0" outline="0" multipleItemSelectionAllowed="1" showAll="0"/>
    <pivotField name="Casa" dataField="1" compact="0" outline="0" multipleItemSelectionAllowed="1" showAll="0"/>
    <pivotField name="Cuidados Pessoais" dataField="1" compact="0" outline="0" multipleItemSelectionAllowe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</colItems>
  <dataFields count="23">
    <dataField name="SUM of Bares-Restaurantes" fld="1" baseField="0"/>
    <dataField name="SUM of BK" fld="2" baseField="0"/>
    <dataField name="SUM of Doces" fld="3" baseField="0"/>
    <dataField name="SUM of Salgados" fld="4" baseField="0"/>
    <dataField name="SUM of Starbucks" fld="6" baseField="0"/>
    <dataField name="SUM of Café" fld="5" baseField="0"/>
    <dataField name="SUM of Mercado" fld="7" baseField="0"/>
    <dataField name="SUM of Saúde" fld="8" baseField="0"/>
    <dataField name="SUM of Lazer" fld="9" baseField="0"/>
    <dataField name="SUM of Yellow" fld="10" baseField="0"/>
    <dataField name="SUM of Contas" fld="11" baseField="0"/>
    <dataField name="SUM of BU" fld="12" baseField="0"/>
    <dataField name="SUM of BOM" fld="13" baseField="0"/>
    <dataField name="SUM of Uber" fld="14" baseField="0"/>
    <dataField name="SUM of Viagem" fld="15" baseField="0"/>
    <dataField name="SUM of Material Escolar" fld="16" baseField="0"/>
    <dataField name="SUM of Xerox" fld="17" baseField="0"/>
    <dataField name="SUM of Compras" fld="18" baseField="0"/>
    <dataField name="SUM of Acessórios" fld="19" baseField="0"/>
    <dataField name="SUM of Livros" fld="20" baseField="0"/>
    <dataField name="SUM of Roupas" fld="21" baseField="0"/>
    <dataField name="SUM of Casa" fld="22" baseField="0"/>
    <dataField name="SUM of Cuidados Pessoais" fld="2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100-000000000000}" name="Dinâmico" cacheId="5" applyNumberFormats="0" applyBorderFormats="0" applyFontFormats="0" applyPatternFormats="0" applyAlignmentFormats="0" applyWidthHeightFormats="0" dataCaption="" updatedVersion="6" compact="0" compactData="0">
  <location ref="A1:X17" firstHeaderRow="1" firstDataRow="2" firstDataCol="1"/>
  <pivotFields count="24">
    <pivotField name="Meses" axis="axisRow" compact="0" numFmtId="17" outline="0" multipleItemSelectionAllowed="1" showAll="0" sortType="a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Bares-Restaurantes" dataField="1" compact="0" outline="0" multipleItemSelectionAllowed="1" showAll="0"/>
    <pivotField name="BK" dataField="1" compact="0" outline="0" multipleItemSelectionAllowed="1" showAll="0"/>
    <pivotField name="Doces" dataField="1" compact="0" outline="0" multipleItemSelectionAllowed="1" showAll="0"/>
    <pivotField name="Salgados" dataField="1" compact="0" outline="0" multipleItemSelectionAllowed="1" showAll="0"/>
    <pivotField name="Café" dataField="1" compact="0" outline="0" multipleItemSelectionAllowed="1" showAll="0"/>
    <pivotField name="Starbucks" dataField="1" compact="0" outline="0" multipleItemSelectionAllowed="1" showAll="0"/>
    <pivotField name="Mercado" dataField="1" compact="0" outline="0" multipleItemSelectionAllowed="1" showAll="0"/>
    <pivotField name="Saúde" dataField="1" compact="0" outline="0" multipleItemSelectionAllowed="1" showAll="0"/>
    <pivotField name="Lazer" dataField="1" compact="0" outline="0" multipleItemSelectionAllowed="1" showAll="0"/>
    <pivotField name="Yellow" dataField="1" compact="0" outline="0" multipleItemSelectionAllowed="1" showAll="0"/>
    <pivotField name="Contas" dataField="1" compact="0" outline="0" multipleItemSelectionAllowed="1" showAll="0"/>
    <pivotField name="BU" dataField="1" compact="0" outline="0" multipleItemSelectionAllowed="1" showAll="0"/>
    <pivotField name="BOM" dataField="1" compact="0" outline="0" multipleItemSelectionAllowed="1" showAll="0"/>
    <pivotField name="Uber" dataField="1" compact="0" outline="0" multipleItemSelectionAllowed="1" showAll="0"/>
    <pivotField name="Viagem" dataField="1" compact="0" outline="0" multipleItemSelectionAllowed="1" showAll="0"/>
    <pivotField name="Material Escolar" dataField="1" compact="0" outline="0" multipleItemSelectionAllowed="1" showAll="0"/>
    <pivotField name="Xerox" dataField="1" compact="0" outline="0" multipleItemSelectionAllowed="1" showAll="0"/>
    <pivotField name="Compras" dataField="1" compact="0" outline="0" multipleItemSelectionAllowed="1" showAll="0"/>
    <pivotField name="Acessórios" dataField="1" compact="0" outline="0" multipleItemSelectionAllowed="1" showAll="0"/>
    <pivotField name="Livros" dataField="1" compact="0" outline="0" multipleItemSelectionAllowed="1" showAll="0"/>
    <pivotField name="Roupas" dataField="1" compact="0" outline="0" multipleItemSelectionAllowed="1" showAll="0"/>
    <pivotField name="Casa" dataField="1" compact="0" outline="0" multipleItemSelectionAllowed="1" showAll="0"/>
    <pivotField name="Cuidados Pessoais" dataField="1" compact="0" outline="0" multipleItemSelectionAllowe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</colItems>
  <dataFields count="23">
    <dataField name="SUM of Bares-Restaurantes" fld="1" baseField="0"/>
    <dataField name="SUM of BK" fld="2" baseField="0"/>
    <dataField name="SUM of Doces" fld="3" baseField="0"/>
    <dataField name="SUM of Salgados" fld="4" baseField="0"/>
    <dataField name="SUM of Café" fld="5" baseField="0"/>
    <dataField name="SUM of Starbucks" fld="6" baseField="0"/>
    <dataField name="SUM of Mercado" fld="7" baseField="0"/>
    <dataField name="SUM of Saúde" fld="8" baseField="0"/>
    <dataField name="SUM of Lazer" fld="9" baseField="0"/>
    <dataField name="SUM of Yellow" fld="10" baseField="0"/>
    <dataField name="SUM of Contas" fld="11" baseField="0"/>
    <dataField name="SUM of BU" fld="12" baseField="0"/>
    <dataField name="SUM of BOM" fld="13" baseField="0"/>
    <dataField name="SUM of Uber" fld="14" baseField="0"/>
    <dataField name="SUM of Viagem" fld="15" baseField="0"/>
    <dataField name="SUM of Material Escolar" fld="16" baseField="0"/>
    <dataField name="SUM of Xerox" fld="17" baseField="0"/>
    <dataField name="SUM of Compras" fld="18" baseField="0"/>
    <dataField name="SUM of Acessórios" fld="19" baseField="0"/>
    <dataField name="SUM of Livros" fld="20" baseField="0"/>
    <dataField name="SUM of Roupas" fld="21" baseField="0"/>
    <dataField name="SUM of Casa" fld="22" baseField="0"/>
    <dataField name="SUM of Cuidados Pessoais" fld="2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workbookViewId="0"/>
  </sheetViews>
  <sheetFormatPr defaultColWidth="14.42578125" defaultRowHeight="15" customHeight="1" x14ac:dyDescent="0.25"/>
  <cols>
    <col min="1" max="2" width="16.85546875" customWidth="1"/>
    <col min="3" max="7" width="8.7109375" customWidth="1"/>
    <col min="8" max="8" width="18" customWidth="1"/>
    <col min="9" max="9" width="10.7109375" customWidth="1"/>
    <col min="10" max="11" width="8.7109375" customWidth="1"/>
    <col min="12" max="12" width="18" customWidth="1"/>
    <col min="13" max="13" width="16.85546875" customWidth="1"/>
    <col min="14" max="38" width="8.7109375" customWidth="1"/>
  </cols>
  <sheetData>
    <row r="1" spans="1:38" x14ac:dyDescent="0.25">
      <c r="E1" s="7">
        <v>2018</v>
      </c>
      <c r="G1" s="7" t="s">
        <v>3</v>
      </c>
      <c r="H1" s="7" t="s">
        <v>3</v>
      </c>
      <c r="I1" s="7" t="s">
        <v>5</v>
      </c>
      <c r="J1" s="7" t="s">
        <v>5</v>
      </c>
      <c r="K1" s="7" t="s">
        <v>5</v>
      </c>
      <c r="L1" s="7" t="s">
        <v>6</v>
      </c>
      <c r="M1" s="7" t="s">
        <v>6</v>
      </c>
      <c r="N1" s="7" t="s">
        <v>6</v>
      </c>
      <c r="O1" s="7" t="s">
        <v>6</v>
      </c>
      <c r="P1" s="7" t="s">
        <v>5</v>
      </c>
      <c r="Q1" s="7" t="s">
        <v>5</v>
      </c>
      <c r="R1" s="7" t="s">
        <v>5</v>
      </c>
      <c r="S1" s="7" t="s">
        <v>6</v>
      </c>
      <c r="T1" s="7" t="s">
        <v>6</v>
      </c>
      <c r="U1" s="7" t="s">
        <v>6</v>
      </c>
      <c r="V1" s="7" t="s">
        <v>6</v>
      </c>
      <c r="W1" s="7" t="s">
        <v>5</v>
      </c>
      <c r="X1" s="7" t="s">
        <v>5</v>
      </c>
      <c r="Y1" s="7" t="s">
        <v>5</v>
      </c>
      <c r="Z1" s="7" t="s">
        <v>6</v>
      </c>
      <c r="AA1" s="7" t="s">
        <v>6</v>
      </c>
      <c r="AB1" s="7" t="s">
        <v>6</v>
      </c>
      <c r="AC1" s="7" t="s">
        <v>6</v>
      </c>
      <c r="AD1" s="7" t="s">
        <v>5</v>
      </c>
      <c r="AE1" s="7" t="s">
        <v>5</v>
      </c>
      <c r="AF1" s="7" t="s">
        <v>5</v>
      </c>
      <c r="AG1" s="7" t="s">
        <v>6</v>
      </c>
      <c r="AH1" s="7" t="s">
        <v>6</v>
      </c>
      <c r="AI1" s="7" t="s">
        <v>6</v>
      </c>
      <c r="AJ1" s="7" t="s">
        <v>6</v>
      </c>
      <c r="AK1" s="7" t="s">
        <v>5</v>
      </c>
      <c r="AL1" s="7" t="s">
        <v>5</v>
      </c>
    </row>
    <row r="2" spans="1:38" x14ac:dyDescent="0.25">
      <c r="E2" s="7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14</v>
      </c>
      <c r="N2" s="7" t="s">
        <v>15</v>
      </c>
      <c r="O2" s="7" t="s">
        <v>17</v>
      </c>
      <c r="P2" s="7" t="s">
        <v>9</v>
      </c>
      <c r="Q2" s="7" t="s">
        <v>10</v>
      </c>
      <c r="R2" s="7" t="s">
        <v>11</v>
      </c>
      <c r="S2" s="7" t="s">
        <v>12</v>
      </c>
      <c r="T2" s="7" t="s">
        <v>14</v>
      </c>
      <c r="U2" s="7" t="s">
        <v>15</v>
      </c>
      <c r="V2" s="7" t="s">
        <v>17</v>
      </c>
      <c r="W2" s="7" t="s">
        <v>9</v>
      </c>
      <c r="X2" s="7" t="s">
        <v>10</v>
      </c>
      <c r="Y2" s="7" t="s">
        <v>11</v>
      </c>
      <c r="Z2" s="7" t="s">
        <v>12</v>
      </c>
      <c r="AA2" s="7" t="s">
        <v>14</v>
      </c>
      <c r="AB2" s="7" t="s">
        <v>15</v>
      </c>
      <c r="AC2" s="7" t="s">
        <v>17</v>
      </c>
      <c r="AD2" s="7" t="s">
        <v>9</v>
      </c>
      <c r="AE2" s="7" t="s">
        <v>10</v>
      </c>
      <c r="AF2" s="7" t="s">
        <v>11</v>
      </c>
      <c r="AG2" s="7" t="s">
        <v>12</v>
      </c>
      <c r="AH2" s="7" t="s">
        <v>14</v>
      </c>
      <c r="AI2" s="7" t="s">
        <v>15</v>
      </c>
      <c r="AJ2" s="7" t="s">
        <v>17</v>
      </c>
      <c r="AK2" s="7" t="s">
        <v>9</v>
      </c>
      <c r="AL2" s="7" t="s">
        <v>10</v>
      </c>
    </row>
    <row r="3" spans="1:38" x14ac:dyDescent="0.25">
      <c r="A3" s="13"/>
      <c r="B3" s="14"/>
      <c r="C3" s="16"/>
      <c r="G3" s="7" t="s">
        <v>2</v>
      </c>
      <c r="H3" s="7" t="s">
        <v>18</v>
      </c>
      <c r="I3" s="8">
        <f>DATE(E1,E2,1)</f>
        <v>43252</v>
      </c>
      <c r="J3" s="8">
        <f t="shared" ref="J3:AL3" si="0">I3+1</f>
        <v>43253</v>
      </c>
      <c r="K3" s="8">
        <f t="shared" si="0"/>
        <v>43254</v>
      </c>
      <c r="L3" s="8">
        <f t="shared" si="0"/>
        <v>43255</v>
      </c>
      <c r="M3" s="8">
        <f t="shared" si="0"/>
        <v>43256</v>
      </c>
      <c r="N3" s="8">
        <f t="shared" si="0"/>
        <v>43257</v>
      </c>
      <c r="O3" s="8">
        <f t="shared" si="0"/>
        <v>43258</v>
      </c>
      <c r="P3" s="8">
        <f t="shared" si="0"/>
        <v>43259</v>
      </c>
      <c r="Q3" s="8">
        <f t="shared" si="0"/>
        <v>43260</v>
      </c>
      <c r="R3" s="8">
        <f t="shared" si="0"/>
        <v>43261</v>
      </c>
      <c r="S3" s="8">
        <f t="shared" si="0"/>
        <v>43262</v>
      </c>
      <c r="T3" s="8">
        <f t="shared" si="0"/>
        <v>43263</v>
      </c>
      <c r="U3" s="8">
        <f t="shared" si="0"/>
        <v>43264</v>
      </c>
      <c r="V3" s="8">
        <f t="shared" si="0"/>
        <v>43265</v>
      </c>
      <c r="W3" s="8">
        <f t="shared" si="0"/>
        <v>43266</v>
      </c>
      <c r="X3" s="8">
        <f t="shared" si="0"/>
        <v>43267</v>
      </c>
      <c r="Y3" s="8">
        <f t="shared" si="0"/>
        <v>43268</v>
      </c>
      <c r="Z3" s="8">
        <f t="shared" si="0"/>
        <v>43269</v>
      </c>
      <c r="AA3" s="8">
        <f t="shared" si="0"/>
        <v>43270</v>
      </c>
      <c r="AB3" s="8">
        <f t="shared" si="0"/>
        <v>43271</v>
      </c>
      <c r="AC3" s="8">
        <f t="shared" si="0"/>
        <v>43272</v>
      </c>
      <c r="AD3" s="8">
        <f t="shared" si="0"/>
        <v>43273</v>
      </c>
      <c r="AE3" s="8">
        <f t="shared" si="0"/>
        <v>43274</v>
      </c>
      <c r="AF3" s="8">
        <f t="shared" si="0"/>
        <v>43275</v>
      </c>
      <c r="AG3" s="8">
        <f t="shared" si="0"/>
        <v>43276</v>
      </c>
      <c r="AH3" s="8">
        <f t="shared" si="0"/>
        <v>43277</v>
      </c>
      <c r="AI3" s="8">
        <f t="shared" si="0"/>
        <v>43278</v>
      </c>
      <c r="AJ3" s="8">
        <f t="shared" si="0"/>
        <v>43279</v>
      </c>
      <c r="AK3" s="8">
        <f t="shared" si="0"/>
        <v>43280</v>
      </c>
      <c r="AL3" s="8">
        <f t="shared" si="0"/>
        <v>43281</v>
      </c>
    </row>
    <row r="4" spans="1:38" x14ac:dyDescent="0.25">
      <c r="A4" s="22"/>
      <c r="B4" s="210"/>
      <c r="C4" s="212"/>
      <c r="D4" s="213"/>
      <c r="G4" s="7">
        <v>0</v>
      </c>
      <c r="H4" s="7" t="s">
        <v>16</v>
      </c>
      <c r="I4" s="7">
        <v>0</v>
      </c>
      <c r="J4" s="7">
        <v>89.06</v>
      </c>
      <c r="K4" s="7">
        <v>2</v>
      </c>
      <c r="L4" s="7">
        <v>0</v>
      </c>
      <c r="M4" s="7">
        <v>9.9</v>
      </c>
      <c r="N4" s="7">
        <v>0</v>
      </c>
      <c r="O4" s="7">
        <v>100</v>
      </c>
      <c r="P4" s="7">
        <v>145.94999999999999</v>
      </c>
      <c r="Q4" s="7">
        <v>4.8</v>
      </c>
      <c r="R4" s="7">
        <v>20</v>
      </c>
      <c r="S4" s="7">
        <v>12</v>
      </c>
      <c r="T4" s="7">
        <v>9.9</v>
      </c>
      <c r="U4" s="7">
        <v>0</v>
      </c>
      <c r="V4" s="7">
        <v>0</v>
      </c>
      <c r="W4" s="7">
        <v>21.9</v>
      </c>
      <c r="X4" s="7">
        <v>82.9</v>
      </c>
      <c r="Y4" s="7">
        <v>0</v>
      </c>
      <c r="Z4" s="7">
        <v>5</v>
      </c>
      <c r="AA4" s="7">
        <v>5.8</v>
      </c>
      <c r="AB4" s="7">
        <v>0</v>
      </c>
      <c r="AC4" s="7">
        <v>4</v>
      </c>
      <c r="AD4" s="7">
        <v>36.799999999999997</v>
      </c>
      <c r="AE4" s="7">
        <v>0</v>
      </c>
      <c r="AF4" s="7">
        <v>46.3</v>
      </c>
      <c r="AG4" s="7">
        <v>98</v>
      </c>
      <c r="AH4" s="7">
        <v>29.9</v>
      </c>
      <c r="AI4" s="7">
        <v>0</v>
      </c>
      <c r="AJ4" s="7">
        <v>150</v>
      </c>
      <c r="AK4" s="7">
        <v>20</v>
      </c>
      <c r="AL4" s="7">
        <v>20</v>
      </c>
    </row>
    <row r="5" spans="1:38" x14ac:dyDescent="0.25">
      <c r="A5" s="22"/>
      <c r="B5" s="232"/>
      <c r="C5" s="233"/>
      <c r="D5" s="234"/>
    </row>
    <row r="6" spans="1:38" x14ac:dyDescent="0.25">
      <c r="A6" s="22"/>
      <c r="B6" s="232"/>
      <c r="C6" s="233"/>
      <c r="D6" s="234"/>
    </row>
    <row r="7" spans="1:38" x14ac:dyDescent="0.25">
      <c r="A7" s="22"/>
      <c r="B7" s="232"/>
      <c r="C7" s="233"/>
      <c r="D7" s="234"/>
      <c r="G7" s="7" t="s">
        <v>3</v>
      </c>
      <c r="H7" s="7" t="s">
        <v>8</v>
      </c>
      <c r="I7" s="7" t="s">
        <v>18</v>
      </c>
      <c r="J7" s="7" t="s">
        <v>16</v>
      </c>
      <c r="L7" s="13"/>
      <c r="M7" s="30"/>
    </row>
    <row r="8" spans="1:38" x14ac:dyDescent="0.25">
      <c r="A8" s="22"/>
      <c r="B8" s="232"/>
      <c r="C8" s="233"/>
      <c r="D8" s="234"/>
      <c r="G8" s="7" t="s">
        <v>5</v>
      </c>
      <c r="H8" s="7" t="s">
        <v>9</v>
      </c>
      <c r="I8" s="8">
        <f>DATE(E1,E2,1)</f>
        <v>43252</v>
      </c>
      <c r="J8" s="7">
        <v>0</v>
      </c>
      <c r="L8" s="228" t="s">
        <v>8</v>
      </c>
    </row>
    <row r="9" spans="1:38" x14ac:dyDescent="0.25">
      <c r="A9" s="22"/>
      <c r="B9" s="232"/>
      <c r="C9" s="233"/>
      <c r="D9" s="234"/>
      <c r="G9" s="7" t="s">
        <v>5</v>
      </c>
      <c r="H9" s="7" t="s">
        <v>10</v>
      </c>
      <c r="I9" s="8">
        <f t="shared" ref="I9:I37" si="1">I8+1</f>
        <v>43253</v>
      </c>
      <c r="J9" s="7">
        <v>89.06</v>
      </c>
      <c r="L9" s="229" t="s">
        <v>11</v>
      </c>
    </row>
    <row r="10" spans="1:38" x14ac:dyDescent="0.25">
      <c r="A10" s="22"/>
      <c r="B10" s="232"/>
      <c r="C10" s="233"/>
      <c r="D10" s="234"/>
      <c r="G10" s="7" t="s">
        <v>5</v>
      </c>
      <c r="H10" s="7" t="s">
        <v>11</v>
      </c>
      <c r="I10" s="8">
        <f t="shared" si="1"/>
        <v>43254</v>
      </c>
      <c r="J10" s="7">
        <v>2</v>
      </c>
      <c r="L10" s="230" t="s">
        <v>15</v>
      </c>
    </row>
    <row r="11" spans="1:38" x14ac:dyDescent="0.25">
      <c r="A11" s="22"/>
      <c r="B11" s="232"/>
      <c r="C11" s="233"/>
      <c r="D11" s="234"/>
      <c r="G11" s="7" t="s">
        <v>6</v>
      </c>
      <c r="H11" s="7" t="s">
        <v>12</v>
      </c>
      <c r="I11" s="8">
        <f t="shared" si="1"/>
        <v>43255</v>
      </c>
      <c r="J11" s="7">
        <v>0</v>
      </c>
      <c r="L11" s="230" t="s">
        <v>17</v>
      </c>
    </row>
    <row r="12" spans="1:38" x14ac:dyDescent="0.25">
      <c r="A12" s="22"/>
      <c r="B12" s="232"/>
      <c r="C12" s="233"/>
      <c r="D12" s="234"/>
      <c r="G12" s="7" t="s">
        <v>6</v>
      </c>
      <c r="H12" s="7" t="s">
        <v>14</v>
      </c>
      <c r="I12" s="8">
        <f t="shared" si="1"/>
        <v>43256</v>
      </c>
      <c r="J12" s="7">
        <v>9.9</v>
      </c>
      <c r="L12" s="230" t="s">
        <v>10</v>
      </c>
    </row>
    <row r="13" spans="1:38" x14ac:dyDescent="0.25">
      <c r="A13" s="22"/>
      <c r="B13" s="232"/>
      <c r="C13" s="233"/>
      <c r="D13" s="234"/>
      <c r="G13" s="7" t="s">
        <v>6</v>
      </c>
      <c r="H13" s="7" t="s">
        <v>15</v>
      </c>
      <c r="I13" s="8">
        <f t="shared" si="1"/>
        <v>43257</v>
      </c>
      <c r="J13" s="7">
        <v>0</v>
      </c>
      <c r="L13" s="230" t="s">
        <v>12</v>
      </c>
    </row>
    <row r="14" spans="1:38" x14ac:dyDescent="0.25">
      <c r="A14" s="22"/>
      <c r="B14" s="232"/>
      <c r="C14" s="233"/>
      <c r="D14" s="234"/>
      <c r="G14" s="7" t="s">
        <v>6</v>
      </c>
      <c r="H14" s="7" t="s">
        <v>17</v>
      </c>
      <c r="I14" s="8">
        <f t="shared" si="1"/>
        <v>43258</v>
      </c>
      <c r="J14" s="7">
        <v>100</v>
      </c>
      <c r="L14" s="230" t="s">
        <v>9</v>
      </c>
    </row>
    <row r="15" spans="1:38" x14ac:dyDescent="0.25">
      <c r="A15" s="22"/>
      <c r="B15" s="232"/>
      <c r="C15" s="233"/>
      <c r="D15" s="234"/>
      <c r="G15" s="7" t="s">
        <v>5</v>
      </c>
      <c r="H15" s="7" t="s">
        <v>9</v>
      </c>
      <c r="I15" s="8">
        <f t="shared" si="1"/>
        <v>43259</v>
      </c>
      <c r="J15" s="7">
        <v>145.94999999999999</v>
      </c>
      <c r="L15" s="230" t="s">
        <v>14</v>
      </c>
    </row>
    <row r="16" spans="1:38" x14ac:dyDescent="0.25">
      <c r="A16" s="22"/>
      <c r="B16" s="232"/>
      <c r="C16" s="233"/>
      <c r="D16" s="234"/>
      <c r="G16" s="7" t="s">
        <v>5</v>
      </c>
      <c r="H16" s="7" t="s">
        <v>10</v>
      </c>
      <c r="I16" s="8">
        <f t="shared" si="1"/>
        <v>43260</v>
      </c>
      <c r="J16" s="7">
        <v>4.8</v>
      </c>
      <c r="L16" s="231" t="s">
        <v>206</v>
      </c>
    </row>
    <row r="17" spans="1:10" x14ac:dyDescent="0.25">
      <c r="A17" s="22"/>
      <c r="B17" s="232"/>
      <c r="C17" s="233"/>
      <c r="D17" s="234"/>
      <c r="G17" s="7" t="s">
        <v>5</v>
      </c>
      <c r="H17" s="7" t="s">
        <v>11</v>
      </c>
      <c r="I17" s="8">
        <f t="shared" si="1"/>
        <v>43261</v>
      </c>
      <c r="J17" s="7">
        <v>20</v>
      </c>
    </row>
    <row r="18" spans="1:10" x14ac:dyDescent="0.25">
      <c r="A18" s="22"/>
      <c r="B18" s="232"/>
      <c r="C18" s="233"/>
      <c r="D18" s="234"/>
      <c r="G18" s="7" t="s">
        <v>6</v>
      </c>
      <c r="H18" s="7" t="s">
        <v>12</v>
      </c>
      <c r="I18" s="8">
        <f t="shared" si="1"/>
        <v>43262</v>
      </c>
      <c r="J18" s="7">
        <v>12</v>
      </c>
    </row>
    <row r="19" spans="1:10" x14ac:dyDescent="0.25">
      <c r="A19" s="22"/>
      <c r="B19" s="232"/>
      <c r="C19" s="233"/>
      <c r="D19" s="234"/>
      <c r="G19" s="7" t="s">
        <v>6</v>
      </c>
      <c r="H19" s="7" t="s">
        <v>14</v>
      </c>
      <c r="I19" s="8">
        <f t="shared" si="1"/>
        <v>43263</v>
      </c>
      <c r="J19" s="7">
        <v>9.9</v>
      </c>
    </row>
    <row r="20" spans="1:10" x14ac:dyDescent="0.25">
      <c r="A20" s="37"/>
      <c r="B20" s="232"/>
      <c r="C20" s="233"/>
      <c r="D20" s="234"/>
      <c r="G20" s="7" t="s">
        <v>6</v>
      </c>
      <c r="H20" s="7" t="s">
        <v>15</v>
      </c>
      <c r="I20" s="8">
        <f t="shared" si="1"/>
        <v>43264</v>
      </c>
      <c r="J20" s="7">
        <v>0</v>
      </c>
    </row>
    <row r="21" spans="1:10" ht="15.75" customHeight="1" x14ac:dyDescent="0.25">
      <c r="B21" s="235"/>
      <c r="C21" s="236"/>
      <c r="D21" s="237"/>
      <c r="G21" s="7" t="s">
        <v>6</v>
      </c>
      <c r="H21" s="7" t="s">
        <v>17</v>
      </c>
      <c r="I21" s="8">
        <f t="shared" si="1"/>
        <v>43265</v>
      </c>
      <c r="J21" s="7">
        <v>0</v>
      </c>
    </row>
    <row r="22" spans="1:10" ht="15.75" customHeight="1" x14ac:dyDescent="0.25">
      <c r="A22" s="13"/>
      <c r="B22" s="14"/>
      <c r="C22" s="16"/>
      <c r="G22" s="7" t="s">
        <v>5</v>
      </c>
      <c r="H22" s="7" t="s">
        <v>9</v>
      </c>
      <c r="I22" s="8">
        <f t="shared" si="1"/>
        <v>43266</v>
      </c>
      <c r="J22" s="7">
        <v>21.9</v>
      </c>
    </row>
    <row r="23" spans="1:10" ht="15.75" customHeight="1" x14ac:dyDescent="0.25">
      <c r="A23" s="22"/>
      <c r="B23" s="210"/>
      <c r="C23" s="212"/>
      <c r="D23" s="213"/>
      <c r="G23" s="7" t="s">
        <v>5</v>
      </c>
      <c r="H23" s="7" t="s">
        <v>10</v>
      </c>
      <c r="I23" s="8">
        <f t="shared" si="1"/>
        <v>43267</v>
      </c>
      <c r="J23" s="7">
        <v>82.9</v>
      </c>
    </row>
    <row r="24" spans="1:10" ht="15.75" customHeight="1" x14ac:dyDescent="0.25">
      <c r="A24" s="22"/>
      <c r="B24" s="232"/>
      <c r="C24" s="233"/>
      <c r="D24" s="234"/>
      <c r="G24" s="7" t="s">
        <v>5</v>
      </c>
      <c r="H24" s="7" t="s">
        <v>11</v>
      </c>
      <c r="I24" s="8">
        <f t="shared" si="1"/>
        <v>43268</v>
      </c>
      <c r="J24" s="7">
        <v>0</v>
      </c>
    </row>
    <row r="25" spans="1:10" ht="15.75" customHeight="1" x14ac:dyDescent="0.25">
      <c r="A25" s="22"/>
      <c r="B25" s="232"/>
      <c r="C25" s="233"/>
      <c r="D25" s="234"/>
      <c r="G25" s="7" t="s">
        <v>6</v>
      </c>
      <c r="H25" s="7" t="s">
        <v>12</v>
      </c>
      <c r="I25" s="8">
        <f t="shared" si="1"/>
        <v>43269</v>
      </c>
      <c r="J25" s="7">
        <v>5</v>
      </c>
    </row>
    <row r="26" spans="1:10" ht="15.75" customHeight="1" x14ac:dyDescent="0.25">
      <c r="A26" s="22"/>
      <c r="B26" s="232"/>
      <c r="C26" s="233"/>
      <c r="D26" s="234"/>
      <c r="G26" s="7" t="s">
        <v>6</v>
      </c>
      <c r="H26" s="7" t="s">
        <v>14</v>
      </c>
      <c r="I26" s="8">
        <f t="shared" si="1"/>
        <v>43270</v>
      </c>
      <c r="J26" s="7">
        <v>5.8</v>
      </c>
    </row>
    <row r="27" spans="1:10" ht="15.75" customHeight="1" x14ac:dyDescent="0.25">
      <c r="A27" s="22"/>
      <c r="B27" s="232"/>
      <c r="C27" s="233"/>
      <c r="D27" s="234"/>
      <c r="G27" s="7" t="s">
        <v>6</v>
      </c>
      <c r="H27" s="7" t="s">
        <v>15</v>
      </c>
      <c r="I27" s="8">
        <f t="shared" si="1"/>
        <v>43271</v>
      </c>
      <c r="J27" s="7">
        <v>0</v>
      </c>
    </row>
    <row r="28" spans="1:10" ht="15.75" customHeight="1" x14ac:dyDescent="0.25">
      <c r="A28" s="22"/>
      <c r="B28" s="232"/>
      <c r="C28" s="233"/>
      <c r="D28" s="234"/>
      <c r="G28" s="7" t="s">
        <v>6</v>
      </c>
      <c r="H28" s="7" t="s">
        <v>17</v>
      </c>
      <c r="I28" s="8">
        <f t="shared" si="1"/>
        <v>43272</v>
      </c>
      <c r="J28" s="7">
        <v>4</v>
      </c>
    </row>
    <row r="29" spans="1:10" ht="15.75" customHeight="1" x14ac:dyDescent="0.25">
      <c r="A29" s="22"/>
      <c r="B29" s="232"/>
      <c r="C29" s="233"/>
      <c r="D29" s="234"/>
      <c r="G29" s="7" t="s">
        <v>5</v>
      </c>
      <c r="H29" s="7" t="s">
        <v>9</v>
      </c>
      <c r="I29" s="8">
        <f t="shared" si="1"/>
        <v>43273</v>
      </c>
      <c r="J29" s="7">
        <v>36.799999999999997</v>
      </c>
    </row>
    <row r="30" spans="1:10" ht="15.75" customHeight="1" x14ac:dyDescent="0.25">
      <c r="A30" s="22"/>
      <c r="B30" s="232"/>
      <c r="C30" s="233"/>
      <c r="D30" s="234"/>
      <c r="G30" s="7" t="s">
        <v>5</v>
      </c>
      <c r="H30" s="7" t="s">
        <v>10</v>
      </c>
      <c r="I30" s="8">
        <f t="shared" si="1"/>
        <v>43274</v>
      </c>
      <c r="J30" s="7">
        <v>0</v>
      </c>
    </row>
    <row r="31" spans="1:10" ht="15.75" customHeight="1" x14ac:dyDescent="0.25">
      <c r="A31" s="22"/>
      <c r="B31" s="232"/>
      <c r="C31" s="233"/>
      <c r="D31" s="234"/>
      <c r="G31" s="7" t="s">
        <v>5</v>
      </c>
      <c r="H31" s="7" t="s">
        <v>11</v>
      </c>
      <c r="I31" s="8">
        <f t="shared" si="1"/>
        <v>43275</v>
      </c>
      <c r="J31" s="7">
        <v>46.3</v>
      </c>
    </row>
    <row r="32" spans="1:10" ht="15.75" customHeight="1" x14ac:dyDescent="0.25">
      <c r="A32" s="22"/>
      <c r="B32" s="232"/>
      <c r="C32" s="233"/>
      <c r="D32" s="234"/>
      <c r="G32" s="7" t="s">
        <v>6</v>
      </c>
      <c r="H32" s="7" t="s">
        <v>12</v>
      </c>
      <c r="I32" s="8">
        <f t="shared" si="1"/>
        <v>43276</v>
      </c>
      <c r="J32" s="7">
        <v>98</v>
      </c>
    </row>
    <row r="33" spans="1:10" ht="15.75" customHeight="1" x14ac:dyDescent="0.25">
      <c r="A33" s="22"/>
      <c r="B33" s="232"/>
      <c r="C33" s="233"/>
      <c r="D33" s="234"/>
      <c r="G33" s="7" t="s">
        <v>6</v>
      </c>
      <c r="H33" s="7" t="s">
        <v>14</v>
      </c>
      <c r="I33" s="8">
        <f t="shared" si="1"/>
        <v>43277</v>
      </c>
      <c r="J33" s="7">
        <v>29.9</v>
      </c>
    </row>
    <row r="34" spans="1:10" ht="15.75" customHeight="1" x14ac:dyDescent="0.25">
      <c r="A34" s="22"/>
      <c r="B34" s="232"/>
      <c r="C34" s="233"/>
      <c r="D34" s="234"/>
      <c r="G34" s="7" t="s">
        <v>6</v>
      </c>
      <c r="H34" s="7" t="s">
        <v>15</v>
      </c>
      <c r="I34" s="8">
        <f t="shared" si="1"/>
        <v>43278</v>
      </c>
      <c r="J34" s="7">
        <v>0</v>
      </c>
    </row>
    <row r="35" spans="1:10" ht="15.75" customHeight="1" x14ac:dyDescent="0.25">
      <c r="A35" s="22"/>
      <c r="B35" s="232"/>
      <c r="C35" s="233"/>
      <c r="D35" s="234"/>
      <c r="G35" s="7" t="s">
        <v>6</v>
      </c>
      <c r="H35" s="7" t="s">
        <v>17</v>
      </c>
      <c r="I35" s="8">
        <f t="shared" si="1"/>
        <v>43279</v>
      </c>
      <c r="J35" s="7">
        <v>150</v>
      </c>
    </row>
    <row r="36" spans="1:10" ht="15.75" customHeight="1" x14ac:dyDescent="0.25">
      <c r="A36" s="22"/>
      <c r="B36" s="232"/>
      <c r="C36" s="233"/>
      <c r="D36" s="234"/>
      <c r="G36" s="7" t="s">
        <v>5</v>
      </c>
      <c r="H36" s="7" t="s">
        <v>9</v>
      </c>
      <c r="I36" s="8">
        <f t="shared" si="1"/>
        <v>43280</v>
      </c>
      <c r="J36" s="7">
        <v>20</v>
      </c>
    </row>
    <row r="37" spans="1:10" ht="15.75" customHeight="1" x14ac:dyDescent="0.25">
      <c r="A37" s="22"/>
      <c r="B37" s="232"/>
      <c r="C37" s="233"/>
      <c r="D37" s="234"/>
      <c r="G37" s="7" t="s">
        <v>5</v>
      </c>
      <c r="H37" s="7" t="s">
        <v>10</v>
      </c>
      <c r="I37" s="8">
        <f t="shared" si="1"/>
        <v>43281</v>
      </c>
      <c r="J37" s="7">
        <v>20</v>
      </c>
    </row>
    <row r="38" spans="1:10" ht="15.75" customHeight="1" x14ac:dyDescent="0.25">
      <c r="A38" s="22"/>
      <c r="B38" s="232"/>
      <c r="C38" s="233"/>
      <c r="D38" s="234"/>
    </row>
    <row r="39" spans="1:10" ht="15.75" customHeight="1" x14ac:dyDescent="0.25">
      <c r="A39" s="37"/>
      <c r="B39" s="232"/>
      <c r="C39" s="233"/>
      <c r="D39" s="234"/>
    </row>
    <row r="40" spans="1:10" ht="15.75" customHeight="1" x14ac:dyDescent="0.25">
      <c r="B40" s="235"/>
      <c r="C40" s="236"/>
      <c r="D40" s="237"/>
    </row>
    <row r="41" spans="1:10" ht="15.75" customHeight="1" x14ac:dyDescent="0.25"/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workbookViewId="0"/>
  </sheetViews>
  <sheetFormatPr defaultColWidth="14.42578125" defaultRowHeight="15" customHeight="1" x14ac:dyDescent="0.25"/>
  <cols>
    <col min="1" max="1" width="2.42578125" customWidth="1"/>
    <col min="2" max="2" width="18.42578125" customWidth="1"/>
    <col min="3" max="3" width="4.42578125" customWidth="1"/>
    <col min="4" max="4" width="7.5703125" customWidth="1"/>
    <col min="5" max="5" width="4.7109375" customWidth="1"/>
    <col min="6" max="6" width="5.5703125" customWidth="1"/>
    <col min="7" max="7" width="6" customWidth="1"/>
    <col min="8" max="35" width="5.5703125" customWidth="1"/>
    <col min="36" max="38" width="9.140625" customWidth="1"/>
  </cols>
  <sheetData>
    <row r="1" spans="1:38" x14ac:dyDescent="0.25">
      <c r="A1" s="1"/>
      <c r="B1" s="1"/>
      <c r="C1" s="1"/>
      <c r="D1" s="1"/>
      <c r="E1" s="1"/>
      <c r="F1" s="2" t="str">
        <f t="shared" ref="F1:AI1" si="0">IF(OR(F2="sex",F2="sáb",F2="dom"),"fds","sem")</f>
        <v>sem</v>
      </c>
      <c r="G1" s="2" t="str">
        <f t="shared" si="0"/>
        <v>sem</v>
      </c>
      <c r="H1" s="2" t="str">
        <f t="shared" si="0"/>
        <v>sem</v>
      </c>
      <c r="I1" s="2" t="str">
        <f t="shared" si="0"/>
        <v>sem</v>
      </c>
      <c r="J1" s="2" t="str">
        <f t="shared" si="0"/>
        <v>sem</v>
      </c>
      <c r="K1" s="2" t="str">
        <f t="shared" si="0"/>
        <v>sem</v>
      </c>
      <c r="L1" s="2" t="str">
        <f t="shared" si="0"/>
        <v>sem</v>
      </c>
      <c r="M1" s="2" t="str">
        <f t="shared" si="0"/>
        <v>sem</v>
      </c>
      <c r="N1" s="2" t="str">
        <f t="shared" si="0"/>
        <v>sem</v>
      </c>
      <c r="O1" s="2" t="str">
        <f t="shared" si="0"/>
        <v>sem</v>
      </c>
      <c r="P1" s="2" t="str">
        <f t="shared" si="0"/>
        <v>sem</v>
      </c>
      <c r="Q1" s="2" t="str">
        <f t="shared" si="0"/>
        <v>sem</v>
      </c>
      <c r="R1" s="2" t="str">
        <f t="shared" si="0"/>
        <v>sem</v>
      </c>
      <c r="S1" s="2" t="str">
        <f t="shared" si="0"/>
        <v>sem</v>
      </c>
      <c r="T1" s="2" t="str">
        <f t="shared" si="0"/>
        <v>sem</v>
      </c>
      <c r="U1" s="2" t="str">
        <f t="shared" si="0"/>
        <v>sem</v>
      </c>
      <c r="V1" s="2" t="str">
        <f t="shared" si="0"/>
        <v>sem</v>
      </c>
      <c r="W1" s="2" t="str">
        <f t="shared" si="0"/>
        <v>sem</v>
      </c>
      <c r="X1" s="2" t="str">
        <f t="shared" si="0"/>
        <v>sem</v>
      </c>
      <c r="Y1" s="2" t="str">
        <f t="shared" si="0"/>
        <v>sem</v>
      </c>
      <c r="Z1" s="2" t="str">
        <f t="shared" si="0"/>
        <v>sem</v>
      </c>
      <c r="AA1" s="2" t="str">
        <f t="shared" si="0"/>
        <v>sem</v>
      </c>
      <c r="AB1" s="2" t="str">
        <f t="shared" si="0"/>
        <v>sem</v>
      </c>
      <c r="AC1" s="2" t="str">
        <f t="shared" si="0"/>
        <v>sem</v>
      </c>
      <c r="AD1" s="2" t="str">
        <f t="shared" si="0"/>
        <v>sem</v>
      </c>
      <c r="AE1" s="2" t="str">
        <f t="shared" si="0"/>
        <v>sem</v>
      </c>
      <c r="AF1" s="2" t="str">
        <f t="shared" si="0"/>
        <v>sem</v>
      </c>
      <c r="AG1" s="2" t="str">
        <f t="shared" si="0"/>
        <v>sem</v>
      </c>
      <c r="AH1" s="2" t="str">
        <f t="shared" si="0"/>
        <v>sem</v>
      </c>
      <c r="AI1" s="2" t="str">
        <f t="shared" si="0"/>
        <v>sem</v>
      </c>
      <c r="AJ1" s="1"/>
      <c r="AK1" s="1" t="s">
        <v>0</v>
      </c>
      <c r="AL1" s="1" t="s">
        <v>1</v>
      </c>
    </row>
    <row r="2" spans="1:38" x14ac:dyDescent="0.25">
      <c r="A2" s="1"/>
      <c r="B2" s="1"/>
      <c r="C2" s="1"/>
      <c r="D2" s="1"/>
      <c r="E2" s="1"/>
      <c r="F2" s="2" t="str">
        <f t="shared" ref="F2:AI2" si="1">TEXT(F3,"ddd")</f>
        <v>Wed</v>
      </c>
      <c r="G2" s="2" t="str">
        <f t="shared" si="1"/>
        <v>Thu</v>
      </c>
      <c r="H2" s="2" t="str">
        <f t="shared" si="1"/>
        <v>Fri</v>
      </c>
      <c r="I2" s="2" t="str">
        <f t="shared" si="1"/>
        <v>Sat</v>
      </c>
      <c r="J2" s="2" t="str">
        <f t="shared" si="1"/>
        <v>Sun</v>
      </c>
      <c r="K2" s="2" t="str">
        <f t="shared" si="1"/>
        <v>Mon</v>
      </c>
      <c r="L2" s="2" t="str">
        <f t="shared" si="1"/>
        <v>Tue</v>
      </c>
      <c r="M2" s="2" t="str">
        <f t="shared" si="1"/>
        <v>Wed</v>
      </c>
      <c r="N2" s="2" t="str">
        <f t="shared" si="1"/>
        <v>Thu</v>
      </c>
      <c r="O2" s="2" t="str">
        <f t="shared" si="1"/>
        <v>Fri</v>
      </c>
      <c r="P2" s="2" t="str">
        <f t="shared" si="1"/>
        <v>Sat</v>
      </c>
      <c r="Q2" s="2" t="str">
        <f t="shared" si="1"/>
        <v>Sun</v>
      </c>
      <c r="R2" s="2" t="str">
        <f t="shared" si="1"/>
        <v>Mon</v>
      </c>
      <c r="S2" s="2" t="str">
        <f t="shared" si="1"/>
        <v>Tue</v>
      </c>
      <c r="T2" s="2" t="str">
        <f t="shared" si="1"/>
        <v>Wed</v>
      </c>
      <c r="U2" s="2" t="str">
        <f t="shared" si="1"/>
        <v>Thu</v>
      </c>
      <c r="V2" s="2" t="str">
        <f t="shared" si="1"/>
        <v>Fri</v>
      </c>
      <c r="W2" s="2" t="str">
        <f t="shared" si="1"/>
        <v>Sat</v>
      </c>
      <c r="X2" s="2" t="str">
        <f t="shared" si="1"/>
        <v>Sun</v>
      </c>
      <c r="Y2" s="2" t="str">
        <f t="shared" si="1"/>
        <v>Mon</v>
      </c>
      <c r="Z2" s="2" t="str">
        <f t="shared" si="1"/>
        <v>Tue</v>
      </c>
      <c r="AA2" s="2" t="str">
        <f t="shared" si="1"/>
        <v>Wed</v>
      </c>
      <c r="AB2" s="2" t="str">
        <f t="shared" si="1"/>
        <v>Thu</v>
      </c>
      <c r="AC2" s="2" t="str">
        <f t="shared" si="1"/>
        <v>Fri</v>
      </c>
      <c r="AD2" s="2" t="str">
        <f t="shared" si="1"/>
        <v>Sat</v>
      </c>
      <c r="AE2" s="2" t="str">
        <f t="shared" si="1"/>
        <v>Sun</v>
      </c>
      <c r="AF2" s="2" t="str">
        <f t="shared" si="1"/>
        <v>Mon</v>
      </c>
      <c r="AG2" s="2" t="str">
        <f t="shared" si="1"/>
        <v>Tue</v>
      </c>
      <c r="AH2" s="2" t="str">
        <f t="shared" si="1"/>
        <v>Wed</v>
      </c>
      <c r="AI2" s="2" t="str">
        <f t="shared" si="1"/>
        <v>Thu</v>
      </c>
      <c r="AJ2" s="1"/>
      <c r="AK2" s="1">
        <v>2017</v>
      </c>
      <c r="AL2" s="1">
        <v>11</v>
      </c>
    </row>
    <row r="3" spans="1:38" x14ac:dyDescent="0.25">
      <c r="A3" s="1"/>
      <c r="B3" s="1"/>
      <c r="C3" s="1"/>
      <c r="D3" s="1"/>
      <c r="E3" s="1" t="s">
        <v>2</v>
      </c>
      <c r="F3" s="9">
        <f>DATE($AK$2,$AL$2,1)</f>
        <v>43040</v>
      </c>
      <c r="G3" s="9">
        <f t="shared" ref="G3:AI3" si="2">F3+1</f>
        <v>43041</v>
      </c>
      <c r="H3" s="9">
        <f t="shared" si="2"/>
        <v>43042</v>
      </c>
      <c r="I3" s="9">
        <f t="shared" si="2"/>
        <v>43043</v>
      </c>
      <c r="J3" s="9">
        <f t="shared" si="2"/>
        <v>43044</v>
      </c>
      <c r="K3" s="9">
        <f t="shared" si="2"/>
        <v>43045</v>
      </c>
      <c r="L3" s="9">
        <f t="shared" si="2"/>
        <v>43046</v>
      </c>
      <c r="M3" s="9">
        <f t="shared" si="2"/>
        <v>43047</v>
      </c>
      <c r="N3" s="9">
        <f t="shared" si="2"/>
        <v>43048</v>
      </c>
      <c r="O3" s="9">
        <f t="shared" si="2"/>
        <v>43049</v>
      </c>
      <c r="P3" s="9">
        <f t="shared" si="2"/>
        <v>43050</v>
      </c>
      <c r="Q3" s="9">
        <f t="shared" si="2"/>
        <v>43051</v>
      </c>
      <c r="R3" s="9">
        <f t="shared" si="2"/>
        <v>43052</v>
      </c>
      <c r="S3" s="9">
        <f t="shared" si="2"/>
        <v>43053</v>
      </c>
      <c r="T3" s="9">
        <f t="shared" si="2"/>
        <v>43054</v>
      </c>
      <c r="U3" s="9">
        <f t="shared" si="2"/>
        <v>43055</v>
      </c>
      <c r="V3" s="9">
        <f t="shared" si="2"/>
        <v>43056</v>
      </c>
      <c r="W3" s="9">
        <f t="shared" si="2"/>
        <v>43057</v>
      </c>
      <c r="X3" s="9">
        <f t="shared" si="2"/>
        <v>43058</v>
      </c>
      <c r="Y3" s="9">
        <f t="shared" si="2"/>
        <v>43059</v>
      </c>
      <c r="Z3" s="9">
        <f t="shared" si="2"/>
        <v>43060</v>
      </c>
      <c r="AA3" s="9">
        <f t="shared" si="2"/>
        <v>43061</v>
      </c>
      <c r="AB3" s="9">
        <f t="shared" si="2"/>
        <v>43062</v>
      </c>
      <c r="AC3" s="9">
        <f t="shared" si="2"/>
        <v>43063</v>
      </c>
      <c r="AD3" s="9">
        <f t="shared" si="2"/>
        <v>43064</v>
      </c>
      <c r="AE3" s="9">
        <f t="shared" si="2"/>
        <v>43065</v>
      </c>
      <c r="AF3" s="9">
        <f t="shared" si="2"/>
        <v>43066</v>
      </c>
      <c r="AG3" s="9">
        <f t="shared" si="2"/>
        <v>43067</v>
      </c>
      <c r="AH3" s="9">
        <f t="shared" si="2"/>
        <v>43068</v>
      </c>
      <c r="AI3" s="9">
        <f t="shared" si="2"/>
        <v>43069</v>
      </c>
      <c r="AJ3" s="1"/>
      <c r="AK3" s="1"/>
      <c r="AL3" s="1"/>
    </row>
    <row r="4" spans="1:38" x14ac:dyDescent="0.25">
      <c r="A4" s="1"/>
      <c r="B4" s="1"/>
      <c r="C4" s="1"/>
      <c r="D4" s="1"/>
      <c r="E4" s="17">
        <f>SUM(E5:E29)</f>
        <v>0</v>
      </c>
      <c r="F4" s="18">
        <f t="shared" ref="F4:G4" si="3">SUM(F5:F24)</f>
        <v>27.9</v>
      </c>
      <c r="G4" s="18">
        <f t="shared" si="3"/>
        <v>267.39999999999998</v>
      </c>
      <c r="H4" s="18">
        <f>SUM(H6:H24)</f>
        <v>14.190000000000001</v>
      </c>
      <c r="I4" s="18">
        <f t="shared" ref="I4:AI4" si="4">SUM(I5:I24)</f>
        <v>13.26</v>
      </c>
      <c r="J4" s="18">
        <f t="shared" si="4"/>
        <v>0</v>
      </c>
      <c r="K4" s="17">
        <f t="shared" si="4"/>
        <v>65.66</v>
      </c>
      <c r="L4" s="18">
        <f t="shared" si="4"/>
        <v>100</v>
      </c>
      <c r="M4" s="18">
        <f t="shared" si="4"/>
        <v>53</v>
      </c>
      <c r="N4" s="18">
        <f t="shared" si="4"/>
        <v>26.9</v>
      </c>
      <c r="O4" s="18">
        <f t="shared" si="4"/>
        <v>0</v>
      </c>
      <c r="P4" s="18">
        <f t="shared" si="4"/>
        <v>75.58</v>
      </c>
      <c r="Q4" s="18">
        <f t="shared" si="4"/>
        <v>0</v>
      </c>
      <c r="R4" s="18">
        <f t="shared" si="4"/>
        <v>0</v>
      </c>
      <c r="S4" s="18">
        <f t="shared" si="4"/>
        <v>5</v>
      </c>
      <c r="T4" s="18">
        <f t="shared" si="4"/>
        <v>28</v>
      </c>
      <c r="U4" s="18">
        <f t="shared" si="4"/>
        <v>56.77</v>
      </c>
      <c r="V4" s="18">
        <f t="shared" si="4"/>
        <v>0</v>
      </c>
      <c r="W4" s="18">
        <f t="shared" si="4"/>
        <v>0</v>
      </c>
      <c r="X4" s="18">
        <f t="shared" si="4"/>
        <v>24</v>
      </c>
      <c r="Y4" s="18">
        <f t="shared" si="4"/>
        <v>73.699999999999989</v>
      </c>
      <c r="Z4" s="18">
        <f t="shared" si="4"/>
        <v>46.9</v>
      </c>
      <c r="AA4" s="18">
        <f t="shared" si="4"/>
        <v>9.9</v>
      </c>
      <c r="AB4" s="18">
        <f t="shared" si="4"/>
        <v>0</v>
      </c>
      <c r="AC4" s="18">
        <f t="shared" si="4"/>
        <v>0</v>
      </c>
      <c r="AD4" s="18">
        <f t="shared" si="4"/>
        <v>12</v>
      </c>
      <c r="AE4" s="18">
        <f t="shared" si="4"/>
        <v>0</v>
      </c>
      <c r="AF4" s="18">
        <f t="shared" si="4"/>
        <v>57.08</v>
      </c>
      <c r="AG4" s="18">
        <f t="shared" si="4"/>
        <v>0</v>
      </c>
      <c r="AH4" s="18">
        <f t="shared" si="4"/>
        <v>0</v>
      </c>
      <c r="AI4" s="18">
        <f t="shared" si="4"/>
        <v>0</v>
      </c>
      <c r="AJ4" s="1"/>
      <c r="AK4" s="1"/>
      <c r="AL4" s="1"/>
    </row>
    <row r="5" spans="1:38" x14ac:dyDescent="0.25">
      <c r="A5" s="19" t="s">
        <v>25</v>
      </c>
      <c r="B5" s="11" t="s">
        <v>20</v>
      </c>
      <c r="C5" s="11"/>
      <c r="D5" s="15">
        <f t="shared" ref="D5:D24" si="5">SUM(E5:AI5)</f>
        <v>241.5</v>
      </c>
      <c r="E5" s="23"/>
      <c r="F5" s="24">
        <v>5</v>
      </c>
      <c r="G5" s="24">
        <v>5</v>
      </c>
      <c r="H5" s="1"/>
      <c r="I5" s="1"/>
      <c r="J5" s="25"/>
      <c r="K5" s="26">
        <v>11.5</v>
      </c>
      <c r="L5" s="25"/>
      <c r="M5" s="25"/>
      <c r="N5" s="25"/>
      <c r="O5" s="25"/>
      <c r="P5" s="24">
        <v>59.15</v>
      </c>
      <c r="Q5" s="24"/>
      <c r="R5" s="24"/>
      <c r="S5" s="25"/>
      <c r="T5" s="25">
        <v>8</v>
      </c>
      <c r="U5" s="24">
        <v>46.77</v>
      </c>
      <c r="V5" s="24"/>
      <c r="W5" s="24"/>
      <c r="X5" s="24">
        <v>24</v>
      </c>
      <c r="Y5" s="24">
        <v>22.5</v>
      </c>
      <c r="Z5" s="24">
        <v>8</v>
      </c>
      <c r="AA5" s="27"/>
      <c r="AB5" s="24"/>
      <c r="AC5" s="24"/>
      <c r="AD5" s="24"/>
      <c r="AE5" s="24"/>
      <c r="AF5" s="24">
        <v>51.58</v>
      </c>
      <c r="AG5" s="24"/>
      <c r="AH5" s="24"/>
      <c r="AI5" s="24"/>
      <c r="AJ5" s="1"/>
      <c r="AK5" s="1"/>
      <c r="AL5" s="1"/>
    </row>
    <row r="6" spans="1:38" x14ac:dyDescent="0.25">
      <c r="A6" s="19" t="s">
        <v>25</v>
      </c>
      <c r="B6" s="11" t="s">
        <v>21</v>
      </c>
      <c r="C6" s="11"/>
      <c r="D6" s="15">
        <f t="shared" si="5"/>
        <v>48.6</v>
      </c>
      <c r="E6" s="29"/>
      <c r="F6" s="24"/>
      <c r="G6" s="24"/>
      <c r="H6" s="24">
        <v>9.9</v>
      </c>
      <c r="I6" s="25"/>
      <c r="J6" s="25"/>
      <c r="K6" s="25"/>
      <c r="L6" s="25"/>
      <c r="M6" s="25"/>
      <c r="N6" s="25"/>
      <c r="O6" s="25"/>
      <c r="P6" s="24">
        <v>9.9</v>
      </c>
      <c r="Q6" s="24"/>
      <c r="R6" s="24"/>
      <c r="S6" s="25"/>
      <c r="T6" s="25"/>
      <c r="U6" s="24"/>
      <c r="V6" s="24"/>
      <c r="W6" s="24"/>
      <c r="X6" s="24"/>
      <c r="Y6" s="24"/>
      <c r="Z6" s="24">
        <v>18.899999999999999</v>
      </c>
      <c r="AA6" s="27">
        <v>9.9</v>
      </c>
      <c r="AB6" s="24"/>
      <c r="AC6" s="24"/>
      <c r="AD6" s="24"/>
      <c r="AE6" s="24"/>
      <c r="AF6" s="24"/>
      <c r="AG6" s="24"/>
      <c r="AH6" s="24"/>
      <c r="AI6" s="24"/>
      <c r="AJ6" s="1"/>
      <c r="AK6" s="1"/>
      <c r="AL6" s="1"/>
    </row>
    <row r="7" spans="1:38" x14ac:dyDescent="0.25">
      <c r="A7" s="19" t="s">
        <v>25</v>
      </c>
      <c r="B7" s="11" t="s">
        <v>22</v>
      </c>
      <c r="C7" s="11"/>
      <c r="D7" s="15">
        <f t="shared" si="5"/>
        <v>32.5</v>
      </c>
      <c r="E7" s="29"/>
      <c r="F7" s="24"/>
      <c r="G7" s="24"/>
      <c r="H7" s="24"/>
      <c r="I7" s="25"/>
      <c r="J7" s="25"/>
      <c r="K7" s="25"/>
      <c r="L7" s="25"/>
      <c r="M7" s="25"/>
      <c r="N7" s="25"/>
      <c r="O7" s="25"/>
      <c r="P7" s="24"/>
      <c r="Q7" s="24"/>
      <c r="R7" s="24"/>
      <c r="S7" s="25">
        <v>5</v>
      </c>
      <c r="T7" s="25"/>
      <c r="U7" s="24">
        <v>10</v>
      </c>
      <c r="V7" s="24"/>
      <c r="W7" s="24"/>
      <c r="X7" s="24"/>
      <c r="Y7" s="24"/>
      <c r="Z7" s="24"/>
      <c r="AA7" s="27"/>
      <c r="AB7" s="24"/>
      <c r="AC7" s="24"/>
      <c r="AD7" s="24">
        <v>12</v>
      </c>
      <c r="AE7" s="24"/>
      <c r="AF7" s="24">
        <v>5.5</v>
      </c>
      <c r="AG7" s="24"/>
      <c r="AH7" s="24"/>
      <c r="AI7" s="24"/>
      <c r="AJ7" s="1"/>
      <c r="AK7" s="1"/>
      <c r="AL7" s="1"/>
    </row>
    <row r="8" spans="1:38" x14ac:dyDescent="0.25">
      <c r="A8" s="19" t="s">
        <v>25</v>
      </c>
      <c r="B8" s="11" t="s">
        <v>23</v>
      </c>
      <c r="C8" s="11"/>
      <c r="D8" s="15">
        <f t="shared" si="5"/>
        <v>15.4</v>
      </c>
      <c r="E8" s="29"/>
      <c r="F8" s="24"/>
      <c r="G8" s="24"/>
      <c r="H8" s="24"/>
      <c r="I8" s="25"/>
      <c r="J8" s="25"/>
      <c r="K8" s="25"/>
      <c r="L8" s="25"/>
      <c r="M8" s="25"/>
      <c r="N8" s="25"/>
      <c r="O8" s="25"/>
      <c r="P8" s="24"/>
      <c r="Q8" s="24"/>
      <c r="R8" s="24"/>
      <c r="S8" s="25"/>
      <c r="T8" s="25"/>
      <c r="U8" s="24"/>
      <c r="V8" s="24"/>
      <c r="W8" s="24"/>
      <c r="X8" s="24"/>
      <c r="Y8" s="24">
        <v>15.4</v>
      </c>
      <c r="Z8" s="24"/>
      <c r="AA8" s="27"/>
      <c r="AB8" s="24"/>
      <c r="AC8" s="24"/>
      <c r="AD8" s="24"/>
      <c r="AE8" s="24"/>
      <c r="AF8" s="24"/>
      <c r="AG8" s="24"/>
      <c r="AH8" s="24"/>
      <c r="AI8" s="24"/>
      <c r="AJ8" s="1"/>
      <c r="AK8" s="1"/>
      <c r="AL8" s="1"/>
    </row>
    <row r="9" spans="1:38" x14ac:dyDescent="0.25">
      <c r="A9" s="19" t="s">
        <v>25</v>
      </c>
      <c r="B9" s="11" t="s">
        <v>23</v>
      </c>
      <c r="C9" s="11" t="s">
        <v>38</v>
      </c>
      <c r="D9" s="15">
        <f t="shared" si="5"/>
        <v>40</v>
      </c>
      <c r="E9" s="29"/>
      <c r="F9" s="24"/>
      <c r="G9" s="24"/>
      <c r="H9" s="24"/>
      <c r="I9" s="25"/>
      <c r="J9" s="25"/>
      <c r="K9" s="25"/>
      <c r="L9" s="25"/>
      <c r="M9" s="25"/>
      <c r="N9" s="25"/>
      <c r="O9" s="25"/>
      <c r="P9" s="24"/>
      <c r="Q9" s="24"/>
      <c r="R9" s="24"/>
      <c r="S9" s="25"/>
      <c r="T9" s="25">
        <v>20</v>
      </c>
      <c r="U9" s="24"/>
      <c r="V9" s="24"/>
      <c r="W9" s="24"/>
      <c r="X9" s="24"/>
      <c r="Y9" s="1"/>
      <c r="Z9" s="24">
        <v>20</v>
      </c>
      <c r="AA9" s="27"/>
      <c r="AB9" s="24"/>
      <c r="AC9" s="24"/>
      <c r="AD9" s="24"/>
      <c r="AE9" s="24"/>
      <c r="AF9" s="24"/>
      <c r="AG9" s="24"/>
      <c r="AH9" s="24"/>
      <c r="AI9" s="24"/>
      <c r="AJ9" s="1"/>
      <c r="AK9" s="1"/>
      <c r="AL9" s="1"/>
    </row>
    <row r="10" spans="1:38" x14ac:dyDescent="0.25">
      <c r="A10" s="19" t="s">
        <v>25</v>
      </c>
      <c r="B10" s="11" t="s">
        <v>24</v>
      </c>
      <c r="C10" s="11"/>
      <c r="D10" s="15">
        <f t="shared" si="5"/>
        <v>54.709999999999994</v>
      </c>
      <c r="E10" s="29"/>
      <c r="F10" s="24"/>
      <c r="G10" s="24"/>
      <c r="H10" s="24">
        <v>4.29</v>
      </c>
      <c r="I10" s="25">
        <v>13.26</v>
      </c>
      <c r="J10" s="25"/>
      <c r="K10" s="25">
        <v>37.159999999999997</v>
      </c>
      <c r="L10" s="25"/>
      <c r="M10" s="25"/>
      <c r="N10" s="25"/>
      <c r="O10" s="25"/>
      <c r="P10" s="24"/>
      <c r="Q10" s="24"/>
      <c r="R10" s="24"/>
      <c r="S10" s="25"/>
      <c r="T10" s="25"/>
      <c r="U10" s="24"/>
      <c r="V10" s="24"/>
      <c r="W10" s="24"/>
      <c r="X10" s="24"/>
      <c r="Y10" s="24"/>
      <c r="Z10" s="24"/>
      <c r="AA10" s="27"/>
      <c r="AB10" s="24"/>
      <c r="AC10" s="24"/>
      <c r="AD10" s="24"/>
      <c r="AE10" s="24"/>
      <c r="AF10" s="24"/>
      <c r="AG10" s="24"/>
      <c r="AH10" s="24"/>
      <c r="AI10" s="24"/>
      <c r="AJ10" s="1"/>
      <c r="AK10" s="1"/>
      <c r="AL10" s="1"/>
    </row>
    <row r="11" spans="1:38" x14ac:dyDescent="0.25">
      <c r="A11" s="11" t="s">
        <v>43</v>
      </c>
      <c r="B11" s="11" t="s">
        <v>27</v>
      </c>
      <c r="C11" s="11"/>
      <c r="D11" s="15">
        <f t="shared" si="5"/>
        <v>153</v>
      </c>
      <c r="E11" s="29"/>
      <c r="F11" s="24"/>
      <c r="G11" s="24"/>
      <c r="H11" s="24"/>
      <c r="I11" s="25"/>
      <c r="J11" s="25"/>
      <c r="K11" s="25"/>
      <c r="L11" s="25">
        <v>100</v>
      </c>
      <c r="M11" s="25">
        <v>53</v>
      </c>
      <c r="N11" s="25"/>
      <c r="O11" s="25"/>
      <c r="P11" s="24"/>
      <c r="Q11" s="24"/>
      <c r="R11" s="24"/>
      <c r="S11" s="25"/>
      <c r="T11" s="25"/>
      <c r="U11" s="24"/>
      <c r="V11" s="24"/>
      <c r="W11" s="24"/>
      <c r="X11" s="24"/>
      <c r="Y11" s="24"/>
      <c r="Z11" s="24"/>
      <c r="AA11" s="27"/>
      <c r="AB11" s="24"/>
      <c r="AC11" s="24"/>
      <c r="AD11" s="24"/>
      <c r="AE11" s="24"/>
      <c r="AF11" s="24"/>
      <c r="AG11" s="24"/>
      <c r="AH11" s="24"/>
      <c r="AI11" s="24"/>
      <c r="AJ11" s="1"/>
      <c r="AK11" s="1"/>
      <c r="AL11" s="1"/>
    </row>
    <row r="12" spans="1:38" x14ac:dyDescent="0.25">
      <c r="A12" s="11" t="s">
        <v>43</v>
      </c>
      <c r="B12" s="11" t="s">
        <v>28</v>
      </c>
      <c r="C12" s="11"/>
      <c r="D12" s="15">
        <f t="shared" si="5"/>
        <v>22.9</v>
      </c>
      <c r="E12" s="29"/>
      <c r="F12" s="24">
        <v>22.9</v>
      </c>
      <c r="G12" s="24"/>
      <c r="H12" s="24"/>
      <c r="I12" s="25"/>
      <c r="J12" s="25"/>
      <c r="K12" s="25"/>
      <c r="L12" s="25"/>
      <c r="M12" s="25"/>
      <c r="N12" s="25"/>
      <c r="O12" s="25"/>
      <c r="P12" s="24"/>
      <c r="Q12" s="24"/>
      <c r="R12" s="24"/>
      <c r="S12" s="25"/>
      <c r="T12" s="25"/>
      <c r="U12" s="24"/>
      <c r="V12" s="24"/>
      <c r="W12" s="24"/>
      <c r="X12" s="24"/>
      <c r="Y12" s="24"/>
      <c r="Z12" s="24"/>
      <c r="AA12" s="27"/>
      <c r="AB12" s="24"/>
      <c r="AC12" s="24"/>
      <c r="AD12" s="24"/>
      <c r="AE12" s="24"/>
      <c r="AF12" s="24"/>
      <c r="AG12" s="24"/>
      <c r="AH12" s="24"/>
      <c r="AI12" s="24"/>
      <c r="AJ12" s="1"/>
      <c r="AK12" s="1"/>
      <c r="AL12" s="1"/>
    </row>
    <row r="13" spans="1:38" x14ac:dyDescent="0.25">
      <c r="A13" s="11" t="s">
        <v>43</v>
      </c>
      <c r="B13" s="11" t="s">
        <v>29</v>
      </c>
      <c r="C13" s="11"/>
      <c r="D13" s="15">
        <f t="shared" si="5"/>
        <v>26.9</v>
      </c>
      <c r="E13" s="29"/>
      <c r="F13" s="24"/>
      <c r="G13" s="24"/>
      <c r="H13" s="24"/>
      <c r="I13" s="25"/>
      <c r="J13" s="25"/>
      <c r="K13" s="25"/>
      <c r="L13" s="25"/>
      <c r="M13" s="25"/>
      <c r="N13" s="25">
        <v>26.9</v>
      </c>
      <c r="O13" s="25"/>
      <c r="P13" s="24"/>
      <c r="Q13" s="24"/>
      <c r="R13" s="24"/>
      <c r="S13" s="25"/>
      <c r="T13" s="25"/>
      <c r="U13" s="24"/>
      <c r="V13" s="24"/>
      <c r="W13" s="24"/>
      <c r="X13" s="24"/>
      <c r="Y13" s="24"/>
      <c r="Z13" s="24"/>
      <c r="AA13" s="27"/>
      <c r="AB13" s="24"/>
      <c r="AC13" s="24"/>
      <c r="AD13" s="24"/>
      <c r="AE13" s="24"/>
      <c r="AF13" s="24"/>
      <c r="AG13" s="24"/>
      <c r="AH13" s="24"/>
      <c r="AI13" s="24"/>
      <c r="AJ13" s="1"/>
      <c r="AK13" s="1"/>
      <c r="AL13" s="1"/>
    </row>
    <row r="14" spans="1:38" x14ac:dyDescent="0.25">
      <c r="A14" s="19" t="s">
        <v>46</v>
      </c>
      <c r="B14" s="11" t="s">
        <v>31</v>
      </c>
      <c r="C14" s="11"/>
      <c r="D14" s="15">
        <f t="shared" si="5"/>
        <v>182.4</v>
      </c>
      <c r="E14" s="29"/>
      <c r="F14" s="24"/>
      <c r="G14" s="24">
        <v>182.4</v>
      </c>
      <c r="H14" s="24"/>
      <c r="I14" s="25"/>
      <c r="J14" s="25"/>
      <c r="K14" s="25"/>
      <c r="L14" s="25"/>
      <c r="M14" s="25"/>
      <c r="N14" s="25"/>
      <c r="O14" s="25"/>
      <c r="P14" s="24"/>
      <c r="Q14" s="24"/>
      <c r="R14" s="24"/>
      <c r="S14" s="25"/>
      <c r="T14" s="25"/>
      <c r="U14" s="24"/>
      <c r="V14" s="24"/>
      <c r="W14" s="24"/>
      <c r="X14" s="24"/>
      <c r="Y14" s="24"/>
      <c r="Z14" s="24"/>
      <c r="AA14" s="27"/>
      <c r="AB14" s="24"/>
      <c r="AC14" s="24"/>
      <c r="AD14" s="24"/>
      <c r="AE14" s="24"/>
      <c r="AF14" s="24"/>
      <c r="AG14" s="24"/>
      <c r="AH14" s="24"/>
      <c r="AI14" s="24"/>
      <c r="AJ14" s="1"/>
      <c r="AK14" s="1"/>
      <c r="AL14" s="1"/>
    </row>
    <row r="15" spans="1:38" x14ac:dyDescent="0.25">
      <c r="A15" s="19" t="s">
        <v>46</v>
      </c>
      <c r="B15" s="11" t="s">
        <v>32</v>
      </c>
      <c r="C15" s="11"/>
      <c r="D15" s="15">
        <f t="shared" si="5"/>
        <v>80</v>
      </c>
      <c r="E15" s="29"/>
      <c r="F15" s="24"/>
      <c r="G15" s="24">
        <v>80</v>
      </c>
      <c r="H15" s="24"/>
      <c r="I15" s="25"/>
      <c r="J15" s="25"/>
      <c r="K15" s="25"/>
      <c r="L15" s="25"/>
      <c r="M15" s="25"/>
      <c r="N15" s="25"/>
      <c r="O15" s="25"/>
      <c r="P15" s="24"/>
      <c r="Q15" s="24"/>
      <c r="R15" s="24"/>
      <c r="S15" s="25"/>
      <c r="T15" s="25"/>
      <c r="U15" s="24"/>
      <c r="V15" s="24"/>
      <c r="W15" s="24"/>
      <c r="X15" s="24"/>
      <c r="Y15" s="24"/>
      <c r="Z15" s="24"/>
      <c r="AA15" s="27"/>
      <c r="AB15" s="24"/>
      <c r="AC15" s="24"/>
      <c r="AD15" s="24"/>
      <c r="AE15" s="24"/>
      <c r="AF15" s="24"/>
      <c r="AG15" s="24"/>
      <c r="AH15" s="24"/>
      <c r="AI15" s="24"/>
      <c r="AJ15" s="1"/>
      <c r="AK15" s="1"/>
      <c r="AL15" s="1"/>
    </row>
    <row r="16" spans="1:38" x14ac:dyDescent="0.25">
      <c r="A16" s="19" t="s">
        <v>46</v>
      </c>
      <c r="B16" s="11" t="s">
        <v>33</v>
      </c>
      <c r="C16" s="11"/>
      <c r="D16" s="15">
        <f t="shared" si="5"/>
        <v>6.53</v>
      </c>
      <c r="E16" s="29"/>
      <c r="F16" s="24"/>
      <c r="G16" s="24"/>
      <c r="H16" s="24"/>
      <c r="I16" s="25"/>
      <c r="J16" s="25"/>
      <c r="K16" s="25"/>
      <c r="L16" s="25"/>
      <c r="M16" s="25"/>
      <c r="N16" s="25"/>
      <c r="O16" s="25"/>
      <c r="P16" s="24">
        <v>6.53</v>
      </c>
      <c r="Q16" s="24"/>
      <c r="R16" s="24"/>
      <c r="S16" s="25"/>
      <c r="T16" s="25"/>
      <c r="U16" s="24"/>
      <c r="V16" s="24"/>
      <c r="W16" s="24"/>
      <c r="X16" s="24"/>
      <c r="Y16" s="24"/>
      <c r="Z16" s="24"/>
      <c r="AA16" s="27"/>
      <c r="AB16" s="24"/>
      <c r="AC16" s="24"/>
      <c r="AD16" s="24"/>
      <c r="AE16" s="24"/>
      <c r="AF16" s="24"/>
      <c r="AG16" s="24"/>
      <c r="AH16" s="24"/>
      <c r="AI16" s="24"/>
      <c r="AJ16" s="1"/>
      <c r="AK16" s="1"/>
      <c r="AL16" s="1"/>
    </row>
    <row r="17" spans="1:38" x14ac:dyDescent="0.25">
      <c r="A17" s="19" t="s">
        <v>43</v>
      </c>
      <c r="B17" s="11" t="s">
        <v>34</v>
      </c>
      <c r="C17" s="11"/>
      <c r="D17" s="15">
        <f t="shared" si="5"/>
        <v>0</v>
      </c>
      <c r="E17" s="29"/>
      <c r="F17" s="24"/>
      <c r="G17" s="24"/>
      <c r="H17" s="24"/>
      <c r="I17" s="25"/>
      <c r="J17" s="25"/>
      <c r="K17" s="25"/>
      <c r="L17" s="25"/>
      <c r="M17" s="25"/>
      <c r="N17" s="25"/>
      <c r="O17" s="25"/>
      <c r="P17" s="24"/>
      <c r="Q17" s="24"/>
      <c r="R17" s="24"/>
      <c r="S17" s="25"/>
      <c r="T17" s="25"/>
      <c r="U17" s="24"/>
      <c r="V17" s="24"/>
      <c r="W17" s="24"/>
      <c r="X17" s="24"/>
      <c r="Y17" s="24"/>
      <c r="Z17" s="24"/>
      <c r="AA17" s="27"/>
      <c r="AB17" s="24"/>
      <c r="AC17" s="24"/>
      <c r="AD17" s="24"/>
      <c r="AE17" s="24"/>
      <c r="AF17" s="24"/>
      <c r="AG17" s="24"/>
      <c r="AH17" s="24"/>
      <c r="AI17" s="24"/>
      <c r="AJ17" s="1"/>
      <c r="AK17" s="1"/>
      <c r="AL17" s="1"/>
    </row>
    <row r="18" spans="1:38" x14ac:dyDescent="0.25">
      <c r="A18" s="19" t="s">
        <v>43</v>
      </c>
      <c r="B18" s="11" t="s">
        <v>35</v>
      </c>
      <c r="C18" s="11"/>
      <c r="D18" s="15">
        <f t="shared" si="5"/>
        <v>0</v>
      </c>
      <c r="E18" s="29"/>
      <c r="F18" s="24"/>
      <c r="G18" s="24"/>
      <c r="H18" s="24"/>
      <c r="I18" s="25"/>
      <c r="J18" s="25"/>
      <c r="K18" s="25"/>
      <c r="L18" s="25"/>
      <c r="M18" s="25"/>
      <c r="N18" s="25"/>
      <c r="O18" s="25"/>
      <c r="P18" s="24"/>
      <c r="Q18" s="24"/>
      <c r="R18" s="24"/>
      <c r="S18" s="25"/>
      <c r="T18" s="25"/>
      <c r="U18" s="24"/>
      <c r="V18" s="24"/>
      <c r="W18" s="24"/>
      <c r="X18" s="24"/>
      <c r="Y18" s="24"/>
      <c r="Z18" s="24"/>
      <c r="AA18" s="27"/>
      <c r="AB18" s="24"/>
      <c r="AC18" s="24"/>
      <c r="AD18" s="24"/>
      <c r="AE18" s="24"/>
      <c r="AF18" s="24"/>
      <c r="AG18" s="24"/>
      <c r="AH18" s="24"/>
      <c r="AI18" s="24"/>
      <c r="AJ18" s="1"/>
      <c r="AK18" s="1"/>
      <c r="AL18" s="1"/>
    </row>
    <row r="19" spans="1:38" x14ac:dyDescent="0.25">
      <c r="A19" s="19" t="s">
        <v>43</v>
      </c>
      <c r="B19" s="11" t="s">
        <v>36</v>
      </c>
      <c r="C19" s="11"/>
      <c r="D19" s="15">
        <f t="shared" si="5"/>
        <v>0</v>
      </c>
      <c r="E19" s="29"/>
      <c r="F19" s="24"/>
      <c r="G19" s="24"/>
      <c r="H19" s="24"/>
      <c r="I19" s="25"/>
      <c r="J19" s="25"/>
      <c r="K19" s="25"/>
      <c r="L19" s="25"/>
      <c r="M19" s="25"/>
      <c r="N19" s="25"/>
      <c r="O19" s="25"/>
      <c r="P19" s="24"/>
      <c r="Q19" s="24"/>
      <c r="R19" s="24"/>
      <c r="S19" s="25"/>
      <c r="T19" s="25"/>
      <c r="U19" s="24"/>
      <c r="V19" s="24"/>
      <c r="W19" s="24"/>
      <c r="X19" s="24"/>
      <c r="Y19" s="24"/>
      <c r="Z19" s="24"/>
      <c r="AA19" s="27"/>
      <c r="AB19" s="24"/>
      <c r="AC19" s="24"/>
      <c r="AD19" s="24"/>
      <c r="AE19" s="24"/>
      <c r="AF19" s="24"/>
      <c r="AG19" s="24"/>
      <c r="AH19" s="24"/>
      <c r="AI19" s="24"/>
      <c r="AJ19" s="1"/>
      <c r="AK19" s="1"/>
      <c r="AL19" s="1"/>
    </row>
    <row r="20" spans="1:38" x14ac:dyDescent="0.25">
      <c r="A20" s="19" t="s">
        <v>43</v>
      </c>
      <c r="B20" s="11" t="s">
        <v>37</v>
      </c>
      <c r="C20" s="11"/>
      <c r="D20" s="15">
        <f t="shared" si="5"/>
        <v>0</v>
      </c>
      <c r="E20" s="29"/>
      <c r="F20" s="24"/>
      <c r="G20" s="24"/>
      <c r="H20" s="24"/>
      <c r="I20" s="25"/>
      <c r="J20" s="25"/>
      <c r="K20" s="25"/>
      <c r="L20" s="25"/>
      <c r="M20" s="25"/>
      <c r="N20" s="25"/>
      <c r="O20" s="25"/>
      <c r="P20" s="24"/>
      <c r="Q20" s="24"/>
      <c r="R20" s="24"/>
      <c r="S20" s="25"/>
      <c r="T20" s="25"/>
      <c r="U20" s="24"/>
      <c r="V20" s="24"/>
      <c r="W20" s="24"/>
      <c r="X20" s="24"/>
      <c r="Y20" s="24"/>
      <c r="Z20" s="24"/>
      <c r="AA20" s="27"/>
      <c r="AB20" s="24"/>
      <c r="AC20" s="24"/>
      <c r="AD20" s="24"/>
      <c r="AE20" s="24"/>
      <c r="AF20" s="24"/>
      <c r="AG20" s="24"/>
      <c r="AH20" s="24"/>
      <c r="AI20" s="24"/>
      <c r="AJ20" s="1"/>
      <c r="AK20" s="1"/>
      <c r="AL20" s="1"/>
    </row>
    <row r="21" spans="1:38" ht="15.75" customHeight="1" x14ac:dyDescent="0.25">
      <c r="A21" s="19" t="s">
        <v>43</v>
      </c>
      <c r="B21" s="11" t="s">
        <v>39</v>
      </c>
      <c r="C21" s="11"/>
      <c r="D21" s="15">
        <f t="shared" si="5"/>
        <v>0</v>
      </c>
      <c r="E21" s="29"/>
      <c r="F21" s="24"/>
      <c r="G21" s="24"/>
      <c r="H21" s="24"/>
      <c r="I21" s="25"/>
      <c r="J21" s="25"/>
      <c r="K21" s="25"/>
      <c r="L21" s="25"/>
      <c r="M21" s="25"/>
      <c r="N21" s="25"/>
      <c r="O21" s="25"/>
      <c r="P21" s="24"/>
      <c r="Q21" s="24"/>
      <c r="R21" s="24"/>
      <c r="S21" s="25"/>
      <c r="T21" s="25"/>
      <c r="U21" s="24"/>
      <c r="V21" s="24"/>
      <c r="W21" s="24"/>
      <c r="X21" s="24"/>
      <c r="Y21" s="24"/>
      <c r="Z21" s="24"/>
      <c r="AA21" s="27"/>
      <c r="AB21" s="24"/>
      <c r="AC21" s="24"/>
      <c r="AD21" s="24"/>
      <c r="AE21" s="24"/>
      <c r="AF21" s="24"/>
      <c r="AG21" s="24"/>
      <c r="AH21" s="24"/>
      <c r="AI21" s="24"/>
      <c r="AJ21" s="1"/>
      <c r="AK21" s="1"/>
      <c r="AL21" s="1"/>
    </row>
    <row r="22" spans="1:38" ht="15.75" customHeight="1" x14ac:dyDescent="0.25">
      <c r="A22" s="19" t="s">
        <v>43</v>
      </c>
      <c r="B22" s="11" t="s">
        <v>40</v>
      </c>
      <c r="C22" s="11"/>
      <c r="D22" s="15">
        <f t="shared" si="5"/>
        <v>35.799999999999997</v>
      </c>
      <c r="E22" s="29"/>
      <c r="F22" s="24"/>
      <c r="G22" s="24"/>
      <c r="H22" s="24"/>
      <c r="I22" s="25"/>
      <c r="J22" s="25"/>
      <c r="K22" s="25"/>
      <c r="L22" s="25"/>
      <c r="M22" s="25"/>
      <c r="N22" s="25"/>
      <c r="O22" s="25"/>
      <c r="P22" s="24"/>
      <c r="Q22" s="24"/>
      <c r="R22" s="24"/>
      <c r="S22" s="25"/>
      <c r="T22" s="25"/>
      <c r="U22" s="24"/>
      <c r="V22" s="24"/>
      <c r="W22" s="24"/>
      <c r="X22" s="24"/>
      <c r="Y22" s="24">
        <v>35.799999999999997</v>
      </c>
      <c r="Z22" s="24"/>
      <c r="AA22" s="27"/>
      <c r="AB22" s="24"/>
      <c r="AC22" s="24"/>
      <c r="AD22" s="24"/>
      <c r="AE22" s="24"/>
      <c r="AF22" s="24"/>
      <c r="AG22" s="24"/>
      <c r="AH22" s="24"/>
      <c r="AI22" s="24"/>
      <c r="AJ22" s="1"/>
      <c r="AK22" s="1"/>
      <c r="AL22" s="1"/>
    </row>
    <row r="23" spans="1:38" ht="15.75" customHeight="1" x14ac:dyDescent="0.25">
      <c r="A23" s="19" t="s">
        <v>43</v>
      </c>
      <c r="B23" s="11" t="s">
        <v>41</v>
      </c>
      <c r="C23" s="11"/>
      <c r="D23" s="15">
        <f t="shared" si="5"/>
        <v>0</v>
      </c>
      <c r="E23" s="29"/>
      <c r="F23" s="24"/>
      <c r="G23" s="24"/>
      <c r="H23" s="24"/>
      <c r="I23" s="25"/>
      <c r="J23" s="25"/>
      <c r="K23" s="25"/>
      <c r="L23" s="25"/>
      <c r="M23" s="25"/>
      <c r="N23" s="25"/>
      <c r="O23" s="25"/>
      <c r="P23" s="24"/>
      <c r="Q23" s="24"/>
      <c r="R23" s="24"/>
      <c r="S23" s="25"/>
      <c r="T23" s="25"/>
      <c r="U23" s="24"/>
      <c r="V23" s="24"/>
      <c r="W23" s="24"/>
      <c r="X23" s="24"/>
      <c r="Y23" s="24"/>
      <c r="Z23" s="24"/>
      <c r="AA23" s="27"/>
      <c r="AB23" s="24"/>
      <c r="AC23" s="24"/>
      <c r="AD23" s="24"/>
      <c r="AE23" s="24"/>
      <c r="AF23" s="24"/>
      <c r="AG23" s="24"/>
      <c r="AH23" s="24"/>
      <c r="AI23" s="24"/>
      <c r="AJ23" s="1"/>
      <c r="AK23" s="1"/>
      <c r="AL23" s="1"/>
    </row>
    <row r="24" spans="1:38" ht="15.75" customHeight="1" x14ac:dyDescent="0.25">
      <c r="A24" s="31" t="s">
        <v>43</v>
      </c>
      <c r="B24" s="31" t="s">
        <v>42</v>
      </c>
      <c r="C24" s="11"/>
      <c r="D24" s="15">
        <f t="shared" si="5"/>
        <v>17</v>
      </c>
      <c r="E24" s="29"/>
      <c r="F24" s="24"/>
      <c r="G24" s="24"/>
      <c r="H24" s="24"/>
      <c r="I24" s="25"/>
      <c r="J24" s="25"/>
      <c r="K24" s="25">
        <v>17</v>
      </c>
      <c r="L24" s="25"/>
      <c r="M24" s="25"/>
      <c r="N24" s="25"/>
      <c r="O24" s="25"/>
      <c r="P24" s="24"/>
      <c r="Q24" s="24"/>
      <c r="R24" s="24"/>
      <c r="S24" s="25"/>
      <c r="T24" s="25"/>
      <c r="U24" s="24"/>
      <c r="V24" s="24"/>
      <c r="W24" s="24"/>
      <c r="X24" s="24"/>
      <c r="Y24" s="24"/>
      <c r="Z24" s="24"/>
      <c r="AA24" s="27"/>
      <c r="AB24" s="24"/>
      <c r="AC24" s="24"/>
      <c r="AD24" s="24"/>
      <c r="AE24" s="24"/>
      <c r="AF24" s="24"/>
      <c r="AG24" s="24"/>
      <c r="AH24" s="24"/>
      <c r="AI24" s="24"/>
      <c r="AJ24" s="1"/>
      <c r="AK24" s="1"/>
      <c r="AL24" s="1"/>
    </row>
    <row r="25" spans="1:38" ht="15.75" customHeight="1" x14ac:dyDescent="0.25">
      <c r="A25" s="1"/>
      <c r="B25" s="1"/>
      <c r="C25" s="1"/>
      <c r="D25" s="12"/>
      <c r="E25" s="40"/>
      <c r="F25" s="24"/>
      <c r="G25" s="24"/>
      <c r="H25" s="24"/>
      <c r="I25" s="25"/>
      <c r="J25" s="25"/>
      <c r="K25" s="25"/>
      <c r="L25" s="25"/>
      <c r="M25" s="25"/>
      <c r="N25" s="25"/>
      <c r="O25" s="25"/>
      <c r="P25" s="24"/>
      <c r="Q25" s="24"/>
      <c r="R25" s="24"/>
      <c r="S25" s="25"/>
      <c r="T25" s="25"/>
      <c r="U25" s="24"/>
      <c r="V25" s="24"/>
      <c r="W25" s="24"/>
      <c r="X25" s="24"/>
      <c r="Y25" s="24"/>
      <c r="Z25" s="24"/>
      <c r="AA25" s="27"/>
      <c r="AB25" s="24"/>
      <c r="AC25" s="24"/>
      <c r="AD25" s="24"/>
      <c r="AE25" s="24"/>
      <c r="AF25" s="24"/>
      <c r="AG25" s="24"/>
      <c r="AH25" s="24"/>
      <c r="AI25" s="24"/>
      <c r="AJ25" s="1"/>
      <c r="AK25" s="1"/>
      <c r="AL25" s="1"/>
    </row>
    <row r="26" spans="1:38" ht="15.75" customHeight="1" x14ac:dyDescent="0.25">
      <c r="A26" s="19"/>
      <c r="B26" s="11" t="s">
        <v>44</v>
      </c>
      <c r="C26" s="11"/>
      <c r="D26" s="15">
        <f>SUM(F26:AG26)</f>
        <v>1488.0200000000002</v>
      </c>
      <c r="E26" s="29"/>
      <c r="F26" s="24">
        <v>529.91999999999996</v>
      </c>
      <c r="G26" s="24">
        <v>400</v>
      </c>
      <c r="H26" s="24">
        <v>300</v>
      </c>
      <c r="I26" s="25">
        <v>59.16</v>
      </c>
      <c r="J26" s="25">
        <v>198.94</v>
      </c>
      <c r="K26" s="25"/>
      <c r="L26" s="25"/>
      <c r="M26" s="25"/>
      <c r="N26" s="25"/>
      <c r="O26" s="25"/>
      <c r="P26" s="24"/>
      <c r="Q26" s="24"/>
      <c r="R26" s="24"/>
      <c r="S26" s="25"/>
      <c r="T26" s="25"/>
      <c r="U26" s="24"/>
      <c r="V26" s="24"/>
      <c r="W26" s="24"/>
      <c r="X26" s="24"/>
      <c r="Y26" s="24"/>
      <c r="Z26" s="24"/>
      <c r="AA26" s="27"/>
      <c r="AB26" s="24"/>
      <c r="AC26" s="24"/>
      <c r="AD26" s="24"/>
      <c r="AE26" s="24"/>
      <c r="AF26" s="24"/>
      <c r="AG26" s="24"/>
      <c r="AH26" s="24"/>
      <c r="AI26" s="24"/>
      <c r="AJ26" s="1"/>
      <c r="AK26" s="1"/>
      <c r="AL26" s="1"/>
    </row>
    <row r="27" spans="1:38" ht="15.75" customHeight="1" x14ac:dyDescent="0.25">
      <c r="A27" s="1"/>
      <c r="B27" s="1"/>
      <c r="C27" s="1"/>
      <c r="D27" s="1"/>
      <c r="E27" s="24"/>
      <c r="F27" s="24"/>
      <c r="G27" s="24"/>
      <c r="H27" s="24"/>
      <c r="I27" s="25"/>
      <c r="J27" s="25"/>
      <c r="K27" s="25"/>
      <c r="L27" s="25"/>
      <c r="M27" s="25"/>
      <c r="N27" s="25"/>
      <c r="O27" s="25"/>
      <c r="P27" s="24"/>
      <c r="Q27" s="24"/>
      <c r="R27" s="24"/>
      <c r="S27" s="25"/>
      <c r="T27" s="25"/>
      <c r="U27" s="24"/>
      <c r="V27" s="24"/>
      <c r="W27" s="24"/>
      <c r="X27" s="24"/>
      <c r="Y27" s="24"/>
      <c r="Z27" s="24"/>
      <c r="AA27" s="27"/>
      <c r="AB27" s="24"/>
      <c r="AC27" s="24"/>
      <c r="AD27" s="24"/>
      <c r="AE27" s="24"/>
      <c r="AF27" s="24"/>
      <c r="AG27" s="24"/>
      <c r="AH27" s="24"/>
      <c r="AI27" s="24"/>
      <c r="AJ27" s="1"/>
      <c r="AK27" s="1"/>
      <c r="AL27" s="1"/>
    </row>
    <row r="28" spans="1:38" ht="15.75" customHeight="1" x14ac:dyDescent="0.25">
      <c r="A28" s="1"/>
      <c r="B28" s="35" t="s">
        <v>45</v>
      </c>
      <c r="C28" s="35"/>
      <c r="D28" s="36">
        <f>SUM(D5:D24)</f>
        <v>957.2399999999999</v>
      </c>
      <c r="E28" s="40"/>
      <c r="F28" s="24"/>
      <c r="G28" s="24"/>
      <c r="H28" s="24"/>
      <c r="I28" s="25"/>
      <c r="J28" s="25"/>
      <c r="K28" s="25"/>
      <c r="L28" s="25"/>
      <c r="M28" s="25"/>
      <c r="N28" s="25"/>
      <c r="O28" s="25"/>
      <c r="P28" s="24"/>
      <c r="Q28" s="24"/>
      <c r="R28" s="24"/>
      <c r="S28" s="25"/>
      <c r="T28" s="25"/>
      <c r="U28" s="24"/>
      <c r="V28" s="24"/>
      <c r="W28" s="24"/>
      <c r="X28" s="24"/>
      <c r="Y28" s="24"/>
      <c r="Z28" s="24"/>
      <c r="AA28" s="27"/>
      <c r="AB28" s="24"/>
      <c r="AC28" s="24"/>
      <c r="AD28" s="24"/>
      <c r="AE28" s="24"/>
      <c r="AF28" s="24"/>
      <c r="AG28" s="24"/>
      <c r="AH28" s="24"/>
      <c r="AI28" s="24"/>
      <c r="AJ28" s="1"/>
      <c r="AK28" s="1"/>
      <c r="AL28" s="1"/>
    </row>
    <row r="29" spans="1:38" ht="15.75" customHeight="1" x14ac:dyDescent="0.25">
      <c r="A29" s="1"/>
      <c r="B29" s="11" t="s">
        <v>47</v>
      </c>
      <c r="C29" s="11"/>
      <c r="D29" s="15">
        <f>D26-D28</f>
        <v>530.78000000000031</v>
      </c>
      <c r="E29" s="41"/>
      <c r="F29" s="42"/>
      <c r="G29" s="42"/>
      <c r="H29" s="42"/>
      <c r="I29" s="43"/>
      <c r="J29" s="43"/>
      <c r="K29" s="43"/>
      <c r="L29" s="43"/>
      <c r="M29" s="43"/>
      <c r="N29" s="43"/>
      <c r="O29" s="43"/>
      <c r="P29" s="42"/>
      <c r="Q29" s="42"/>
      <c r="R29" s="42"/>
      <c r="S29" s="43"/>
      <c r="T29" s="43"/>
      <c r="U29" s="42"/>
      <c r="V29" s="42"/>
      <c r="W29" s="42"/>
      <c r="X29" s="42"/>
      <c r="Y29" s="42"/>
      <c r="Z29" s="44"/>
      <c r="AA29" s="45"/>
      <c r="AB29" s="42"/>
      <c r="AC29" s="42"/>
      <c r="AD29" s="42"/>
      <c r="AE29" s="42"/>
      <c r="AF29" s="42"/>
      <c r="AG29" s="42"/>
      <c r="AH29" s="42"/>
      <c r="AI29" s="42"/>
      <c r="AJ29" s="1"/>
      <c r="AK29" s="1"/>
      <c r="AL29" s="1"/>
    </row>
    <row r="30" spans="1:38" ht="15.75" customHeight="1" x14ac:dyDescent="0.25">
      <c r="A30" s="1"/>
      <c r="B30" s="1"/>
      <c r="C30" s="1"/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customHeight="1" x14ac:dyDescent="0.25">
      <c r="A31" s="1"/>
      <c r="B31" s="1"/>
      <c r="C31" s="1"/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customHeight="1" x14ac:dyDescent="0.25">
      <c r="A32" s="1"/>
      <c r="B32" s="1"/>
      <c r="C32" s="1"/>
      <c r="D32" s="12"/>
      <c r="E32" s="1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.75" customHeight="1" x14ac:dyDescent="0.25">
      <c r="A33" s="1"/>
      <c r="B33" s="1"/>
      <c r="C33" s="1"/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.75" customHeight="1" x14ac:dyDescent="0.25">
      <c r="A34" s="1"/>
      <c r="B34" s="1"/>
      <c r="C34" s="1"/>
      <c r="D34" s="12"/>
      <c r="E34" s="1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.75" customHeight="1" x14ac:dyDescent="0.25">
      <c r="A35" s="1"/>
      <c r="B35" s="1"/>
      <c r="C35" s="1"/>
      <c r="D35" s="12"/>
      <c r="E35" s="1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5.75" customHeight="1" x14ac:dyDescent="0.25">
      <c r="A36" s="1"/>
      <c r="B36" s="1"/>
      <c r="C36" s="1"/>
      <c r="D36" s="12"/>
      <c r="E36" s="1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5.75" customHeight="1" x14ac:dyDescent="0.25">
      <c r="A37" s="1"/>
      <c r="B37" s="1"/>
      <c r="C37" s="1"/>
      <c r="D37" s="12"/>
      <c r="E37" s="1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5.75" customHeight="1" x14ac:dyDescent="0.25">
      <c r="A38" s="1"/>
      <c r="B38" s="1"/>
      <c r="C38" s="1"/>
      <c r="D38" s="12"/>
      <c r="E38" s="1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5.75" customHeight="1" x14ac:dyDescent="0.25">
      <c r="A39" s="1"/>
      <c r="B39" s="1"/>
      <c r="C39" s="1"/>
      <c r="D39" s="12"/>
      <c r="E39" s="1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.75" customHeight="1" x14ac:dyDescent="0.25">
      <c r="A40" s="1"/>
      <c r="B40" s="1"/>
      <c r="C40" s="1"/>
      <c r="D40" s="12"/>
      <c r="E40" s="1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5.75" customHeight="1" x14ac:dyDescent="0.25"/>
    <row r="231" spans="1:38" ht="15.75" customHeight="1" x14ac:dyDescent="0.25"/>
    <row r="232" spans="1:38" ht="15.75" customHeight="1" x14ac:dyDescent="0.25"/>
    <row r="233" spans="1:38" ht="15.75" customHeight="1" x14ac:dyDescent="0.25"/>
    <row r="234" spans="1:38" ht="15.75" customHeight="1" x14ac:dyDescent="0.25"/>
    <row r="235" spans="1:38" ht="15.75" customHeight="1" x14ac:dyDescent="0.25"/>
    <row r="236" spans="1:38" ht="15.75" customHeight="1" x14ac:dyDescent="0.25"/>
    <row r="237" spans="1:38" ht="15.75" customHeight="1" x14ac:dyDescent="0.25"/>
    <row r="238" spans="1:38" ht="15.75" customHeight="1" x14ac:dyDescent="0.25"/>
    <row r="239" spans="1:38" ht="15.75" customHeight="1" x14ac:dyDescent="0.25"/>
    <row r="240" spans="1:3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D29:E29">
    <cfRule type="cellIs" dxfId="164" priority="1" operator="greaterThan">
      <formula>0</formula>
    </cfRule>
  </conditionalFormatting>
  <conditionalFormatting sqref="D29:E29">
    <cfRule type="cellIs" dxfId="163" priority="2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/>
  </sheetViews>
  <sheetFormatPr defaultColWidth="14.42578125" defaultRowHeight="15" customHeight="1" x14ac:dyDescent="0.25"/>
  <cols>
    <col min="1" max="1" width="17.42578125" customWidth="1"/>
    <col min="2" max="2" width="29.42578125" customWidth="1"/>
    <col min="3" max="3" width="10.140625" customWidth="1"/>
    <col min="4" max="31" width="6.42578125" customWidth="1"/>
    <col min="32" max="35" width="8.7109375" customWidth="1"/>
  </cols>
  <sheetData>
    <row r="1" spans="1:35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5" x14ac:dyDescent="0.25">
      <c r="D2" s="3" t="str">
        <f t="shared" ref="D2:AE2" si="0">IF(OR(D3="sex",D3="sáb",D3="dom"),"fds","sem")</f>
        <v>sem</v>
      </c>
      <c r="E2" s="3" t="str">
        <f t="shared" si="0"/>
        <v>sem</v>
      </c>
      <c r="F2" s="3" t="str">
        <f t="shared" si="0"/>
        <v>sem</v>
      </c>
      <c r="G2" s="3" t="str">
        <f t="shared" si="0"/>
        <v>sem</v>
      </c>
      <c r="H2" s="3" t="str">
        <f t="shared" si="0"/>
        <v>sem</v>
      </c>
      <c r="I2" s="3" t="str">
        <f t="shared" si="0"/>
        <v>sem</v>
      </c>
      <c r="J2" s="3" t="str">
        <f t="shared" si="0"/>
        <v>sem</v>
      </c>
      <c r="K2" s="3" t="str">
        <f t="shared" si="0"/>
        <v>sem</v>
      </c>
      <c r="L2" s="3" t="str">
        <f t="shared" si="0"/>
        <v>sem</v>
      </c>
      <c r="M2" s="3" t="str">
        <f t="shared" si="0"/>
        <v>sem</v>
      </c>
      <c r="N2" s="3" t="str">
        <f t="shared" si="0"/>
        <v>sem</v>
      </c>
      <c r="O2" s="3" t="str">
        <f t="shared" si="0"/>
        <v>sem</v>
      </c>
      <c r="P2" s="3" t="str">
        <f t="shared" si="0"/>
        <v>sem</v>
      </c>
      <c r="Q2" s="3" t="str">
        <f t="shared" si="0"/>
        <v>sem</v>
      </c>
      <c r="R2" s="3" t="str">
        <f t="shared" si="0"/>
        <v>sem</v>
      </c>
      <c r="S2" s="3" t="str">
        <f t="shared" si="0"/>
        <v>sem</v>
      </c>
      <c r="T2" s="3" t="str">
        <f t="shared" si="0"/>
        <v>sem</v>
      </c>
      <c r="U2" s="3" t="str">
        <f t="shared" si="0"/>
        <v>sem</v>
      </c>
      <c r="V2" s="3" t="str">
        <f t="shared" si="0"/>
        <v>sem</v>
      </c>
      <c r="W2" s="3" t="str">
        <f t="shared" si="0"/>
        <v>sem</v>
      </c>
      <c r="X2" s="3" t="str">
        <f t="shared" si="0"/>
        <v>sem</v>
      </c>
      <c r="Y2" s="3" t="str">
        <f t="shared" si="0"/>
        <v>sem</v>
      </c>
      <c r="Z2" s="3" t="str">
        <f t="shared" si="0"/>
        <v>sem</v>
      </c>
      <c r="AA2" s="3" t="str">
        <f t="shared" si="0"/>
        <v>sem</v>
      </c>
      <c r="AB2" s="3" t="str">
        <f t="shared" si="0"/>
        <v>sem</v>
      </c>
      <c r="AC2" s="3" t="str">
        <f t="shared" si="0"/>
        <v>sem</v>
      </c>
      <c r="AD2" s="3" t="str">
        <f t="shared" si="0"/>
        <v>sem</v>
      </c>
      <c r="AE2" s="4" t="str">
        <f t="shared" si="0"/>
        <v>sem</v>
      </c>
    </row>
    <row r="3" spans="1:35" x14ac:dyDescent="0.25">
      <c r="D3" s="5" t="str">
        <f t="shared" ref="D3:AE3" si="1">TEXT(D4,"ddd")</f>
        <v>Thu</v>
      </c>
      <c r="E3" s="5" t="str">
        <f t="shared" si="1"/>
        <v>Fri</v>
      </c>
      <c r="F3" s="5" t="str">
        <f t="shared" si="1"/>
        <v>Sat</v>
      </c>
      <c r="G3" s="5" t="str">
        <f t="shared" si="1"/>
        <v>Sun</v>
      </c>
      <c r="H3" s="5" t="str">
        <f t="shared" si="1"/>
        <v>Mon</v>
      </c>
      <c r="I3" s="5" t="str">
        <f t="shared" si="1"/>
        <v>Tue</v>
      </c>
      <c r="J3" s="5" t="str">
        <f t="shared" si="1"/>
        <v>Wed</v>
      </c>
      <c r="K3" s="5" t="str">
        <f t="shared" si="1"/>
        <v>Thu</v>
      </c>
      <c r="L3" s="5" t="str">
        <f t="shared" si="1"/>
        <v>Fri</v>
      </c>
      <c r="M3" s="5" t="str">
        <f t="shared" si="1"/>
        <v>Sat</v>
      </c>
      <c r="N3" s="5" t="str">
        <f t="shared" si="1"/>
        <v>Sun</v>
      </c>
      <c r="O3" s="5" t="str">
        <f t="shared" si="1"/>
        <v>Mon</v>
      </c>
      <c r="P3" s="5" t="str">
        <f t="shared" si="1"/>
        <v>Tue</v>
      </c>
      <c r="Q3" s="5" t="str">
        <f t="shared" si="1"/>
        <v>Wed</v>
      </c>
      <c r="R3" s="5" t="str">
        <f t="shared" si="1"/>
        <v>Thu</v>
      </c>
      <c r="S3" s="5" t="str">
        <f t="shared" si="1"/>
        <v>Fri</v>
      </c>
      <c r="T3" s="5" t="str">
        <f t="shared" si="1"/>
        <v>Sat</v>
      </c>
      <c r="U3" s="5" t="str">
        <f t="shared" si="1"/>
        <v>Sun</v>
      </c>
      <c r="V3" s="5" t="str">
        <f t="shared" si="1"/>
        <v>Mon</v>
      </c>
      <c r="W3" s="5" t="str">
        <f t="shared" si="1"/>
        <v>Tue</v>
      </c>
      <c r="X3" s="5" t="str">
        <f t="shared" si="1"/>
        <v>Wed</v>
      </c>
      <c r="Y3" s="5" t="str">
        <f t="shared" si="1"/>
        <v>Thu</v>
      </c>
      <c r="Z3" s="5" t="str">
        <f t="shared" si="1"/>
        <v>Fri</v>
      </c>
      <c r="AA3" s="5" t="str">
        <f t="shared" si="1"/>
        <v>Sat</v>
      </c>
      <c r="AB3" s="5" t="str">
        <f t="shared" si="1"/>
        <v>Sun</v>
      </c>
      <c r="AC3" s="5" t="str">
        <f t="shared" si="1"/>
        <v>Mon</v>
      </c>
      <c r="AD3" s="5" t="str">
        <f t="shared" si="1"/>
        <v>Tue</v>
      </c>
      <c r="AE3" s="6" t="str">
        <f t="shared" si="1"/>
        <v>Wed</v>
      </c>
      <c r="AH3" s="7" t="s">
        <v>0</v>
      </c>
      <c r="AI3" s="7" t="s">
        <v>1</v>
      </c>
    </row>
    <row r="4" spans="1:35" x14ac:dyDescent="0.25">
      <c r="D4" s="8">
        <f>DATE($AH$4,$AI$4,1)</f>
        <v>43132</v>
      </c>
      <c r="E4" s="8">
        <f t="shared" ref="E4:AE4" si="2">D4+1</f>
        <v>43133</v>
      </c>
      <c r="F4" s="8">
        <f t="shared" si="2"/>
        <v>43134</v>
      </c>
      <c r="G4" s="8">
        <f t="shared" si="2"/>
        <v>43135</v>
      </c>
      <c r="H4" s="8">
        <f t="shared" si="2"/>
        <v>43136</v>
      </c>
      <c r="I4" s="8">
        <f t="shared" si="2"/>
        <v>43137</v>
      </c>
      <c r="J4" s="8">
        <f t="shared" si="2"/>
        <v>43138</v>
      </c>
      <c r="K4" s="8">
        <f t="shared" si="2"/>
        <v>43139</v>
      </c>
      <c r="L4" s="8">
        <f t="shared" si="2"/>
        <v>43140</v>
      </c>
      <c r="M4" s="8">
        <f t="shared" si="2"/>
        <v>43141</v>
      </c>
      <c r="N4" s="8">
        <f t="shared" si="2"/>
        <v>43142</v>
      </c>
      <c r="O4" s="8">
        <f t="shared" si="2"/>
        <v>43143</v>
      </c>
      <c r="P4" s="8">
        <f t="shared" si="2"/>
        <v>43144</v>
      </c>
      <c r="Q4" s="8">
        <f t="shared" si="2"/>
        <v>43145</v>
      </c>
      <c r="R4" s="8">
        <f t="shared" si="2"/>
        <v>43146</v>
      </c>
      <c r="S4" s="8">
        <f t="shared" si="2"/>
        <v>43147</v>
      </c>
      <c r="T4" s="8">
        <f t="shared" si="2"/>
        <v>43148</v>
      </c>
      <c r="U4" s="8">
        <f t="shared" si="2"/>
        <v>43149</v>
      </c>
      <c r="V4" s="8">
        <f t="shared" si="2"/>
        <v>43150</v>
      </c>
      <c r="W4" s="8">
        <f t="shared" si="2"/>
        <v>43151</v>
      </c>
      <c r="X4" s="8">
        <f t="shared" si="2"/>
        <v>43152</v>
      </c>
      <c r="Y4" s="8">
        <f t="shared" si="2"/>
        <v>43153</v>
      </c>
      <c r="Z4" s="8">
        <f t="shared" si="2"/>
        <v>43154</v>
      </c>
      <c r="AA4" s="8">
        <f t="shared" si="2"/>
        <v>43155</v>
      </c>
      <c r="AB4" s="8">
        <f t="shared" si="2"/>
        <v>43156</v>
      </c>
      <c r="AC4" s="8">
        <f t="shared" si="2"/>
        <v>43157</v>
      </c>
      <c r="AD4" s="8">
        <f t="shared" si="2"/>
        <v>43158</v>
      </c>
      <c r="AE4" s="10">
        <f t="shared" si="2"/>
        <v>43159</v>
      </c>
      <c r="AH4" s="7">
        <v>2018</v>
      </c>
      <c r="AI4" s="7">
        <v>2</v>
      </c>
    </row>
    <row r="5" spans="1:35" x14ac:dyDescent="0.25">
      <c r="A5" s="11" t="s">
        <v>4</v>
      </c>
      <c r="B5" s="11" t="s">
        <v>13</v>
      </c>
      <c r="C5" s="12" t="s">
        <v>16</v>
      </c>
      <c r="D5" s="15">
        <f t="shared" ref="D5:AE5" si="3">SUM(D6:D24)</f>
        <v>0</v>
      </c>
      <c r="E5" s="15">
        <f t="shared" si="3"/>
        <v>113.9</v>
      </c>
      <c r="F5" s="15">
        <f t="shared" si="3"/>
        <v>0</v>
      </c>
      <c r="G5" s="15">
        <f t="shared" si="3"/>
        <v>0</v>
      </c>
      <c r="H5" s="15">
        <f t="shared" si="3"/>
        <v>0</v>
      </c>
      <c r="I5" s="15">
        <f t="shared" si="3"/>
        <v>39.82</v>
      </c>
      <c r="J5" s="15">
        <f t="shared" si="3"/>
        <v>9.1999999999999993</v>
      </c>
      <c r="K5" s="15">
        <f t="shared" si="3"/>
        <v>26.9</v>
      </c>
      <c r="L5" s="15">
        <f t="shared" si="3"/>
        <v>0</v>
      </c>
      <c r="M5" s="15">
        <f t="shared" si="3"/>
        <v>0</v>
      </c>
      <c r="N5" s="15">
        <f t="shared" si="3"/>
        <v>0</v>
      </c>
      <c r="O5" s="15">
        <f t="shared" si="3"/>
        <v>114.99</v>
      </c>
      <c r="P5" s="15">
        <f t="shared" si="3"/>
        <v>17.86</v>
      </c>
      <c r="Q5" s="15">
        <f t="shared" si="3"/>
        <v>17.399999999999999</v>
      </c>
      <c r="R5" s="15">
        <f t="shared" si="3"/>
        <v>49.3</v>
      </c>
      <c r="S5" s="15">
        <f t="shared" si="3"/>
        <v>76.099999999999994</v>
      </c>
      <c r="T5" s="15">
        <f t="shared" si="3"/>
        <v>0</v>
      </c>
      <c r="U5" s="15">
        <f t="shared" si="3"/>
        <v>0</v>
      </c>
      <c r="V5" s="15">
        <f t="shared" si="3"/>
        <v>23.9</v>
      </c>
      <c r="W5" s="15">
        <f t="shared" si="3"/>
        <v>0</v>
      </c>
      <c r="X5" s="15">
        <f t="shared" si="3"/>
        <v>6.92</v>
      </c>
      <c r="Y5" s="15">
        <f t="shared" si="3"/>
        <v>114</v>
      </c>
      <c r="Z5" s="15">
        <f t="shared" si="3"/>
        <v>0</v>
      </c>
      <c r="AA5" s="15">
        <f t="shared" si="3"/>
        <v>0</v>
      </c>
      <c r="AB5" s="15">
        <f t="shared" si="3"/>
        <v>0</v>
      </c>
      <c r="AC5" s="15">
        <f t="shared" si="3"/>
        <v>17.28</v>
      </c>
      <c r="AD5" s="15">
        <f t="shared" si="3"/>
        <v>9.9</v>
      </c>
      <c r="AE5" s="15">
        <f t="shared" si="3"/>
        <v>0</v>
      </c>
    </row>
    <row r="6" spans="1:35" x14ac:dyDescent="0.25">
      <c r="A6" s="19" t="s">
        <v>19</v>
      </c>
      <c r="B6" s="11" t="s">
        <v>20</v>
      </c>
      <c r="C6" s="15">
        <f t="shared" ref="C6:C24" si="4">SUM(D6:AE6)</f>
        <v>119.69999999999999</v>
      </c>
      <c r="D6" s="20"/>
      <c r="E6" s="20">
        <v>7.9</v>
      </c>
      <c r="F6" s="20"/>
      <c r="G6" s="20"/>
      <c r="H6" s="20"/>
      <c r="I6" s="20">
        <v>11.5</v>
      </c>
      <c r="J6" s="20">
        <v>9.1999999999999993</v>
      </c>
      <c r="K6" s="20"/>
      <c r="L6" s="20"/>
      <c r="M6" s="20"/>
      <c r="N6" s="20"/>
      <c r="O6" s="20"/>
      <c r="P6" s="20"/>
      <c r="Q6" s="20"/>
      <c r="R6" s="20"/>
      <c r="S6" s="20">
        <v>76.099999999999994</v>
      </c>
      <c r="T6" s="20"/>
      <c r="U6" s="20"/>
      <c r="V6" s="20">
        <v>15</v>
      </c>
      <c r="W6" s="20"/>
      <c r="X6" s="20"/>
      <c r="Y6" s="20"/>
      <c r="Z6" s="20"/>
      <c r="AA6" s="20"/>
      <c r="AB6" s="20"/>
      <c r="AC6" s="20"/>
      <c r="AD6" s="20"/>
      <c r="AE6" s="21"/>
    </row>
    <row r="7" spans="1:35" x14ac:dyDescent="0.25">
      <c r="A7" s="19" t="s">
        <v>19</v>
      </c>
      <c r="B7" s="11" t="s">
        <v>21</v>
      </c>
      <c r="C7" s="15">
        <f t="shared" si="4"/>
        <v>9.9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>
        <v>9.9</v>
      </c>
      <c r="AE7" s="21"/>
    </row>
    <row r="8" spans="1:35" x14ac:dyDescent="0.25">
      <c r="A8" s="19" t="s">
        <v>19</v>
      </c>
      <c r="B8" s="11" t="s">
        <v>22</v>
      </c>
      <c r="C8" s="15">
        <f t="shared" si="4"/>
        <v>23.35</v>
      </c>
      <c r="D8" s="20"/>
      <c r="E8" s="20">
        <v>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>
        <v>3.35</v>
      </c>
      <c r="Y8" s="20">
        <v>14</v>
      </c>
      <c r="Z8" s="20"/>
      <c r="AA8" s="20"/>
      <c r="AB8" s="20"/>
      <c r="AC8" s="20"/>
      <c r="AD8" s="20"/>
      <c r="AE8" s="21"/>
    </row>
    <row r="9" spans="1:35" x14ac:dyDescent="0.25">
      <c r="A9" s="19" t="s">
        <v>19</v>
      </c>
      <c r="B9" s="11" t="s">
        <v>23</v>
      </c>
      <c r="C9" s="15">
        <f t="shared" si="4"/>
        <v>0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1"/>
    </row>
    <row r="10" spans="1:35" x14ac:dyDescent="0.25">
      <c r="A10" s="19" t="s">
        <v>19</v>
      </c>
      <c r="B10" s="11" t="s">
        <v>24</v>
      </c>
      <c r="C10" s="15">
        <f t="shared" si="4"/>
        <v>69.289999999999992</v>
      </c>
      <c r="D10" s="20"/>
      <c r="E10" s="20"/>
      <c r="F10" s="20"/>
      <c r="G10" s="20"/>
      <c r="H10" s="20"/>
      <c r="I10" s="20">
        <v>13.88</v>
      </c>
      <c r="J10" s="20"/>
      <c r="K10" s="20"/>
      <c r="L10" s="20"/>
      <c r="M10" s="20"/>
      <c r="N10" s="20"/>
      <c r="O10" s="20">
        <v>14.99</v>
      </c>
      <c r="P10" s="20"/>
      <c r="Q10" s="20"/>
      <c r="R10" s="20">
        <v>27.95</v>
      </c>
      <c r="S10" s="20"/>
      <c r="T10" s="20"/>
      <c r="U10" s="20"/>
      <c r="V10" s="20">
        <v>8.9</v>
      </c>
      <c r="W10" s="20"/>
      <c r="X10" s="20">
        <v>3.57</v>
      </c>
      <c r="Y10" s="20"/>
      <c r="Z10" s="20"/>
      <c r="AA10" s="20"/>
      <c r="AB10" s="20"/>
      <c r="AC10" s="20"/>
      <c r="AD10" s="20"/>
      <c r="AE10" s="21"/>
    </row>
    <row r="11" spans="1:35" x14ac:dyDescent="0.25">
      <c r="A11" s="11" t="s">
        <v>26</v>
      </c>
      <c r="B11" s="11" t="s">
        <v>27</v>
      </c>
      <c r="C11" s="15">
        <f t="shared" si="4"/>
        <v>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1"/>
    </row>
    <row r="12" spans="1:35" x14ac:dyDescent="0.25">
      <c r="A12" s="11" t="s">
        <v>26</v>
      </c>
      <c r="B12" s="11" t="s">
        <v>28</v>
      </c>
      <c r="C12" s="15">
        <f t="shared" si="4"/>
        <v>140.13999999999999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>
        <v>100</v>
      </c>
      <c r="P12" s="20">
        <v>17.86</v>
      </c>
      <c r="Q12" s="20">
        <v>5</v>
      </c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>
        <v>17.28</v>
      </c>
      <c r="AD12" s="20"/>
      <c r="AE12" s="21"/>
    </row>
    <row r="13" spans="1:35" x14ac:dyDescent="0.25">
      <c r="A13" s="11" t="s">
        <v>26</v>
      </c>
      <c r="B13" s="11" t="s">
        <v>29</v>
      </c>
      <c r="C13" s="15">
        <f t="shared" si="4"/>
        <v>39.299999999999997</v>
      </c>
      <c r="D13" s="20"/>
      <c r="E13" s="20"/>
      <c r="F13" s="20"/>
      <c r="G13" s="20"/>
      <c r="H13" s="20"/>
      <c r="I13" s="20"/>
      <c r="J13" s="20"/>
      <c r="K13" s="20">
        <v>26.9</v>
      </c>
      <c r="L13" s="20"/>
      <c r="M13" s="20"/>
      <c r="N13" s="20"/>
      <c r="O13" s="20"/>
      <c r="P13" s="20"/>
      <c r="Q13" s="20">
        <v>12.4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1"/>
    </row>
    <row r="14" spans="1:35" x14ac:dyDescent="0.25">
      <c r="A14" s="19" t="s">
        <v>30</v>
      </c>
      <c r="B14" s="11" t="s">
        <v>31</v>
      </c>
      <c r="C14" s="15">
        <f t="shared" si="4"/>
        <v>100</v>
      </c>
      <c r="D14" s="20"/>
      <c r="E14" s="20">
        <v>100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8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1"/>
    </row>
    <row r="15" spans="1:35" x14ac:dyDescent="0.25">
      <c r="A15" s="19" t="s">
        <v>30</v>
      </c>
      <c r="B15" s="11" t="s">
        <v>32</v>
      </c>
      <c r="C15" s="15">
        <f t="shared" si="4"/>
        <v>21.35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>
        <v>21.35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1"/>
    </row>
    <row r="16" spans="1:35" x14ac:dyDescent="0.25">
      <c r="A16" s="19" t="s">
        <v>30</v>
      </c>
      <c r="B16" s="11" t="s">
        <v>33</v>
      </c>
      <c r="C16" s="15">
        <f t="shared" si="4"/>
        <v>14.44</v>
      </c>
      <c r="D16" s="20"/>
      <c r="E16" s="20"/>
      <c r="F16" s="20"/>
      <c r="G16" s="20"/>
      <c r="H16" s="20"/>
      <c r="I16" s="20">
        <v>14.44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1"/>
    </row>
    <row r="17" spans="1:31" x14ac:dyDescent="0.25">
      <c r="A17" s="19" t="s">
        <v>26</v>
      </c>
      <c r="B17" s="11" t="s">
        <v>34</v>
      </c>
      <c r="C17" s="15">
        <f t="shared" si="4"/>
        <v>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1"/>
    </row>
    <row r="18" spans="1:31" x14ac:dyDescent="0.25">
      <c r="A18" s="19" t="s">
        <v>26</v>
      </c>
      <c r="B18" s="11" t="s">
        <v>35</v>
      </c>
      <c r="C18" s="15">
        <f t="shared" si="4"/>
        <v>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1"/>
    </row>
    <row r="19" spans="1:31" x14ac:dyDescent="0.25">
      <c r="A19" s="19" t="s">
        <v>26</v>
      </c>
      <c r="B19" s="11" t="s">
        <v>36</v>
      </c>
      <c r="C19" s="15">
        <f t="shared" si="4"/>
        <v>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1"/>
    </row>
    <row r="20" spans="1:31" x14ac:dyDescent="0.25">
      <c r="A20" s="19" t="s">
        <v>26</v>
      </c>
      <c r="B20" s="11" t="s">
        <v>37</v>
      </c>
      <c r="C20" s="15">
        <f t="shared" si="4"/>
        <v>100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>
        <v>100</v>
      </c>
      <c r="Z20" s="20"/>
      <c r="AA20" s="20"/>
      <c r="AB20" s="20"/>
      <c r="AC20" s="20"/>
      <c r="AD20" s="20"/>
      <c r="AE20" s="21"/>
    </row>
    <row r="21" spans="1:31" ht="15.75" customHeight="1" x14ac:dyDescent="0.25">
      <c r="A21" s="19" t="s">
        <v>26</v>
      </c>
      <c r="B21" s="11" t="s">
        <v>39</v>
      </c>
      <c r="C21" s="15">
        <f t="shared" si="4"/>
        <v>0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1"/>
    </row>
    <row r="22" spans="1:31" ht="15.75" customHeight="1" x14ac:dyDescent="0.25">
      <c r="A22" s="19" t="s">
        <v>26</v>
      </c>
      <c r="B22" s="11" t="s">
        <v>40</v>
      </c>
      <c r="C22" s="15">
        <f t="shared" si="4"/>
        <v>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1"/>
    </row>
    <row r="23" spans="1:31" ht="15.75" customHeight="1" x14ac:dyDescent="0.25">
      <c r="A23" s="19" t="s">
        <v>26</v>
      </c>
      <c r="B23" s="11" t="s">
        <v>41</v>
      </c>
      <c r="C23" s="15">
        <f t="shared" si="4"/>
        <v>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1"/>
    </row>
    <row r="24" spans="1:31" ht="15.75" customHeight="1" x14ac:dyDescent="0.25">
      <c r="A24" s="19" t="s">
        <v>26</v>
      </c>
      <c r="B24" s="31" t="s">
        <v>42</v>
      </c>
      <c r="C24" s="32">
        <f t="shared" si="4"/>
        <v>0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4"/>
    </row>
    <row r="25" spans="1:31" ht="15.75" customHeight="1" x14ac:dyDescent="0.25">
      <c r="B25" s="1"/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31" ht="15.75" customHeight="1" x14ac:dyDescent="0.25">
      <c r="A26" s="19" t="s">
        <v>44</v>
      </c>
      <c r="B26" s="11" t="s">
        <v>44</v>
      </c>
      <c r="C26" s="15">
        <f>SUM(D26:AE26)</f>
        <v>932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0.8</v>
      </c>
      <c r="M26" s="20">
        <v>0</v>
      </c>
      <c r="N26" s="20">
        <v>0</v>
      </c>
      <c r="O26" s="20">
        <v>0</v>
      </c>
      <c r="P26" s="20">
        <v>0</v>
      </c>
      <c r="Q26" s="20">
        <v>527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400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1">
        <v>4.2</v>
      </c>
    </row>
    <row r="27" spans="1:31" ht="15.75" customHeight="1" x14ac:dyDescent="0.25"/>
    <row r="28" spans="1:31" ht="15.75" customHeight="1" x14ac:dyDescent="0.25">
      <c r="B28" s="35" t="s">
        <v>45</v>
      </c>
      <c r="C28" s="36">
        <f>SUM(C6:C24)</f>
        <v>637.47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31" ht="15.75" customHeight="1" x14ac:dyDescent="0.25">
      <c r="B29" s="11" t="s">
        <v>47</v>
      </c>
      <c r="C29" s="15">
        <f>C26-C28</f>
        <v>294.52999999999997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31" ht="15.75" customHeight="1" x14ac:dyDescent="0.25">
      <c r="B30" s="1"/>
      <c r="C30" s="1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31" ht="15.75" customHeight="1" x14ac:dyDescent="0.25">
      <c r="B31" s="1"/>
      <c r="C31" s="1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31" ht="15.75" customHeight="1" x14ac:dyDescent="0.25">
      <c r="B32" s="1"/>
      <c r="C32" s="1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ht="15.75" customHeight="1" x14ac:dyDescent="0.25">
      <c r="B33" s="1"/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ht="15.75" customHeight="1" x14ac:dyDescent="0.25">
      <c r="B34" s="1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ht="15.75" customHeight="1" x14ac:dyDescent="0.25">
      <c r="B35" s="1"/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ht="15.75" customHeight="1" x14ac:dyDescent="0.25">
      <c r="B36" s="1"/>
      <c r="C36" s="1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ht="15.75" customHeight="1" x14ac:dyDescent="0.25">
      <c r="B37" s="1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ht="15.75" customHeight="1" x14ac:dyDescent="0.25">
      <c r="B38" s="1"/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ht="15.75" customHeight="1" x14ac:dyDescent="0.25">
      <c r="B39" s="1"/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ht="15.75" customHeight="1" x14ac:dyDescent="0.25">
      <c r="B40" s="1"/>
      <c r="C40" s="1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ht="15.75" customHeight="1" x14ac:dyDescent="0.25"/>
    <row r="42" spans="2:18" ht="15.75" customHeight="1" x14ac:dyDescent="0.25"/>
    <row r="43" spans="2:18" ht="15.75" customHeight="1" x14ac:dyDescent="0.25"/>
    <row r="44" spans="2:18" ht="15.75" customHeight="1" x14ac:dyDescent="0.25"/>
    <row r="45" spans="2:18" ht="15.75" customHeight="1" x14ac:dyDescent="0.25"/>
    <row r="46" spans="2:18" ht="15.75" customHeight="1" x14ac:dyDescent="0.25"/>
    <row r="47" spans="2:18" ht="15.75" customHeight="1" x14ac:dyDescent="0.25"/>
    <row r="48" spans="2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29">
    <cfRule type="cellIs" dxfId="162" priority="1" operator="greaterThan">
      <formula>0</formula>
    </cfRule>
  </conditionalFormatting>
  <conditionalFormatting sqref="C29">
    <cfRule type="cellIs" dxfId="161" priority="2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/>
  </sheetViews>
  <sheetFormatPr defaultColWidth="14.42578125" defaultRowHeight="15" customHeight="1" x14ac:dyDescent="0.25"/>
  <cols>
    <col min="1" max="1" width="18.5703125" customWidth="1"/>
    <col min="2" max="2" width="8" customWidth="1"/>
    <col min="3" max="3" width="6" customWidth="1"/>
    <col min="4" max="4" width="3" customWidth="1"/>
    <col min="5" max="6" width="2" customWidth="1"/>
    <col min="7" max="7" width="5" customWidth="1"/>
    <col min="8" max="8" width="4" customWidth="1"/>
    <col min="9" max="9" width="6" customWidth="1"/>
    <col min="10" max="10" width="5" customWidth="1"/>
    <col min="11" max="11" width="6" customWidth="1"/>
    <col min="12" max="13" width="4" customWidth="1"/>
    <col min="14" max="14" width="6" customWidth="1"/>
    <col min="15" max="15" width="5" customWidth="1"/>
    <col min="16" max="17" width="6" customWidth="1"/>
    <col min="18" max="18" width="5" customWidth="1"/>
    <col min="19" max="20" width="4" customWidth="1"/>
    <col min="21" max="21" width="5" customWidth="1"/>
    <col min="22" max="22" width="6" customWidth="1"/>
    <col min="23" max="27" width="3" customWidth="1"/>
    <col min="28" max="28" width="4" customWidth="1"/>
    <col min="29" max="29" width="5" customWidth="1"/>
    <col min="30" max="30" width="6" customWidth="1"/>
    <col min="31" max="31" width="4" customWidth="1"/>
    <col min="32" max="32" width="5" customWidth="1"/>
    <col min="33" max="33" width="3" customWidth="1"/>
  </cols>
  <sheetData>
    <row r="1" spans="1:33" x14ac:dyDescent="0.25">
      <c r="A1" s="38" t="s">
        <v>45</v>
      </c>
      <c r="B1" s="39">
        <f>SUM(B4:B17)</f>
        <v>1028.5900000000001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8" t="s">
        <v>47</v>
      </c>
      <c r="B2" s="12">
        <f>B3-B1</f>
        <v>-94.410000000000082</v>
      </c>
      <c r="C2" s="12">
        <v>1</v>
      </c>
      <c r="D2" s="12">
        <f t="shared" ref="D2:AG2" si="0">C2+1</f>
        <v>2</v>
      </c>
      <c r="E2" s="12">
        <f t="shared" si="0"/>
        <v>3</v>
      </c>
      <c r="F2" s="12">
        <f t="shared" si="0"/>
        <v>4</v>
      </c>
      <c r="G2" s="12">
        <f t="shared" si="0"/>
        <v>5</v>
      </c>
      <c r="H2" s="12">
        <f t="shared" si="0"/>
        <v>6</v>
      </c>
      <c r="I2" s="12">
        <f t="shared" si="0"/>
        <v>7</v>
      </c>
      <c r="J2" s="12">
        <f t="shared" si="0"/>
        <v>8</v>
      </c>
      <c r="K2" s="12">
        <f t="shared" si="0"/>
        <v>9</v>
      </c>
      <c r="L2" s="12">
        <f t="shared" si="0"/>
        <v>10</v>
      </c>
      <c r="M2" s="12">
        <f t="shared" si="0"/>
        <v>11</v>
      </c>
      <c r="N2" s="12">
        <f t="shared" si="0"/>
        <v>12</v>
      </c>
      <c r="O2" s="12">
        <f t="shared" si="0"/>
        <v>13</v>
      </c>
      <c r="P2" s="12">
        <f t="shared" si="0"/>
        <v>14</v>
      </c>
      <c r="Q2" s="12">
        <f t="shared" si="0"/>
        <v>15</v>
      </c>
      <c r="R2" s="12">
        <f t="shared" si="0"/>
        <v>16</v>
      </c>
      <c r="S2" s="12">
        <f t="shared" si="0"/>
        <v>17</v>
      </c>
      <c r="T2" s="12">
        <f t="shared" si="0"/>
        <v>18</v>
      </c>
      <c r="U2" s="12">
        <f t="shared" si="0"/>
        <v>19</v>
      </c>
      <c r="V2" s="12">
        <f t="shared" si="0"/>
        <v>20</v>
      </c>
      <c r="W2" s="12">
        <f t="shared" si="0"/>
        <v>21</v>
      </c>
      <c r="X2" s="12">
        <f t="shared" si="0"/>
        <v>22</v>
      </c>
      <c r="Y2" s="12">
        <f t="shared" si="0"/>
        <v>23</v>
      </c>
      <c r="Z2" s="12">
        <f t="shared" si="0"/>
        <v>24</v>
      </c>
      <c r="AA2" s="12">
        <f t="shared" si="0"/>
        <v>25</v>
      </c>
      <c r="AB2" s="12">
        <f t="shared" si="0"/>
        <v>26</v>
      </c>
      <c r="AC2" s="12">
        <f t="shared" si="0"/>
        <v>27</v>
      </c>
      <c r="AD2" s="12">
        <f t="shared" si="0"/>
        <v>28</v>
      </c>
      <c r="AE2" s="12">
        <f t="shared" si="0"/>
        <v>29</v>
      </c>
      <c r="AF2" s="12">
        <f t="shared" si="0"/>
        <v>30</v>
      </c>
      <c r="AG2" s="12">
        <f t="shared" si="0"/>
        <v>31</v>
      </c>
    </row>
    <row r="3" spans="1:33" x14ac:dyDescent="0.25">
      <c r="A3" s="38" t="s">
        <v>48</v>
      </c>
      <c r="B3" s="12">
        <f t="shared" ref="B3:B17" si="1">SUM(C3:AG3)</f>
        <v>934.18000000000006</v>
      </c>
      <c r="C3" s="1"/>
      <c r="D3" s="1"/>
      <c r="E3" s="1"/>
      <c r="F3" s="1"/>
      <c r="G3" s="1"/>
      <c r="H3" s="1">
        <v>527</v>
      </c>
      <c r="I3" s="1">
        <v>4.2</v>
      </c>
      <c r="J3" s="1"/>
      <c r="K3" s="1"/>
      <c r="L3" s="1"/>
      <c r="M3" s="1"/>
      <c r="N3" s="1"/>
      <c r="O3" s="1">
        <v>0.57999999999999996</v>
      </c>
      <c r="P3" s="1">
        <v>2.31</v>
      </c>
      <c r="Q3" s="1"/>
      <c r="R3" s="1">
        <v>0.09</v>
      </c>
      <c r="S3" s="1"/>
      <c r="T3" s="1"/>
      <c r="U3" s="1"/>
      <c r="V3" s="1">
        <v>400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38" t="s">
        <v>49</v>
      </c>
      <c r="B4" s="12">
        <f t="shared" si="1"/>
        <v>222.85000000000002</v>
      </c>
      <c r="C4" s="1">
        <v>8.5</v>
      </c>
      <c r="D4" s="1">
        <v>16</v>
      </c>
      <c r="E4" s="1"/>
      <c r="F4" s="1"/>
      <c r="G4" s="1"/>
      <c r="H4" s="1"/>
      <c r="I4" s="1"/>
      <c r="J4" s="1"/>
      <c r="K4" s="1"/>
      <c r="L4" s="1">
        <f>13.5-8</f>
        <v>5.5</v>
      </c>
      <c r="M4" s="1"/>
      <c r="N4" s="1">
        <v>29.65</v>
      </c>
      <c r="O4" s="1">
        <v>16.899999999999999</v>
      </c>
      <c r="P4" s="1"/>
      <c r="Q4" s="1"/>
      <c r="R4" s="1"/>
      <c r="S4" s="1">
        <v>9.9</v>
      </c>
      <c r="T4" s="1">
        <v>8.5</v>
      </c>
      <c r="U4" s="1">
        <f>6+10+13.2+16.9</f>
        <v>46.099999999999994</v>
      </c>
      <c r="V4" s="1"/>
      <c r="W4" s="1"/>
      <c r="X4" s="1"/>
      <c r="Y4" s="1">
        <f>54/3</f>
        <v>18</v>
      </c>
      <c r="Z4" s="1"/>
      <c r="AA4" s="1"/>
      <c r="AB4" s="1">
        <v>39</v>
      </c>
      <c r="AC4" s="1"/>
      <c r="AD4" s="1">
        <v>20</v>
      </c>
      <c r="AE4" s="1">
        <v>4.8</v>
      </c>
      <c r="AF4" s="1"/>
      <c r="AG4" s="1"/>
    </row>
    <row r="5" spans="1:33" x14ac:dyDescent="0.25">
      <c r="A5" s="38" t="s">
        <v>30</v>
      </c>
      <c r="B5" s="12">
        <f t="shared" si="1"/>
        <v>175</v>
      </c>
      <c r="C5" s="1">
        <v>100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>
        <v>50</v>
      </c>
      <c r="AC5" s="1">
        <v>10</v>
      </c>
      <c r="AD5" s="1"/>
      <c r="AE5" s="1"/>
      <c r="AF5" s="1"/>
      <c r="AG5" s="1"/>
    </row>
    <row r="6" spans="1:33" x14ac:dyDescent="0.25">
      <c r="A6" s="38" t="s">
        <v>33</v>
      </c>
      <c r="B6" s="12">
        <f t="shared" si="1"/>
        <v>15.17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v>15.17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38" t="s">
        <v>27</v>
      </c>
      <c r="B7" s="12">
        <f t="shared" si="1"/>
        <v>36.29</v>
      </c>
      <c r="C7" s="1">
        <v>7.64</v>
      </c>
      <c r="D7" s="1"/>
      <c r="E7" s="1"/>
      <c r="F7" s="1"/>
      <c r="G7" s="1"/>
      <c r="H7" s="1"/>
      <c r="I7" s="1">
        <v>28.65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38" t="s">
        <v>28</v>
      </c>
      <c r="B8" s="12">
        <f t="shared" si="1"/>
        <v>106.5</v>
      </c>
      <c r="C8" s="1"/>
      <c r="D8" s="1">
        <v>19</v>
      </c>
      <c r="E8" s="1"/>
      <c r="F8" s="1"/>
      <c r="G8" s="1">
        <v>27.5</v>
      </c>
      <c r="H8" s="1"/>
      <c r="I8" s="1"/>
      <c r="J8" s="1"/>
      <c r="K8" s="1">
        <v>60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38" t="s">
        <v>29</v>
      </c>
      <c r="B9" s="12">
        <f t="shared" si="1"/>
        <v>138.88</v>
      </c>
      <c r="C9" s="1">
        <v>55.99</v>
      </c>
      <c r="D9" s="1"/>
      <c r="E9" s="1"/>
      <c r="F9" s="1"/>
      <c r="G9" s="1"/>
      <c r="H9" s="1"/>
      <c r="I9" s="1"/>
      <c r="J9" s="1">
        <v>26.9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55.99</v>
      </c>
      <c r="AE9" s="1"/>
      <c r="AF9" s="1"/>
      <c r="AG9" s="1"/>
    </row>
    <row r="10" spans="1:33" x14ac:dyDescent="0.25">
      <c r="A10" s="38" t="s">
        <v>22</v>
      </c>
      <c r="B10" s="12">
        <f t="shared" si="1"/>
        <v>49</v>
      </c>
      <c r="C10" s="1"/>
      <c r="D10" s="1"/>
      <c r="E10" s="1"/>
      <c r="F10" s="1"/>
      <c r="G10" s="1">
        <v>4.7</v>
      </c>
      <c r="H10" s="1">
        <v>5</v>
      </c>
      <c r="I10" s="1">
        <v>5</v>
      </c>
      <c r="J10" s="1">
        <v>2.5</v>
      </c>
      <c r="K10" s="1"/>
      <c r="L10" s="1"/>
      <c r="M10" s="1">
        <v>9.5</v>
      </c>
      <c r="N10" s="1"/>
      <c r="O10" s="1"/>
      <c r="P10" s="1"/>
      <c r="Q10" s="1"/>
      <c r="R10" s="1"/>
      <c r="S10" s="1"/>
      <c r="T10" s="1"/>
      <c r="U10" s="1"/>
      <c r="V10" s="1">
        <f>7.8+5</f>
        <v>12.8</v>
      </c>
      <c r="W10" s="1"/>
      <c r="X10" s="1"/>
      <c r="Y10" s="1">
        <v>5</v>
      </c>
      <c r="Z10" s="1"/>
      <c r="AA10" s="1"/>
      <c r="AB10" s="1">
        <v>4.5</v>
      </c>
      <c r="AC10" s="1"/>
      <c r="AD10" s="1"/>
      <c r="AE10" s="1"/>
      <c r="AF10" s="1"/>
      <c r="AG10" s="1"/>
    </row>
    <row r="11" spans="1:33" x14ac:dyDescent="0.25">
      <c r="A11" s="38" t="s">
        <v>23</v>
      </c>
      <c r="B11" s="12">
        <f t="shared" si="1"/>
        <v>21.9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21.9</v>
      </c>
      <c r="AD11" s="1"/>
      <c r="AE11" s="1"/>
      <c r="AF11" s="1"/>
      <c r="AG11" s="1"/>
    </row>
    <row r="12" spans="1:33" x14ac:dyDescent="0.25">
      <c r="A12" s="38" t="s">
        <v>50</v>
      </c>
      <c r="B12" s="12">
        <f t="shared" si="1"/>
        <v>54.9</v>
      </c>
      <c r="C12" s="1"/>
      <c r="D12" s="1"/>
      <c r="E12" s="1"/>
      <c r="F12" s="1"/>
      <c r="G12" s="1">
        <v>11.5</v>
      </c>
      <c r="H12" s="1"/>
      <c r="I12" s="1">
        <v>15.4</v>
      </c>
      <c r="J12" s="1"/>
      <c r="K12" s="1"/>
      <c r="L12" s="1"/>
      <c r="M12" s="1"/>
      <c r="N12" s="1"/>
      <c r="O12" s="1"/>
      <c r="P12" s="1">
        <v>1.35</v>
      </c>
      <c r="Q12" s="1">
        <v>4.5</v>
      </c>
      <c r="R12" s="1"/>
      <c r="S12" s="1"/>
      <c r="T12" s="1"/>
      <c r="U12" s="1"/>
      <c r="V12" s="1">
        <v>10.8</v>
      </c>
      <c r="W12" s="1">
        <v>8</v>
      </c>
      <c r="X12" s="1"/>
      <c r="Y12" s="1"/>
      <c r="Z12" s="1"/>
      <c r="AA12" s="1"/>
      <c r="AB12" s="1"/>
      <c r="AC12" s="1"/>
      <c r="AD12" s="1"/>
      <c r="AE12" s="1"/>
      <c r="AF12" s="1">
        <v>3.35</v>
      </c>
      <c r="AG12" s="1"/>
    </row>
    <row r="13" spans="1:33" x14ac:dyDescent="0.25">
      <c r="A13" s="38" t="s">
        <v>36</v>
      </c>
      <c r="B13" s="12">
        <f t="shared" si="1"/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38" t="s">
        <v>24</v>
      </c>
      <c r="B14" s="12">
        <f t="shared" si="1"/>
        <v>75.11</v>
      </c>
      <c r="C14" s="1">
        <v>24.25</v>
      </c>
      <c r="D14" s="1"/>
      <c r="E14" s="1"/>
      <c r="F14" s="1"/>
      <c r="G14" s="1"/>
      <c r="H14" s="1"/>
      <c r="I14" s="1"/>
      <c r="J14" s="1"/>
      <c r="K14" s="1">
        <v>15.87</v>
      </c>
      <c r="L14" s="1"/>
      <c r="M14" s="1"/>
      <c r="N14" s="1"/>
      <c r="O14" s="1"/>
      <c r="P14" s="1"/>
      <c r="Q14" s="1">
        <v>16.36</v>
      </c>
      <c r="R14" s="1"/>
      <c r="S14" s="1"/>
      <c r="T14" s="1"/>
      <c r="U14" s="1"/>
      <c r="V14" s="1">
        <v>13.07</v>
      </c>
      <c r="W14" s="1"/>
      <c r="X14" s="1"/>
      <c r="Y14" s="1"/>
      <c r="Z14" s="1"/>
      <c r="AA14" s="1"/>
      <c r="AB14" s="1"/>
      <c r="AC14" s="1"/>
      <c r="AD14" s="1">
        <v>5.56</v>
      </c>
      <c r="AE14" s="1"/>
      <c r="AF14" s="1"/>
      <c r="AG14" s="1"/>
    </row>
    <row r="15" spans="1:33" x14ac:dyDescent="0.25">
      <c r="A15" s="38" t="s">
        <v>37</v>
      </c>
      <c r="B15" s="12">
        <f t="shared" si="1"/>
        <v>115.99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15.99</v>
      </c>
      <c r="Q15" s="1">
        <v>100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38" t="s">
        <v>40</v>
      </c>
      <c r="B16" s="12">
        <f t="shared" si="1"/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38" t="s">
        <v>42</v>
      </c>
      <c r="B17" s="12">
        <f t="shared" si="1"/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17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33" x14ac:dyDescent="0.25">
      <c r="A19" s="1"/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33" x14ac:dyDescent="0.25">
      <c r="A20" s="1"/>
      <c r="B20" s="1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33" ht="15.75" customHeight="1" x14ac:dyDescent="0.25">
      <c r="A21" s="1"/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33" ht="15.75" customHeight="1" x14ac:dyDescent="0.25">
      <c r="A22" s="1"/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33" ht="15.75" customHeight="1" x14ac:dyDescent="0.25">
      <c r="A23" s="1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33" ht="15.75" customHeight="1" x14ac:dyDescent="0.25">
      <c r="A24" s="1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33" ht="15.75" customHeight="1" x14ac:dyDescent="0.25">
      <c r="A25" s="1"/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33" ht="15.75" customHeight="1" x14ac:dyDescent="0.25">
      <c r="A26" s="1"/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33" ht="15.75" customHeight="1" x14ac:dyDescent="0.25">
      <c r="A27" s="1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33" ht="15.75" customHeight="1" x14ac:dyDescent="0.25">
      <c r="A28" s="1"/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33" ht="15.75" customHeight="1" x14ac:dyDescent="0.25">
      <c r="A29" s="1"/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33" ht="15.75" customHeight="1" x14ac:dyDescent="0.25">
      <c r="A30" s="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33" ht="15.75" customHeight="1" x14ac:dyDescent="0.25">
      <c r="A31" s="1"/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33" ht="15.75" customHeight="1" x14ac:dyDescent="0.25">
      <c r="A32" s="1"/>
      <c r="B32" s="1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/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/>
    <row r="35" spans="1:17" ht="15.75" customHeight="1" x14ac:dyDescent="0.25"/>
    <row r="36" spans="1:17" ht="15.75" customHeight="1" x14ac:dyDescent="0.25"/>
    <row r="37" spans="1:17" ht="15.75" customHeight="1" x14ac:dyDescent="0.25"/>
    <row r="38" spans="1:17" ht="15.75" customHeight="1" x14ac:dyDescent="0.25"/>
    <row r="39" spans="1:17" ht="15.75" customHeight="1" x14ac:dyDescent="0.25"/>
    <row r="40" spans="1:17" ht="15.75" customHeight="1" x14ac:dyDescent="0.25"/>
    <row r="41" spans="1:17" ht="15.75" customHeight="1" x14ac:dyDescent="0.25"/>
    <row r="42" spans="1:17" ht="15.75" customHeight="1" x14ac:dyDescent="0.25"/>
    <row r="43" spans="1:17" ht="15.75" customHeight="1" x14ac:dyDescent="0.25"/>
    <row r="44" spans="1:17" ht="15.75" customHeight="1" x14ac:dyDescent="0.25"/>
    <row r="45" spans="1:17" ht="15.75" customHeight="1" x14ac:dyDescent="0.25"/>
    <row r="46" spans="1:17" ht="15.75" customHeight="1" x14ac:dyDescent="0.25"/>
    <row r="47" spans="1:17" ht="15.75" customHeight="1" x14ac:dyDescent="0.25"/>
    <row r="48" spans="1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workbookViewId="0"/>
  </sheetViews>
  <sheetFormatPr defaultColWidth="14.42578125" defaultRowHeight="15" customHeight="1" x14ac:dyDescent="0.25"/>
  <cols>
    <col min="1" max="1" width="18.5703125" customWidth="1"/>
    <col min="2" max="2" width="8" customWidth="1"/>
    <col min="3" max="3" width="2" customWidth="1"/>
    <col min="4" max="4" width="6" customWidth="1"/>
    <col min="5" max="5" width="5" customWidth="1"/>
    <col min="6" max="7" width="2" customWidth="1"/>
    <col min="8" max="8" width="4" customWidth="1"/>
    <col min="9" max="9" width="2" customWidth="1"/>
    <col min="10" max="11" width="6" customWidth="1"/>
    <col min="12" max="12" width="5" customWidth="1"/>
    <col min="13" max="15" width="4" customWidth="1"/>
    <col min="16" max="16" width="5" customWidth="1"/>
    <col min="17" max="17" width="3" customWidth="1"/>
    <col min="18" max="19" width="6" customWidth="1"/>
    <col min="20" max="20" width="5" customWidth="1"/>
    <col min="21" max="21" width="3" customWidth="1"/>
    <col min="22" max="22" width="6" customWidth="1"/>
    <col min="23" max="24" width="5" customWidth="1"/>
    <col min="25" max="25" width="3" customWidth="1"/>
    <col min="26" max="26" width="4" customWidth="1"/>
    <col min="27" max="27" width="6" customWidth="1"/>
    <col min="28" max="29" width="5" customWidth="1"/>
    <col min="30" max="31" width="3" customWidth="1"/>
    <col min="32" max="32" width="6" customWidth="1"/>
    <col min="33" max="33" width="3" customWidth="1"/>
  </cols>
  <sheetData>
    <row r="1" spans="1:33" x14ac:dyDescent="0.25">
      <c r="A1" s="38" t="s">
        <v>45</v>
      </c>
      <c r="B1" s="39">
        <f>SUM(B4:B17)</f>
        <v>1379.53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8" t="s">
        <v>47</v>
      </c>
      <c r="B2" s="12">
        <f>B3-B1</f>
        <v>-329.99999999999977</v>
      </c>
      <c r="C2" s="12">
        <v>1</v>
      </c>
      <c r="D2" s="12">
        <f t="shared" ref="D2:AG2" si="0">C2+1</f>
        <v>2</v>
      </c>
      <c r="E2" s="12">
        <f t="shared" si="0"/>
        <v>3</v>
      </c>
      <c r="F2" s="12">
        <f t="shared" si="0"/>
        <v>4</v>
      </c>
      <c r="G2" s="12">
        <f t="shared" si="0"/>
        <v>5</v>
      </c>
      <c r="H2" s="12">
        <f t="shared" si="0"/>
        <v>6</v>
      </c>
      <c r="I2" s="12">
        <f t="shared" si="0"/>
        <v>7</v>
      </c>
      <c r="J2" s="12">
        <f t="shared" si="0"/>
        <v>8</v>
      </c>
      <c r="K2" s="12">
        <f t="shared" si="0"/>
        <v>9</v>
      </c>
      <c r="L2" s="12">
        <f t="shared" si="0"/>
        <v>10</v>
      </c>
      <c r="M2" s="12">
        <f t="shared" si="0"/>
        <v>11</v>
      </c>
      <c r="N2" s="12">
        <f t="shared" si="0"/>
        <v>12</v>
      </c>
      <c r="O2" s="12">
        <f t="shared" si="0"/>
        <v>13</v>
      </c>
      <c r="P2" s="12">
        <f t="shared" si="0"/>
        <v>14</v>
      </c>
      <c r="Q2" s="12">
        <f t="shared" si="0"/>
        <v>15</v>
      </c>
      <c r="R2" s="12">
        <f t="shared" si="0"/>
        <v>16</v>
      </c>
      <c r="S2" s="12">
        <f t="shared" si="0"/>
        <v>17</v>
      </c>
      <c r="T2" s="12">
        <f t="shared" si="0"/>
        <v>18</v>
      </c>
      <c r="U2" s="12">
        <f t="shared" si="0"/>
        <v>19</v>
      </c>
      <c r="V2" s="12">
        <f t="shared" si="0"/>
        <v>20</v>
      </c>
      <c r="W2" s="12">
        <f t="shared" si="0"/>
        <v>21</v>
      </c>
      <c r="X2" s="12">
        <f t="shared" si="0"/>
        <v>22</v>
      </c>
      <c r="Y2" s="12">
        <f t="shared" si="0"/>
        <v>23</v>
      </c>
      <c r="Z2" s="12">
        <f t="shared" si="0"/>
        <v>24</v>
      </c>
      <c r="AA2" s="12">
        <f t="shared" si="0"/>
        <v>25</v>
      </c>
      <c r="AB2" s="12">
        <f t="shared" si="0"/>
        <v>26</v>
      </c>
      <c r="AC2" s="12">
        <f t="shared" si="0"/>
        <v>27</v>
      </c>
      <c r="AD2" s="12">
        <f t="shared" si="0"/>
        <v>28</v>
      </c>
      <c r="AE2" s="12">
        <f t="shared" si="0"/>
        <v>29</v>
      </c>
      <c r="AF2" s="12">
        <f t="shared" si="0"/>
        <v>30</v>
      </c>
      <c r="AG2" s="12">
        <f t="shared" si="0"/>
        <v>31</v>
      </c>
    </row>
    <row r="3" spans="1:33" x14ac:dyDescent="0.25">
      <c r="A3" s="38" t="s">
        <v>48</v>
      </c>
      <c r="B3" s="12">
        <f t="shared" ref="B3:B17" si="1">SUM(C3:AG3)</f>
        <v>1049.5300000000002</v>
      </c>
      <c r="C3" s="1"/>
      <c r="D3" s="1">
        <v>0</v>
      </c>
      <c r="E3" s="1">
        <v>0.02</v>
      </c>
      <c r="F3" s="1"/>
      <c r="G3" s="1"/>
      <c r="H3" s="1"/>
      <c r="I3" s="1"/>
      <c r="J3" s="1">
        <v>20</v>
      </c>
      <c r="K3" s="1"/>
      <c r="L3" s="1">
        <v>520</v>
      </c>
      <c r="M3" s="1">
        <v>40</v>
      </c>
      <c r="N3" s="1">
        <v>0.5</v>
      </c>
      <c r="O3" s="1">
        <v>0.2</v>
      </c>
      <c r="P3" s="1">
        <v>2.23</v>
      </c>
      <c r="Q3" s="1"/>
      <c r="R3" s="1">
        <v>400</v>
      </c>
      <c r="S3" s="1"/>
      <c r="T3" s="1">
        <v>0.09</v>
      </c>
      <c r="U3" s="1"/>
      <c r="V3" s="1"/>
      <c r="W3" s="1"/>
      <c r="X3" s="1"/>
      <c r="Y3" s="1"/>
      <c r="Z3" s="1"/>
      <c r="AA3" s="1">
        <v>1.49</v>
      </c>
      <c r="AB3" s="1"/>
      <c r="AC3" s="1"/>
      <c r="AD3" s="1"/>
      <c r="AE3" s="1">
        <v>65</v>
      </c>
      <c r="AF3" s="1"/>
      <c r="AG3" s="1"/>
    </row>
    <row r="4" spans="1:33" x14ac:dyDescent="0.25">
      <c r="A4" s="38" t="s">
        <v>49</v>
      </c>
      <c r="B4" s="12">
        <f t="shared" si="1"/>
        <v>363.48999999999995</v>
      </c>
      <c r="C4" s="1"/>
      <c r="D4" s="1">
        <f>33.5+20</f>
        <v>53.5</v>
      </c>
      <c r="E4" s="1">
        <v>10</v>
      </c>
      <c r="F4" s="1"/>
      <c r="G4" s="1"/>
      <c r="H4" s="1">
        <v>4.5</v>
      </c>
      <c r="I4" s="1"/>
      <c r="J4" s="1">
        <f>20+26.95</f>
        <v>46.95</v>
      </c>
      <c r="K4" s="1">
        <f>62.48+20</f>
        <v>82.47999999999999</v>
      </c>
      <c r="L4" s="1"/>
      <c r="M4" s="1"/>
      <c r="N4" s="1"/>
      <c r="O4" s="1"/>
      <c r="P4" s="1"/>
      <c r="Q4" s="1"/>
      <c r="R4" s="1">
        <v>70.27</v>
      </c>
      <c r="S4" s="1"/>
      <c r="T4" s="1"/>
      <c r="U4" s="1"/>
      <c r="V4" s="1">
        <v>17.34</v>
      </c>
      <c r="W4" s="1"/>
      <c r="X4" s="1">
        <v>44.1</v>
      </c>
      <c r="Y4" s="1"/>
      <c r="Z4" s="1"/>
      <c r="AA4" s="1"/>
      <c r="AB4" s="1"/>
      <c r="AC4" s="1">
        <v>16.899999999999999</v>
      </c>
      <c r="AD4" s="1"/>
      <c r="AE4" s="1"/>
      <c r="AF4" s="1">
        <v>17.45</v>
      </c>
      <c r="AG4" s="1"/>
    </row>
    <row r="5" spans="1:33" x14ac:dyDescent="0.25">
      <c r="A5" s="38" t="s">
        <v>30</v>
      </c>
      <c r="B5" s="12">
        <f t="shared" si="1"/>
        <v>225</v>
      </c>
      <c r="C5" s="1"/>
      <c r="D5" s="1">
        <v>50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30</v>
      </c>
      <c r="S5" s="1"/>
      <c r="T5" s="1"/>
      <c r="U5" s="1"/>
      <c r="V5" s="1"/>
      <c r="W5" s="1"/>
      <c r="X5" s="1"/>
      <c r="Y5" s="1">
        <v>50</v>
      </c>
      <c r="Z5" s="1"/>
      <c r="AA5" s="1">
        <v>45</v>
      </c>
      <c r="AB5" s="1"/>
      <c r="AC5" s="1"/>
      <c r="AD5" s="1"/>
      <c r="AE5" s="1">
        <v>50</v>
      </c>
      <c r="AF5" s="1"/>
      <c r="AG5" s="1"/>
    </row>
    <row r="6" spans="1:33" x14ac:dyDescent="0.25">
      <c r="A6" s="38" t="s">
        <v>33</v>
      </c>
      <c r="B6" s="12">
        <f t="shared" si="1"/>
        <v>47.190000000000005</v>
      </c>
      <c r="C6" s="1"/>
      <c r="D6" s="1"/>
      <c r="E6" s="1"/>
      <c r="F6" s="1"/>
      <c r="G6" s="1"/>
      <c r="H6" s="1"/>
      <c r="I6" s="1"/>
      <c r="J6" s="1">
        <f>8.63+18.67</f>
        <v>27.300000000000004</v>
      </c>
      <c r="K6" s="1"/>
      <c r="L6" s="1"/>
      <c r="M6" s="1"/>
      <c r="N6" s="1"/>
      <c r="O6" s="1"/>
      <c r="P6" s="1"/>
      <c r="Q6" s="1"/>
      <c r="R6" s="1">
        <v>19.89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38" t="s">
        <v>27</v>
      </c>
      <c r="B7" s="12">
        <f t="shared" si="1"/>
        <v>172.48</v>
      </c>
      <c r="C7" s="1"/>
      <c r="D7" s="1">
        <v>22.48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150</v>
      </c>
      <c r="AA7" s="1"/>
      <c r="AB7" s="1"/>
      <c r="AC7" s="1"/>
      <c r="AD7" s="1"/>
      <c r="AE7" s="1"/>
      <c r="AF7" s="1"/>
      <c r="AG7" s="1"/>
    </row>
    <row r="8" spans="1:33" x14ac:dyDescent="0.25">
      <c r="A8" s="38" t="s">
        <v>28</v>
      </c>
      <c r="B8" s="12">
        <f t="shared" si="1"/>
        <v>26.299999999999997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>
        <f>51.3-25</f>
        <v>26.299999999999997</v>
      </c>
      <c r="AD8" s="1"/>
      <c r="AE8" s="1"/>
      <c r="AF8" s="1"/>
      <c r="AG8" s="1"/>
    </row>
    <row r="9" spans="1:33" x14ac:dyDescent="0.25">
      <c r="A9" s="38" t="s">
        <v>29</v>
      </c>
      <c r="B9" s="12">
        <f t="shared" si="1"/>
        <v>84.3</v>
      </c>
      <c r="C9" s="1"/>
      <c r="D9" s="1"/>
      <c r="E9" s="1"/>
      <c r="F9" s="1"/>
      <c r="G9" s="1"/>
      <c r="H9" s="1"/>
      <c r="I9" s="1"/>
      <c r="J9" s="1">
        <v>26.9</v>
      </c>
      <c r="K9" s="1"/>
      <c r="L9" s="1">
        <v>12.4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45</v>
      </c>
      <c r="AG9" s="1"/>
    </row>
    <row r="10" spans="1:33" x14ac:dyDescent="0.25">
      <c r="A10" s="38" t="s">
        <v>22</v>
      </c>
      <c r="B10" s="12">
        <f t="shared" si="1"/>
        <v>106.5</v>
      </c>
      <c r="C10" s="1"/>
      <c r="D10" s="1">
        <v>10</v>
      </c>
      <c r="E10" s="1"/>
      <c r="F10" s="1"/>
      <c r="G10" s="1"/>
      <c r="H10" s="1">
        <v>5</v>
      </c>
      <c r="I10" s="1"/>
      <c r="J10" s="1"/>
      <c r="K10" s="1"/>
      <c r="L10" s="1"/>
      <c r="M10" s="1">
        <v>4.5</v>
      </c>
      <c r="N10" s="1">
        <v>6</v>
      </c>
      <c r="O10" s="1"/>
      <c r="P10" s="1">
        <v>25</v>
      </c>
      <c r="Q10" s="1"/>
      <c r="R10" s="1">
        <v>4.5</v>
      </c>
      <c r="S10" s="1"/>
      <c r="T10" s="1"/>
      <c r="U10" s="1">
        <v>10</v>
      </c>
      <c r="V10" s="1"/>
      <c r="W10" s="1">
        <v>14.5</v>
      </c>
      <c r="X10" s="1">
        <v>27</v>
      </c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38" t="s">
        <v>23</v>
      </c>
      <c r="B11" s="12">
        <f t="shared" si="1"/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5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38" t="s">
        <v>50</v>
      </c>
      <c r="B12" s="12">
        <f t="shared" si="1"/>
        <v>69.28</v>
      </c>
      <c r="C12" s="1"/>
      <c r="D12" s="1">
        <f>15.98+18.3+10</f>
        <v>44.28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25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38" t="s">
        <v>36</v>
      </c>
      <c r="B13" s="12">
        <f t="shared" si="1"/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f>49.5-30</f>
        <v>19.5</v>
      </c>
      <c r="S13" s="1">
        <v>6</v>
      </c>
      <c r="T13" s="1">
        <v>6.5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38" t="s">
        <v>24</v>
      </c>
      <c r="B14" s="12">
        <f t="shared" si="1"/>
        <v>103.19</v>
      </c>
      <c r="C14" s="1"/>
      <c r="D14" s="1">
        <f>18.9+13.84</f>
        <v>32.739999999999995</v>
      </c>
      <c r="E14" s="1"/>
      <c r="F14" s="1"/>
      <c r="G14" s="1"/>
      <c r="H14" s="1"/>
      <c r="I14" s="1"/>
      <c r="J14" s="1">
        <v>26.95</v>
      </c>
      <c r="K14" s="1"/>
      <c r="L14" s="1"/>
      <c r="M14" s="1"/>
      <c r="N14" s="1"/>
      <c r="O14" s="1"/>
      <c r="P14" s="1"/>
      <c r="Q14" s="1"/>
      <c r="R14" s="1"/>
      <c r="S14" s="1">
        <v>21.89</v>
      </c>
      <c r="T14" s="1"/>
      <c r="U14" s="1"/>
      <c r="V14" s="1"/>
      <c r="W14" s="1"/>
      <c r="X14" s="1"/>
      <c r="Y14" s="1"/>
      <c r="Z14" s="1"/>
      <c r="AA14" s="1">
        <v>21.61</v>
      </c>
      <c r="AB14" s="1"/>
      <c r="AC14" s="1"/>
      <c r="AD14" s="1"/>
      <c r="AE14" s="1"/>
      <c r="AF14" s="1"/>
      <c r="AG14" s="1"/>
    </row>
    <row r="15" spans="1:33" x14ac:dyDescent="0.25">
      <c r="A15" s="38" t="s">
        <v>37</v>
      </c>
      <c r="B15" s="12">
        <f t="shared" si="1"/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100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38" t="s">
        <v>40</v>
      </c>
      <c r="B16" s="12">
        <f t="shared" si="1"/>
        <v>44.8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>
        <v>44.8</v>
      </c>
      <c r="AC16" s="1"/>
      <c r="AD16" s="1"/>
      <c r="AE16" s="1"/>
      <c r="AF16" s="1"/>
      <c r="AG16" s="1"/>
    </row>
    <row r="17" spans="1:33" x14ac:dyDescent="0.25">
      <c r="A17" s="38" t="s">
        <v>42</v>
      </c>
      <c r="B17" s="12">
        <f t="shared" si="1"/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33" x14ac:dyDescent="0.25">
      <c r="A19" s="1"/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33" x14ac:dyDescent="0.25">
      <c r="A20" s="1"/>
      <c r="B20" s="1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33" ht="15.75" customHeight="1" x14ac:dyDescent="0.25">
      <c r="A21" s="1"/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33" ht="15.75" customHeight="1" x14ac:dyDescent="0.25">
      <c r="A22" s="1"/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33" ht="15.75" customHeight="1" x14ac:dyDescent="0.25">
      <c r="A23" s="1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33" ht="15.75" customHeight="1" x14ac:dyDescent="0.25">
      <c r="A24" s="1"/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33" ht="15.75" customHeight="1" x14ac:dyDescent="0.25">
      <c r="A25" s="1"/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33" ht="15.75" customHeight="1" x14ac:dyDescent="0.25">
      <c r="A26" s="1"/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33" ht="15.75" customHeight="1" x14ac:dyDescent="0.25">
      <c r="A27" s="1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33" ht="15.75" customHeight="1" x14ac:dyDescent="0.25">
      <c r="A28" s="1"/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33" ht="15.75" customHeight="1" x14ac:dyDescent="0.25">
      <c r="A29" s="1"/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33" ht="15.75" customHeight="1" x14ac:dyDescent="0.25">
      <c r="A30" s="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33" ht="15.75" customHeight="1" x14ac:dyDescent="0.25">
      <c r="A31" s="1"/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33" ht="15.75" customHeight="1" x14ac:dyDescent="0.25">
      <c r="A32" s="1"/>
      <c r="B32" s="1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/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/>
    <row r="35" spans="1:17" ht="15.75" customHeight="1" x14ac:dyDescent="0.25"/>
    <row r="36" spans="1:17" ht="15.75" customHeight="1" x14ac:dyDescent="0.25"/>
    <row r="37" spans="1:17" ht="15.75" customHeight="1" x14ac:dyDescent="0.25"/>
    <row r="38" spans="1:17" ht="15.75" customHeight="1" x14ac:dyDescent="0.25"/>
    <row r="39" spans="1:17" ht="15.75" customHeight="1" x14ac:dyDescent="0.25"/>
    <row r="40" spans="1:17" ht="15.75" customHeight="1" x14ac:dyDescent="0.25"/>
    <row r="41" spans="1:17" ht="15.75" customHeight="1" x14ac:dyDescent="0.25"/>
    <row r="42" spans="1:17" ht="15.75" customHeight="1" x14ac:dyDescent="0.25"/>
    <row r="43" spans="1:17" ht="15.75" customHeight="1" x14ac:dyDescent="0.25"/>
    <row r="44" spans="1:17" ht="15.75" customHeight="1" x14ac:dyDescent="0.25"/>
    <row r="45" spans="1:17" ht="15.75" customHeight="1" x14ac:dyDescent="0.25"/>
    <row r="46" spans="1:17" ht="15.75" customHeight="1" x14ac:dyDescent="0.25"/>
    <row r="47" spans="1:17" ht="15.75" customHeight="1" x14ac:dyDescent="0.25"/>
    <row r="48" spans="1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000"/>
  <sheetViews>
    <sheetView workbookViewId="0"/>
  </sheetViews>
  <sheetFormatPr defaultColWidth="14.42578125" defaultRowHeight="15" customHeight="1" x14ac:dyDescent="0.25"/>
  <cols>
    <col min="1" max="1" width="18.5703125" customWidth="1"/>
    <col min="2" max="2" width="8" customWidth="1"/>
    <col min="3" max="3" width="4" customWidth="1"/>
    <col min="4" max="4" width="10.7109375" customWidth="1"/>
    <col min="5" max="5" width="8" customWidth="1"/>
    <col min="6" max="6" width="4.5703125" customWidth="1"/>
    <col min="7" max="9" width="6" customWidth="1"/>
    <col min="10" max="12" width="5.5703125" customWidth="1"/>
    <col min="13" max="13" width="6" customWidth="1"/>
    <col min="14" max="15" width="5.5703125" customWidth="1"/>
    <col min="16" max="16" width="7" customWidth="1"/>
    <col min="17" max="22" width="5.5703125" customWidth="1"/>
    <col min="23" max="23" width="8" customWidth="1"/>
    <col min="24" max="26" width="5.5703125" customWidth="1"/>
    <col min="27" max="27" width="6" customWidth="1"/>
    <col min="28" max="32" width="5.5703125" customWidth="1"/>
    <col min="33" max="33" width="6.5703125" customWidth="1"/>
    <col min="34" max="34" width="9.140625" customWidth="1"/>
    <col min="35" max="35" width="4" customWidth="1"/>
  </cols>
  <sheetData>
    <row r="1" spans="1:33" x14ac:dyDescent="0.25">
      <c r="C1" s="1" t="s">
        <v>14</v>
      </c>
      <c r="D1" s="1" t="s">
        <v>15</v>
      </c>
      <c r="E1" s="1" t="s">
        <v>17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14</v>
      </c>
      <c r="R1" s="1" t="s">
        <v>15</v>
      </c>
      <c r="S1" s="1" t="s">
        <v>17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14</v>
      </c>
      <c r="Y1" s="1" t="s">
        <v>15</v>
      </c>
      <c r="Z1" s="1" t="s">
        <v>17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14</v>
      </c>
      <c r="AF1" s="1" t="s">
        <v>15</v>
      </c>
      <c r="AG1" s="1" t="s">
        <v>17</v>
      </c>
    </row>
    <row r="2" spans="1:33" x14ac:dyDescent="0.25">
      <c r="C2" s="12">
        <v>1</v>
      </c>
      <c r="D2" s="12">
        <f t="shared" ref="D2:AG2" si="0">C2+1</f>
        <v>2</v>
      </c>
      <c r="E2" s="12">
        <f t="shared" si="0"/>
        <v>3</v>
      </c>
      <c r="F2" s="12">
        <f t="shared" si="0"/>
        <v>4</v>
      </c>
      <c r="G2" s="12">
        <f t="shared" si="0"/>
        <v>5</v>
      </c>
      <c r="H2" s="12">
        <f t="shared" si="0"/>
        <v>6</v>
      </c>
      <c r="I2" s="12">
        <f t="shared" si="0"/>
        <v>7</v>
      </c>
      <c r="J2" s="12">
        <f t="shared" si="0"/>
        <v>8</v>
      </c>
      <c r="K2" s="12">
        <f t="shared" si="0"/>
        <v>9</v>
      </c>
      <c r="L2" s="12">
        <f t="shared" si="0"/>
        <v>10</v>
      </c>
      <c r="M2" s="12">
        <f t="shared" si="0"/>
        <v>11</v>
      </c>
      <c r="N2" s="12">
        <f t="shared" si="0"/>
        <v>12</v>
      </c>
      <c r="O2" s="12">
        <f t="shared" si="0"/>
        <v>13</v>
      </c>
      <c r="P2" s="12">
        <f t="shared" si="0"/>
        <v>14</v>
      </c>
      <c r="Q2" s="12">
        <f t="shared" si="0"/>
        <v>15</v>
      </c>
      <c r="R2" s="12">
        <f t="shared" si="0"/>
        <v>16</v>
      </c>
      <c r="S2" s="12">
        <f t="shared" si="0"/>
        <v>17</v>
      </c>
      <c r="T2" s="12">
        <f t="shared" si="0"/>
        <v>18</v>
      </c>
      <c r="U2" s="12">
        <f t="shared" si="0"/>
        <v>19</v>
      </c>
      <c r="V2" s="12">
        <f t="shared" si="0"/>
        <v>20</v>
      </c>
      <c r="W2" s="12">
        <f t="shared" si="0"/>
        <v>21</v>
      </c>
      <c r="X2" s="12">
        <f t="shared" si="0"/>
        <v>22</v>
      </c>
      <c r="Y2" s="12">
        <f t="shared" si="0"/>
        <v>23</v>
      </c>
      <c r="Z2" s="12">
        <f t="shared" si="0"/>
        <v>24</v>
      </c>
      <c r="AA2" s="12">
        <f t="shared" si="0"/>
        <v>25</v>
      </c>
      <c r="AB2" s="12">
        <f t="shared" si="0"/>
        <v>26</v>
      </c>
      <c r="AC2" s="12">
        <f t="shared" si="0"/>
        <v>27</v>
      </c>
      <c r="AD2" s="12">
        <f t="shared" si="0"/>
        <v>28</v>
      </c>
      <c r="AE2" s="12">
        <f t="shared" si="0"/>
        <v>29</v>
      </c>
      <c r="AF2" s="12">
        <f t="shared" si="0"/>
        <v>30</v>
      </c>
      <c r="AG2" s="12">
        <f t="shared" si="0"/>
        <v>31</v>
      </c>
    </row>
    <row r="3" spans="1:33" x14ac:dyDescent="0.25">
      <c r="C3" s="12">
        <f t="shared" ref="C3:W3" si="1">SUM(C4:C17)</f>
        <v>6.5</v>
      </c>
      <c r="D3" s="12">
        <f t="shared" si="1"/>
        <v>16.95</v>
      </c>
      <c r="E3" s="12">
        <f t="shared" si="1"/>
        <v>46.96</v>
      </c>
      <c r="F3" s="12">
        <f t="shared" si="1"/>
        <v>16</v>
      </c>
      <c r="G3" s="12">
        <f t="shared" si="1"/>
        <v>29.46</v>
      </c>
      <c r="H3" s="12">
        <f t="shared" si="1"/>
        <v>125.9</v>
      </c>
      <c r="I3" s="12">
        <f t="shared" si="1"/>
        <v>84.81</v>
      </c>
      <c r="J3" s="12">
        <f t="shared" si="1"/>
        <v>0</v>
      </c>
      <c r="K3" s="12">
        <f t="shared" si="1"/>
        <v>0</v>
      </c>
      <c r="L3" s="12">
        <f t="shared" si="1"/>
        <v>87.4</v>
      </c>
      <c r="M3" s="12">
        <f t="shared" si="1"/>
        <v>27.45</v>
      </c>
      <c r="N3" s="12">
        <f t="shared" si="1"/>
        <v>0</v>
      </c>
      <c r="O3" s="12">
        <f t="shared" si="1"/>
        <v>-6</v>
      </c>
      <c r="P3" s="12">
        <f t="shared" si="1"/>
        <v>7.3</v>
      </c>
      <c r="Q3" s="12">
        <f t="shared" si="1"/>
        <v>0</v>
      </c>
      <c r="R3" s="12">
        <f t="shared" si="1"/>
        <v>0</v>
      </c>
      <c r="S3" s="12">
        <f t="shared" si="1"/>
        <v>0</v>
      </c>
      <c r="T3" s="12">
        <f t="shared" si="1"/>
        <v>23.9</v>
      </c>
      <c r="U3" s="12">
        <f t="shared" si="1"/>
        <v>23</v>
      </c>
      <c r="V3" s="12">
        <f t="shared" si="1"/>
        <v>10</v>
      </c>
      <c r="W3" s="12">
        <f t="shared" si="1"/>
        <v>37</v>
      </c>
      <c r="X3" s="12">
        <f>SUM(X5:X17)</f>
        <v>6.6</v>
      </c>
      <c r="Y3" s="12">
        <f t="shared" ref="Y3:AG3" si="2">SUM(Y4:Y17)</f>
        <v>0</v>
      </c>
      <c r="Z3" s="12">
        <f t="shared" si="2"/>
        <v>6.6</v>
      </c>
      <c r="AA3" s="12">
        <f t="shared" si="2"/>
        <v>110.8</v>
      </c>
      <c r="AB3" s="12">
        <f t="shared" si="2"/>
        <v>41.9</v>
      </c>
      <c r="AC3" s="12">
        <f t="shared" si="2"/>
        <v>26.5</v>
      </c>
      <c r="AD3" s="12">
        <f t="shared" si="2"/>
        <v>0</v>
      </c>
      <c r="AE3" s="12">
        <f t="shared" si="2"/>
        <v>212</v>
      </c>
      <c r="AF3" s="12">
        <f t="shared" si="2"/>
        <v>7.94</v>
      </c>
      <c r="AG3" s="12">
        <f t="shared" si="2"/>
        <v>62.4</v>
      </c>
    </row>
    <row r="4" spans="1:33" x14ac:dyDescent="0.25">
      <c r="A4" s="38" t="s">
        <v>49</v>
      </c>
      <c r="B4" s="12">
        <f t="shared" ref="B4:B17" si="3">SUM(C4:AG4)</f>
        <v>298.87</v>
      </c>
      <c r="C4" s="1">
        <v>6.5</v>
      </c>
      <c r="D4" s="1">
        <v>16.95</v>
      </c>
      <c r="E4" s="1">
        <f>8.5+17.5</f>
        <v>26</v>
      </c>
      <c r="F4" s="1">
        <v>10</v>
      </c>
      <c r="G4" s="1">
        <f>10+14.46</f>
        <v>24.46</v>
      </c>
      <c r="H4" s="1">
        <v>21.4</v>
      </c>
      <c r="I4" s="1">
        <v>53.41</v>
      </c>
      <c r="J4" s="1"/>
      <c r="K4" s="1"/>
      <c r="L4" s="1">
        <v>12.4</v>
      </c>
      <c r="M4" s="1">
        <v>17.45</v>
      </c>
      <c r="N4" s="1"/>
      <c r="O4" s="1"/>
      <c r="P4" s="1"/>
      <c r="Q4" s="1"/>
      <c r="R4" s="1"/>
      <c r="S4" s="1"/>
      <c r="T4" s="1">
        <f>17.9</f>
        <v>17.899999999999999</v>
      </c>
      <c r="U4" s="1">
        <v>10</v>
      </c>
      <c r="V4" s="1"/>
      <c r="W4" s="1"/>
      <c r="Y4" s="1"/>
      <c r="Z4" s="1"/>
      <c r="AA4" s="1">
        <v>20</v>
      </c>
      <c r="AB4" s="1">
        <v>16.899999999999999</v>
      </c>
      <c r="AC4" s="1">
        <f>10+4.5+8.5</f>
        <v>23</v>
      </c>
      <c r="AD4" s="1"/>
      <c r="AE4" s="1"/>
      <c r="AF4" s="1"/>
      <c r="AG4" s="1">
        <v>22.5</v>
      </c>
    </row>
    <row r="5" spans="1:33" x14ac:dyDescent="0.25">
      <c r="A5" s="38" t="s">
        <v>30</v>
      </c>
      <c r="B5" s="12">
        <f t="shared" si="3"/>
        <v>285.96000000000004</v>
      </c>
      <c r="C5" s="1"/>
      <c r="D5" s="1"/>
      <c r="E5" s="1">
        <v>10.96</v>
      </c>
      <c r="F5" s="1"/>
      <c r="G5" s="1"/>
      <c r="H5" s="1">
        <v>100</v>
      </c>
      <c r="I5" s="1"/>
      <c r="J5" s="1"/>
      <c r="K5" s="1"/>
      <c r="L5" s="1">
        <v>75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75</v>
      </c>
      <c r="AB5" s="1">
        <v>25</v>
      </c>
      <c r="AC5" s="1"/>
      <c r="AD5" s="1"/>
      <c r="AE5" s="1"/>
      <c r="AF5" s="1"/>
      <c r="AG5" s="1"/>
    </row>
    <row r="6" spans="1:33" x14ac:dyDescent="0.25">
      <c r="A6" s="38" t="s">
        <v>33</v>
      </c>
      <c r="B6" s="12">
        <f t="shared" si="3"/>
        <v>21.14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>
        <v>6.6</v>
      </c>
      <c r="Y6" s="1"/>
      <c r="Z6" s="1">
        <v>6.6</v>
      </c>
      <c r="AA6" s="1"/>
      <c r="AB6" s="1"/>
      <c r="AC6" s="1"/>
      <c r="AE6" s="1"/>
      <c r="AF6" s="1">
        <v>7.94</v>
      </c>
      <c r="AG6" s="1"/>
    </row>
    <row r="7" spans="1:33" x14ac:dyDescent="0.25">
      <c r="A7" s="38" t="s">
        <v>27</v>
      </c>
      <c r="B7" s="12">
        <f t="shared" si="3"/>
        <v>150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E7" s="1">
        <v>150</v>
      </c>
      <c r="AF7" s="1"/>
      <c r="AG7" s="1"/>
    </row>
    <row r="8" spans="1:33" x14ac:dyDescent="0.25">
      <c r="A8" s="38" t="s">
        <v>28</v>
      </c>
      <c r="B8" s="12">
        <f t="shared" si="3"/>
        <v>22</v>
      </c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>
        <v>22</v>
      </c>
      <c r="X8" s="1"/>
      <c r="Y8" s="1"/>
      <c r="Z8" s="1"/>
      <c r="AA8" s="1"/>
      <c r="AD8" s="1"/>
      <c r="AE8" s="1"/>
      <c r="AF8" s="1"/>
      <c r="AG8" s="1"/>
    </row>
    <row r="9" spans="1:33" x14ac:dyDescent="0.25">
      <c r="A9" s="38" t="s">
        <v>29</v>
      </c>
      <c r="B9" s="12">
        <f t="shared" si="3"/>
        <v>65.900000000000006</v>
      </c>
      <c r="C9" s="1"/>
      <c r="D9" s="1"/>
      <c r="I9" s="1">
        <v>26.9</v>
      </c>
      <c r="J9" s="1"/>
      <c r="K9" s="1"/>
      <c r="L9" s="1"/>
      <c r="M9" s="1"/>
      <c r="N9" s="1"/>
      <c r="O9" s="1">
        <v>-6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>
        <v>45</v>
      </c>
      <c r="AF9" s="1"/>
      <c r="AG9" s="1"/>
    </row>
    <row r="10" spans="1:33" x14ac:dyDescent="0.25">
      <c r="A10" s="38" t="s">
        <v>22</v>
      </c>
      <c r="B10" s="12">
        <f t="shared" si="3"/>
        <v>41.5</v>
      </c>
      <c r="C10" s="1"/>
      <c r="D10" s="1"/>
      <c r="E10" s="1">
        <f>6+4</f>
        <v>10</v>
      </c>
      <c r="F10" s="1">
        <v>6</v>
      </c>
      <c r="G10" s="1">
        <v>5</v>
      </c>
      <c r="H10" s="1">
        <v>4.5</v>
      </c>
      <c r="I10" s="1">
        <v>4.5</v>
      </c>
      <c r="J10" s="1"/>
      <c r="K10" s="1"/>
      <c r="L10" s="1"/>
      <c r="M10" s="1"/>
      <c r="N10" s="1"/>
      <c r="O10" s="1"/>
      <c r="P10" s="1">
        <v>4.5</v>
      </c>
      <c r="Q10" s="1"/>
      <c r="R10" s="1"/>
      <c r="S10" s="1"/>
      <c r="T10" s="1"/>
      <c r="U10" s="1">
        <v>7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38" t="s">
        <v>23</v>
      </c>
      <c r="B11" s="12">
        <f t="shared" si="3"/>
        <v>49.8</v>
      </c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>
        <v>2.8</v>
      </c>
      <c r="Q11" s="1"/>
      <c r="R11" s="1"/>
      <c r="S11" s="1"/>
      <c r="T11" s="1">
        <v>6</v>
      </c>
      <c r="U11" s="1">
        <v>6</v>
      </c>
      <c r="V11" s="1">
        <v>10</v>
      </c>
      <c r="W11" s="1">
        <v>15</v>
      </c>
      <c r="X11" s="1"/>
      <c r="Y11" s="1"/>
      <c r="Z11" s="1"/>
      <c r="AA11" s="1"/>
      <c r="AB11" s="1"/>
      <c r="AC11" s="1"/>
      <c r="AD11" s="1"/>
      <c r="AE11" s="1"/>
      <c r="AF11" s="1"/>
      <c r="AG11" s="1">
        <v>10</v>
      </c>
    </row>
    <row r="12" spans="1:33" x14ac:dyDescent="0.25">
      <c r="A12" s="38" t="s">
        <v>50</v>
      </c>
      <c r="B12" s="12">
        <f t="shared" si="3"/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38" t="s">
        <v>36</v>
      </c>
      <c r="B13" s="12">
        <f t="shared" si="3"/>
        <v>45.7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15.8</v>
      </c>
      <c r="AB13" s="1"/>
      <c r="AC13" s="1"/>
      <c r="AD13" s="1"/>
      <c r="AE13" s="1"/>
      <c r="AF13" s="1"/>
      <c r="AG13" s="1">
        <v>29.9</v>
      </c>
    </row>
    <row r="14" spans="1:33" x14ac:dyDescent="0.25">
      <c r="A14" s="38" t="s">
        <v>24</v>
      </c>
      <c r="B14" s="12">
        <f t="shared" si="3"/>
        <v>5.5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3.5</v>
      </c>
      <c r="AE14" s="1"/>
      <c r="AF14" s="1"/>
      <c r="AG14" s="1"/>
    </row>
    <row r="15" spans="1:33" x14ac:dyDescent="0.25">
      <c r="A15" s="38" t="s">
        <v>37</v>
      </c>
      <c r="B15" s="12">
        <f t="shared" si="3"/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38" t="s">
        <v>40</v>
      </c>
      <c r="B16" s="12">
        <f t="shared" si="3"/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5" x14ac:dyDescent="0.25">
      <c r="A17" s="38" t="s">
        <v>42</v>
      </c>
      <c r="B17" s="12">
        <f t="shared" si="3"/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17</v>
      </c>
      <c r="AF17" s="1"/>
      <c r="AG17" s="1"/>
    </row>
    <row r="18" spans="1:35" x14ac:dyDescent="0.25">
      <c r="A18" s="1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35" x14ac:dyDescent="0.25">
      <c r="A19" s="38" t="s">
        <v>48</v>
      </c>
      <c r="B19" s="12">
        <f>SUM(C19:AG19)</f>
        <v>1059.92</v>
      </c>
      <c r="C19" s="1"/>
      <c r="D19" s="1"/>
      <c r="E19" s="1"/>
      <c r="F19" s="1"/>
      <c r="G19" s="1"/>
      <c r="H19" s="1">
        <v>60</v>
      </c>
      <c r="I19" s="1"/>
      <c r="J19" s="1"/>
      <c r="K19" s="1">
        <v>200</v>
      </c>
      <c r="L19" s="1"/>
      <c r="M19" s="1">
        <v>150</v>
      </c>
      <c r="N19" s="1"/>
      <c r="O19" s="1"/>
      <c r="P19" s="1">
        <v>529.91999999999996</v>
      </c>
      <c r="Q19" s="1"/>
      <c r="R19" s="1"/>
      <c r="S19" s="1"/>
      <c r="T19" s="1"/>
      <c r="U19" s="1"/>
      <c r="V19" s="1"/>
      <c r="W19" s="1"/>
      <c r="X19" s="1"/>
      <c r="Y19" s="1"/>
      <c r="Z19" s="1">
        <v>100</v>
      </c>
      <c r="AA19" s="1"/>
      <c r="AB19" s="1"/>
      <c r="AC19" s="1"/>
      <c r="AD19" s="1"/>
      <c r="AE19" s="1"/>
      <c r="AF19" s="1">
        <v>20</v>
      </c>
      <c r="AG19" s="1"/>
    </row>
    <row r="20" spans="1:35" x14ac:dyDescent="0.25">
      <c r="A20" s="48" t="s">
        <v>51</v>
      </c>
      <c r="B20" s="49">
        <f>B32/B19</f>
        <v>4.5805343799532099E-2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35" ht="15.75" customHeight="1" x14ac:dyDescent="0.25">
      <c r="A21" s="1" t="s">
        <v>53</v>
      </c>
      <c r="B21" s="49">
        <f>B30/B19</f>
        <v>0.95419465620046795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35" ht="15.75" customHeight="1" x14ac:dyDescent="0.25">
      <c r="C22" s="50"/>
      <c r="D22" s="50">
        <f t="shared" ref="D22:AG22" si="4">SUM($C$23:D23)</f>
        <v>23.45</v>
      </c>
      <c r="E22" s="50">
        <f t="shared" si="4"/>
        <v>70.41</v>
      </c>
      <c r="F22" s="50">
        <f t="shared" si="4"/>
        <v>86.41</v>
      </c>
      <c r="G22" s="50">
        <f t="shared" si="4"/>
        <v>115.87</v>
      </c>
      <c r="H22" s="50">
        <f t="shared" si="4"/>
        <v>241.77</v>
      </c>
      <c r="I22" s="50">
        <f t="shared" si="4"/>
        <v>326.58000000000004</v>
      </c>
      <c r="J22" s="50">
        <f t="shared" si="4"/>
        <v>326.58000000000004</v>
      </c>
      <c r="K22" s="50">
        <f t="shared" si="4"/>
        <v>326.58000000000004</v>
      </c>
      <c r="L22" s="50">
        <f t="shared" si="4"/>
        <v>413.98</v>
      </c>
      <c r="M22" s="50">
        <f t="shared" si="4"/>
        <v>441.43</v>
      </c>
      <c r="N22" s="50">
        <f t="shared" si="4"/>
        <v>441.43</v>
      </c>
      <c r="O22" s="50">
        <f t="shared" si="4"/>
        <v>435.43</v>
      </c>
      <c r="P22" s="50">
        <f t="shared" si="4"/>
        <v>442.73</v>
      </c>
      <c r="Q22" s="50">
        <f t="shared" si="4"/>
        <v>442.73</v>
      </c>
      <c r="R22" s="50">
        <f t="shared" si="4"/>
        <v>442.73</v>
      </c>
      <c r="S22" s="50">
        <f t="shared" si="4"/>
        <v>442.73</v>
      </c>
      <c r="T22" s="50">
        <f t="shared" si="4"/>
        <v>466.63</v>
      </c>
      <c r="U22" s="50">
        <f t="shared" si="4"/>
        <v>489.63</v>
      </c>
      <c r="V22" s="50">
        <f t="shared" si="4"/>
        <v>499.63</v>
      </c>
      <c r="W22" s="50">
        <f t="shared" si="4"/>
        <v>536.63</v>
      </c>
      <c r="X22" s="50">
        <f t="shared" si="4"/>
        <v>543.23</v>
      </c>
      <c r="Y22" s="50">
        <f t="shared" si="4"/>
        <v>543.23</v>
      </c>
      <c r="Z22" s="50">
        <f t="shared" si="4"/>
        <v>549.83000000000004</v>
      </c>
      <c r="AA22" s="50">
        <f t="shared" si="4"/>
        <v>660.63</v>
      </c>
      <c r="AB22" s="50">
        <f t="shared" si="4"/>
        <v>702.53</v>
      </c>
      <c r="AC22" s="50">
        <f t="shared" si="4"/>
        <v>729.03</v>
      </c>
      <c r="AD22" s="50">
        <f t="shared" si="4"/>
        <v>729.03</v>
      </c>
      <c r="AE22" s="50">
        <f t="shared" si="4"/>
        <v>941.03</v>
      </c>
      <c r="AF22" s="50">
        <f t="shared" si="4"/>
        <v>948.97</v>
      </c>
      <c r="AG22" s="50">
        <f t="shared" si="4"/>
        <v>1011.37</v>
      </c>
    </row>
    <row r="23" spans="1:35" ht="15.75" customHeight="1" x14ac:dyDescent="0.25">
      <c r="A23" s="1" t="s">
        <v>54</v>
      </c>
      <c r="B23" s="12"/>
      <c r="C23" s="51">
        <f t="shared" ref="C23:AG23" si="5">C3</f>
        <v>6.5</v>
      </c>
      <c r="D23" s="51">
        <f t="shared" si="5"/>
        <v>16.95</v>
      </c>
      <c r="E23" s="51">
        <f t="shared" si="5"/>
        <v>46.96</v>
      </c>
      <c r="F23" s="51">
        <f t="shared" si="5"/>
        <v>16</v>
      </c>
      <c r="G23" s="51">
        <f t="shared" si="5"/>
        <v>29.46</v>
      </c>
      <c r="H23" s="51">
        <f t="shared" si="5"/>
        <v>125.9</v>
      </c>
      <c r="I23" s="51">
        <f t="shared" si="5"/>
        <v>84.81</v>
      </c>
      <c r="J23" s="51">
        <f t="shared" si="5"/>
        <v>0</v>
      </c>
      <c r="K23" s="51">
        <f t="shared" si="5"/>
        <v>0</v>
      </c>
      <c r="L23" s="51">
        <f t="shared" si="5"/>
        <v>87.4</v>
      </c>
      <c r="M23" s="51">
        <f t="shared" si="5"/>
        <v>27.45</v>
      </c>
      <c r="N23" s="51">
        <f t="shared" si="5"/>
        <v>0</v>
      </c>
      <c r="O23" s="51">
        <f t="shared" si="5"/>
        <v>-6</v>
      </c>
      <c r="P23" s="51">
        <f t="shared" si="5"/>
        <v>7.3</v>
      </c>
      <c r="Q23" s="51">
        <f t="shared" si="5"/>
        <v>0</v>
      </c>
      <c r="R23" s="51">
        <f t="shared" si="5"/>
        <v>0</v>
      </c>
      <c r="S23" s="51">
        <f t="shared" si="5"/>
        <v>0</v>
      </c>
      <c r="T23" s="51">
        <f t="shared" si="5"/>
        <v>23.9</v>
      </c>
      <c r="U23" s="51">
        <f t="shared" si="5"/>
        <v>23</v>
      </c>
      <c r="V23" s="51">
        <f t="shared" si="5"/>
        <v>10</v>
      </c>
      <c r="W23" s="51">
        <f t="shared" si="5"/>
        <v>37</v>
      </c>
      <c r="X23" s="51">
        <f t="shared" si="5"/>
        <v>6.6</v>
      </c>
      <c r="Y23" s="51">
        <f t="shared" si="5"/>
        <v>0</v>
      </c>
      <c r="Z23" s="51">
        <f t="shared" si="5"/>
        <v>6.6</v>
      </c>
      <c r="AA23" s="51">
        <f t="shared" si="5"/>
        <v>110.8</v>
      </c>
      <c r="AB23" s="51">
        <f t="shared" si="5"/>
        <v>41.9</v>
      </c>
      <c r="AC23" s="51">
        <f t="shared" si="5"/>
        <v>26.5</v>
      </c>
      <c r="AD23" s="51">
        <f t="shared" si="5"/>
        <v>0</v>
      </c>
      <c r="AE23" s="51">
        <f t="shared" si="5"/>
        <v>212</v>
      </c>
      <c r="AF23" s="51">
        <f t="shared" si="5"/>
        <v>7.94</v>
      </c>
      <c r="AG23" s="51">
        <f t="shared" si="5"/>
        <v>62.4</v>
      </c>
    </row>
    <row r="24" spans="1:35" ht="15.75" customHeight="1" x14ac:dyDescent="0.25">
      <c r="A24" s="1" t="s">
        <v>29</v>
      </c>
      <c r="B24" s="12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W24" s="1">
        <v>315.52</v>
      </c>
      <c r="AH24" s="7" t="s">
        <v>58</v>
      </c>
      <c r="AI24" s="7">
        <v>978</v>
      </c>
    </row>
    <row r="25" spans="1:35" ht="15.75" customHeight="1" x14ac:dyDescent="0.25">
      <c r="A25" s="1" t="s">
        <v>59</v>
      </c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W25" s="1">
        <v>-186.7</v>
      </c>
    </row>
    <row r="26" spans="1:35" ht="15.75" customHeight="1" x14ac:dyDescent="0.25">
      <c r="A26" s="1" t="s">
        <v>60</v>
      </c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W26" s="7">
        <v>869.36</v>
      </c>
    </row>
    <row r="27" spans="1:35" ht="15.75" customHeight="1" x14ac:dyDescent="0.25">
      <c r="A27" s="1" t="s">
        <v>61</v>
      </c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W27" s="7">
        <v>11</v>
      </c>
    </row>
    <row r="28" spans="1:35" ht="15.75" customHeight="1" x14ac:dyDescent="0.25">
      <c r="A28" s="1" t="s">
        <v>62</v>
      </c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W28" s="7">
        <f>SUM(W24:W27)</f>
        <v>1009.1800000000001</v>
      </c>
    </row>
    <row r="29" spans="1:35" ht="15.75" customHeight="1" x14ac:dyDescent="0.25">
      <c r="A29" s="1"/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W29" s="52"/>
    </row>
    <row r="30" spans="1:35" ht="15.75" customHeight="1" x14ac:dyDescent="0.25">
      <c r="A30" s="38" t="s">
        <v>45</v>
      </c>
      <c r="B30" s="39">
        <f>SUM(B4:B17)</f>
        <v>1011.37</v>
      </c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35" ht="15.75" customHeight="1" x14ac:dyDescent="0.25">
      <c r="A31" s="38"/>
      <c r="B31" s="3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35" ht="15.75" customHeight="1" x14ac:dyDescent="0.25">
      <c r="A32" s="38" t="s">
        <v>47</v>
      </c>
      <c r="B32" s="12">
        <f>B19-B30</f>
        <v>48.550000000000068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5">
      <c r="A33" s="1"/>
      <c r="B33" s="12"/>
      <c r="C33" s="1"/>
      <c r="D33" s="1"/>
      <c r="E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5">
      <c r="D34" s="53">
        <v>43221</v>
      </c>
      <c r="E34" s="1"/>
    </row>
    <row r="35" spans="1:17" ht="15.75" customHeight="1" x14ac:dyDescent="0.25">
      <c r="D35" s="1" t="s">
        <v>29</v>
      </c>
      <c r="E35" s="7">
        <v>278</v>
      </c>
    </row>
    <row r="36" spans="1:17" ht="15.75" customHeight="1" x14ac:dyDescent="0.25">
      <c r="D36" s="1" t="s">
        <v>59</v>
      </c>
      <c r="E36" s="7">
        <v>-368.12</v>
      </c>
    </row>
    <row r="37" spans="1:17" ht="15.75" customHeight="1" x14ac:dyDescent="0.25">
      <c r="D37" s="7" t="s">
        <v>63</v>
      </c>
      <c r="E37" s="7">
        <v>866.15</v>
      </c>
    </row>
    <row r="38" spans="1:17" ht="15.75" customHeight="1" x14ac:dyDescent="0.25">
      <c r="D38" s="1" t="s">
        <v>61</v>
      </c>
      <c r="E38" s="7">
        <v>250</v>
      </c>
    </row>
    <row r="39" spans="1:17" ht="15.75" customHeight="1" x14ac:dyDescent="0.25">
      <c r="D39" s="1" t="s">
        <v>62</v>
      </c>
      <c r="E39" s="7">
        <f>SUM(E35:E38)</f>
        <v>1026.03</v>
      </c>
    </row>
    <row r="40" spans="1:17" ht="15.75" customHeight="1" x14ac:dyDescent="0.25"/>
    <row r="41" spans="1:17" ht="15.75" customHeight="1" x14ac:dyDescent="0.25"/>
    <row r="42" spans="1:17" ht="15.75" customHeight="1" x14ac:dyDescent="0.25"/>
    <row r="43" spans="1:17" ht="15.75" customHeight="1" x14ac:dyDescent="0.25"/>
    <row r="44" spans="1:17" ht="15.75" customHeight="1" x14ac:dyDescent="0.25"/>
    <row r="45" spans="1:17" ht="15.75" customHeight="1" x14ac:dyDescent="0.25"/>
    <row r="46" spans="1:17" ht="15.75" customHeight="1" x14ac:dyDescent="0.25"/>
    <row r="47" spans="1:17" ht="15.75" customHeight="1" x14ac:dyDescent="0.25"/>
    <row r="48" spans="1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000"/>
  <sheetViews>
    <sheetView showGridLines="0" workbookViewId="0"/>
  </sheetViews>
  <sheetFormatPr defaultColWidth="14.42578125" defaultRowHeight="15" customHeight="1" x14ac:dyDescent="0.25"/>
  <cols>
    <col min="1" max="1" width="4.85546875" customWidth="1"/>
    <col min="2" max="2" width="18.42578125" customWidth="1"/>
    <col min="3" max="3" width="4.42578125" customWidth="1"/>
    <col min="4" max="4" width="7.5703125" customWidth="1"/>
    <col min="5" max="6" width="7.7109375" customWidth="1"/>
    <col min="7" max="7" width="4.5703125" customWidth="1"/>
    <col min="8" max="8" width="6" customWidth="1"/>
    <col min="9" max="9" width="5" customWidth="1"/>
    <col min="10" max="10" width="4.7109375" customWidth="1"/>
    <col min="11" max="12" width="5.5703125" customWidth="1"/>
    <col min="13" max="14" width="6.5703125" customWidth="1"/>
    <col min="15" max="16" width="5.5703125" customWidth="1"/>
    <col min="17" max="17" width="7" customWidth="1"/>
    <col min="18" max="21" width="5.5703125" customWidth="1"/>
    <col min="22" max="22" width="6" customWidth="1"/>
    <col min="23" max="31" width="5.5703125" customWidth="1"/>
    <col min="32" max="32" width="8" customWidth="1"/>
    <col min="33" max="36" width="6.5703125" customWidth="1"/>
    <col min="37" max="37" width="9.140625" customWidth="1"/>
    <col min="38" max="38" width="11.85546875" customWidth="1"/>
    <col min="39" max="39" width="9.140625" customWidth="1"/>
  </cols>
  <sheetData>
    <row r="1" spans="1:39" x14ac:dyDescent="0.25">
      <c r="B1" s="283" t="s">
        <v>45</v>
      </c>
      <c r="C1" s="284"/>
      <c r="D1" s="36">
        <f>SUM(D6:D25)</f>
        <v>904.31</v>
      </c>
      <c r="AK1" s="1" t="s">
        <v>0</v>
      </c>
    </row>
    <row r="2" spans="1:39" x14ac:dyDescent="0.25">
      <c r="B2" s="283" t="s">
        <v>47</v>
      </c>
      <c r="C2" s="284"/>
      <c r="D2" s="15">
        <f>D27-D1</f>
        <v>322.75</v>
      </c>
      <c r="E2" s="1" t="s">
        <v>3</v>
      </c>
      <c r="F2" s="1" t="s">
        <v>3</v>
      </c>
      <c r="G2" s="5" t="str">
        <f t="shared" ref="G2:AJ2" si="0">IF(OR(G3="sex",G3="sáb",G3="dom"),"fds","sem")</f>
        <v>sem</v>
      </c>
      <c r="H2" s="5" t="str">
        <f t="shared" si="0"/>
        <v>sem</v>
      </c>
      <c r="I2" s="5" t="str">
        <f t="shared" si="0"/>
        <v>sem</v>
      </c>
      <c r="J2" s="5" t="str">
        <f t="shared" si="0"/>
        <v>sem</v>
      </c>
      <c r="K2" s="5" t="str">
        <f t="shared" si="0"/>
        <v>sem</v>
      </c>
      <c r="L2" s="5" t="str">
        <f t="shared" si="0"/>
        <v>sem</v>
      </c>
      <c r="M2" s="5" t="str">
        <f t="shared" si="0"/>
        <v>sem</v>
      </c>
      <c r="N2" s="5" t="str">
        <f t="shared" si="0"/>
        <v>sem</v>
      </c>
      <c r="O2" s="5" t="str">
        <f t="shared" si="0"/>
        <v>sem</v>
      </c>
      <c r="P2" s="5" t="str">
        <f t="shared" si="0"/>
        <v>sem</v>
      </c>
      <c r="Q2" s="5" t="str">
        <f t="shared" si="0"/>
        <v>sem</v>
      </c>
      <c r="R2" s="5" t="str">
        <f t="shared" si="0"/>
        <v>sem</v>
      </c>
      <c r="S2" s="5" t="str">
        <f t="shared" si="0"/>
        <v>sem</v>
      </c>
      <c r="T2" s="5" t="str">
        <f t="shared" si="0"/>
        <v>sem</v>
      </c>
      <c r="U2" s="5" t="str">
        <f t="shared" si="0"/>
        <v>sem</v>
      </c>
      <c r="V2" s="5" t="str">
        <f t="shared" si="0"/>
        <v>sem</v>
      </c>
      <c r="W2" s="5" t="str">
        <f t="shared" si="0"/>
        <v>sem</v>
      </c>
      <c r="X2" s="5" t="str">
        <f t="shared" si="0"/>
        <v>sem</v>
      </c>
      <c r="Y2" s="5" t="str">
        <f t="shared" si="0"/>
        <v>sem</v>
      </c>
      <c r="Z2" s="5" t="str">
        <f t="shared" si="0"/>
        <v>sem</v>
      </c>
      <c r="AA2" s="5" t="str">
        <f t="shared" si="0"/>
        <v>sem</v>
      </c>
      <c r="AB2" s="5" t="str">
        <f t="shared" si="0"/>
        <v>sem</v>
      </c>
      <c r="AC2" s="5" t="str">
        <f t="shared" si="0"/>
        <v>sem</v>
      </c>
      <c r="AD2" s="5" t="str">
        <f t="shared" si="0"/>
        <v>sem</v>
      </c>
      <c r="AE2" s="5" t="str">
        <f t="shared" si="0"/>
        <v>sem</v>
      </c>
      <c r="AF2" s="5" t="str">
        <f t="shared" si="0"/>
        <v>sem</v>
      </c>
      <c r="AG2" s="5" t="str">
        <f t="shared" si="0"/>
        <v>sem</v>
      </c>
      <c r="AH2" s="5" t="str">
        <f t="shared" si="0"/>
        <v>sem</v>
      </c>
      <c r="AI2" s="5" t="str">
        <f t="shared" si="0"/>
        <v>sem</v>
      </c>
      <c r="AJ2" s="5" t="str">
        <f t="shared" si="0"/>
        <v>sem</v>
      </c>
      <c r="AK2" s="1">
        <v>2018</v>
      </c>
    </row>
    <row r="3" spans="1:39" x14ac:dyDescent="0.25">
      <c r="A3" s="1"/>
      <c r="B3" s="283" t="s">
        <v>51</v>
      </c>
      <c r="C3" s="284"/>
      <c r="D3" s="46">
        <f>D2/D27</f>
        <v>0.26302707284077387</v>
      </c>
      <c r="E3" s="1"/>
      <c r="F3" s="1" t="s">
        <v>52</v>
      </c>
      <c r="G3" s="5" t="str">
        <f t="shared" ref="G3:AJ3" si="1">TEXT(G4,"ddd")</f>
        <v>Fri</v>
      </c>
      <c r="H3" s="5" t="str">
        <f t="shared" si="1"/>
        <v>Sat</v>
      </c>
      <c r="I3" s="5" t="str">
        <f t="shared" si="1"/>
        <v>Sun</v>
      </c>
      <c r="J3" s="5" t="str">
        <f t="shared" si="1"/>
        <v>Mon</v>
      </c>
      <c r="K3" s="5" t="str">
        <f t="shared" si="1"/>
        <v>Tue</v>
      </c>
      <c r="L3" s="5" t="str">
        <f t="shared" si="1"/>
        <v>Wed</v>
      </c>
      <c r="M3" s="5" t="str">
        <f t="shared" si="1"/>
        <v>Thu</v>
      </c>
      <c r="N3" s="5" t="str">
        <f t="shared" si="1"/>
        <v>Fri</v>
      </c>
      <c r="O3" s="5" t="str">
        <f t="shared" si="1"/>
        <v>Sat</v>
      </c>
      <c r="P3" s="5" t="str">
        <f t="shared" si="1"/>
        <v>Sun</v>
      </c>
      <c r="Q3" s="5" t="str">
        <f t="shared" si="1"/>
        <v>Mon</v>
      </c>
      <c r="R3" s="5" t="str">
        <f t="shared" si="1"/>
        <v>Tue</v>
      </c>
      <c r="S3" s="5" t="str">
        <f t="shared" si="1"/>
        <v>Wed</v>
      </c>
      <c r="T3" s="5" t="str">
        <f t="shared" si="1"/>
        <v>Thu</v>
      </c>
      <c r="U3" s="5" t="str">
        <f t="shared" si="1"/>
        <v>Fri</v>
      </c>
      <c r="V3" s="5" t="str">
        <f t="shared" si="1"/>
        <v>Sat</v>
      </c>
      <c r="W3" s="5" t="str">
        <f t="shared" si="1"/>
        <v>Sun</v>
      </c>
      <c r="X3" s="5" t="str">
        <f t="shared" si="1"/>
        <v>Mon</v>
      </c>
      <c r="Y3" s="5" t="str">
        <f t="shared" si="1"/>
        <v>Tue</v>
      </c>
      <c r="Z3" s="5" t="str">
        <f t="shared" si="1"/>
        <v>Wed</v>
      </c>
      <c r="AA3" s="5" t="str">
        <f t="shared" si="1"/>
        <v>Thu</v>
      </c>
      <c r="AB3" s="5" t="str">
        <f t="shared" si="1"/>
        <v>Fri</v>
      </c>
      <c r="AC3" s="5" t="str">
        <f t="shared" si="1"/>
        <v>Sat</v>
      </c>
      <c r="AD3" s="5" t="str">
        <f t="shared" si="1"/>
        <v>Sun</v>
      </c>
      <c r="AE3" s="5" t="str">
        <f t="shared" si="1"/>
        <v>Mon</v>
      </c>
      <c r="AF3" s="5" t="str">
        <f t="shared" si="1"/>
        <v>Tue</v>
      </c>
      <c r="AG3" s="5" t="str">
        <f t="shared" si="1"/>
        <v>Wed</v>
      </c>
      <c r="AH3" s="5" t="str">
        <f t="shared" si="1"/>
        <v>Thu</v>
      </c>
      <c r="AI3" s="5" t="str">
        <f t="shared" si="1"/>
        <v>Fri</v>
      </c>
      <c r="AJ3" s="5" t="str">
        <f t="shared" si="1"/>
        <v>Sat</v>
      </c>
      <c r="AK3" s="1" t="s">
        <v>1</v>
      </c>
    </row>
    <row r="4" spans="1:39" x14ac:dyDescent="0.25">
      <c r="A4" s="1"/>
      <c r="B4" s="283" t="s">
        <v>53</v>
      </c>
      <c r="C4" s="284"/>
      <c r="D4" s="47">
        <f>D1/D27</f>
        <v>0.73697292715922613</v>
      </c>
      <c r="E4" s="1"/>
      <c r="F4" s="1" t="s">
        <v>18</v>
      </c>
      <c r="G4" s="8">
        <f>DATE($AK$2,$AK$4,1)</f>
        <v>43252</v>
      </c>
      <c r="H4" s="8">
        <f t="shared" ref="H4:AJ4" si="2">G4+1</f>
        <v>43253</v>
      </c>
      <c r="I4" s="8">
        <f t="shared" si="2"/>
        <v>43254</v>
      </c>
      <c r="J4" s="8">
        <f t="shared" si="2"/>
        <v>43255</v>
      </c>
      <c r="K4" s="8">
        <f t="shared" si="2"/>
        <v>43256</v>
      </c>
      <c r="L4" s="8">
        <f t="shared" si="2"/>
        <v>43257</v>
      </c>
      <c r="M4" s="8">
        <f t="shared" si="2"/>
        <v>43258</v>
      </c>
      <c r="N4" s="8">
        <f t="shared" si="2"/>
        <v>43259</v>
      </c>
      <c r="O4" s="8">
        <f t="shared" si="2"/>
        <v>43260</v>
      </c>
      <c r="P4" s="8">
        <f t="shared" si="2"/>
        <v>43261</v>
      </c>
      <c r="Q4" s="8">
        <f t="shared" si="2"/>
        <v>43262</v>
      </c>
      <c r="R4" s="8">
        <f t="shared" si="2"/>
        <v>43263</v>
      </c>
      <c r="S4" s="8">
        <f t="shared" si="2"/>
        <v>43264</v>
      </c>
      <c r="T4" s="8">
        <f t="shared" si="2"/>
        <v>43265</v>
      </c>
      <c r="U4" s="8">
        <f t="shared" si="2"/>
        <v>43266</v>
      </c>
      <c r="V4" s="8">
        <f t="shared" si="2"/>
        <v>43267</v>
      </c>
      <c r="W4" s="8">
        <f t="shared" si="2"/>
        <v>43268</v>
      </c>
      <c r="X4" s="8">
        <f t="shared" si="2"/>
        <v>43269</v>
      </c>
      <c r="Y4" s="8">
        <f t="shared" si="2"/>
        <v>43270</v>
      </c>
      <c r="Z4" s="8">
        <f t="shared" si="2"/>
        <v>43271</v>
      </c>
      <c r="AA4" s="8">
        <f t="shared" si="2"/>
        <v>43272</v>
      </c>
      <c r="AB4" s="8">
        <f t="shared" si="2"/>
        <v>43273</v>
      </c>
      <c r="AC4" s="8">
        <f t="shared" si="2"/>
        <v>43274</v>
      </c>
      <c r="AD4" s="8">
        <f t="shared" si="2"/>
        <v>43275</v>
      </c>
      <c r="AE4" s="8">
        <f t="shared" si="2"/>
        <v>43276</v>
      </c>
      <c r="AF4" s="8">
        <f t="shared" si="2"/>
        <v>43277</v>
      </c>
      <c r="AG4" s="8">
        <f t="shared" si="2"/>
        <v>43278</v>
      </c>
      <c r="AH4" s="8">
        <f t="shared" si="2"/>
        <v>43279</v>
      </c>
      <c r="AI4" s="8">
        <f t="shared" si="2"/>
        <v>43280</v>
      </c>
      <c r="AJ4" s="8">
        <f t="shared" si="2"/>
        <v>43281</v>
      </c>
      <c r="AK4" s="1">
        <v>6</v>
      </c>
      <c r="AL4" s="1"/>
      <c r="AM4" s="1"/>
    </row>
    <row r="5" spans="1:39" x14ac:dyDescent="0.25">
      <c r="A5" s="19" t="s">
        <v>55</v>
      </c>
      <c r="B5" s="11" t="s">
        <v>56</v>
      </c>
      <c r="C5" s="11" t="s">
        <v>57</v>
      </c>
      <c r="D5" s="11" t="s">
        <v>16</v>
      </c>
      <c r="E5" s="15">
        <f>SUM(E6:E25)</f>
        <v>0</v>
      </c>
      <c r="F5" s="15" t="s">
        <v>16</v>
      </c>
      <c r="G5" s="15">
        <f t="shared" ref="G5:AJ5" si="3">SUM(G6:G25)</f>
        <v>0</v>
      </c>
      <c r="H5" s="15">
        <f t="shared" si="3"/>
        <v>89.06</v>
      </c>
      <c r="I5" s="15">
        <f t="shared" si="3"/>
        <v>2</v>
      </c>
      <c r="J5" s="15">
        <f t="shared" si="3"/>
        <v>0</v>
      </c>
      <c r="K5" s="15">
        <f t="shared" si="3"/>
        <v>9.9</v>
      </c>
      <c r="L5" s="15">
        <f t="shared" si="3"/>
        <v>0</v>
      </c>
      <c r="M5" s="15">
        <f t="shared" si="3"/>
        <v>100</v>
      </c>
      <c r="N5" s="15">
        <f t="shared" si="3"/>
        <v>145.94999999999999</v>
      </c>
      <c r="O5" s="15">
        <f t="shared" si="3"/>
        <v>4.8</v>
      </c>
      <c r="P5" s="15">
        <f t="shared" si="3"/>
        <v>20</v>
      </c>
      <c r="Q5" s="15">
        <f t="shared" si="3"/>
        <v>12</v>
      </c>
      <c r="R5" s="15">
        <f t="shared" si="3"/>
        <v>9.9</v>
      </c>
      <c r="S5" s="15">
        <f t="shared" si="3"/>
        <v>0</v>
      </c>
      <c r="T5" s="15">
        <f t="shared" si="3"/>
        <v>0</v>
      </c>
      <c r="U5" s="15">
        <f t="shared" si="3"/>
        <v>21.9</v>
      </c>
      <c r="V5" s="15">
        <f t="shared" si="3"/>
        <v>82.9</v>
      </c>
      <c r="W5" s="15">
        <f t="shared" si="3"/>
        <v>0</v>
      </c>
      <c r="X5" s="15">
        <f t="shared" si="3"/>
        <v>5</v>
      </c>
      <c r="Y5" s="15">
        <f t="shared" si="3"/>
        <v>5.8</v>
      </c>
      <c r="Z5" s="15">
        <f t="shared" si="3"/>
        <v>0</v>
      </c>
      <c r="AA5" s="15">
        <f t="shared" si="3"/>
        <v>4</v>
      </c>
      <c r="AB5" s="15">
        <f t="shared" si="3"/>
        <v>36.799999999999997</v>
      </c>
      <c r="AC5" s="15">
        <f t="shared" si="3"/>
        <v>0</v>
      </c>
      <c r="AD5" s="15">
        <f t="shared" si="3"/>
        <v>46.3</v>
      </c>
      <c r="AE5" s="15">
        <f t="shared" si="3"/>
        <v>98</v>
      </c>
      <c r="AF5" s="15">
        <f t="shared" si="3"/>
        <v>4.5999999999999996</v>
      </c>
      <c r="AG5" s="15">
        <f t="shared" si="3"/>
        <v>0</v>
      </c>
      <c r="AH5" s="15">
        <f t="shared" si="3"/>
        <v>186.9</v>
      </c>
      <c r="AI5" s="15">
        <f t="shared" si="3"/>
        <v>5.5</v>
      </c>
      <c r="AJ5" s="15">
        <f t="shared" si="3"/>
        <v>13</v>
      </c>
      <c r="AK5" s="1"/>
      <c r="AL5" s="1"/>
      <c r="AM5" s="1"/>
    </row>
    <row r="6" spans="1:39" x14ac:dyDescent="0.25">
      <c r="A6" s="19" t="s">
        <v>25</v>
      </c>
      <c r="B6" s="11" t="s">
        <v>20</v>
      </c>
      <c r="C6" s="11"/>
      <c r="D6" s="15">
        <f t="shared" ref="D6:D25" si="4">SUM(E6:AJ6)</f>
        <v>99.199999999999989</v>
      </c>
      <c r="E6" s="15"/>
      <c r="F6" s="15"/>
      <c r="G6" s="1"/>
      <c r="H6" s="1">
        <f>39.8+14</f>
        <v>53.8</v>
      </c>
      <c r="I6" s="1"/>
      <c r="J6" s="1"/>
      <c r="K6" s="1"/>
      <c r="L6" s="1"/>
      <c r="M6" s="1"/>
      <c r="N6" s="1">
        <f>5.5+2</f>
        <v>7.5</v>
      </c>
      <c r="O6" s="1"/>
      <c r="P6" s="1"/>
      <c r="Q6" s="1"/>
      <c r="R6" s="1"/>
      <c r="S6" s="1"/>
      <c r="T6" s="1"/>
      <c r="U6" s="1"/>
      <c r="V6" s="1">
        <v>20</v>
      </c>
      <c r="W6" s="1"/>
      <c r="X6" s="1"/>
      <c r="Y6" s="1"/>
      <c r="Z6" s="1"/>
      <c r="AA6" s="1"/>
      <c r="AB6" s="1">
        <v>17.899999999999999</v>
      </c>
      <c r="AC6" s="1"/>
      <c r="AD6" s="1"/>
      <c r="AE6" s="1"/>
      <c r="AF6" s="1"/>
      <c r="AG6" s="1"/>
      <c r="AH6" s="1"/>
      <c r="AI6" s="1"/>
      <c r="AJ6" s="1"/>
      <c r="AK6" s="1"/>
    </row>
    <row r="7" spans="1:39" x14ac:dyDescent="0.25">
      <c r="A7" s="19" t="s">
        <v>25</v>
      </c>
      <c r="B7" s="11" t="s">
        <v>21</v>
      </c>
      <c r="C7" s="11"/>
      <c r="D7" s="15">
        <f t="shared" si="4"/>
        <v>36.700000000000003</v>
      </c>
      <c r="E7" s="15"/>
      <c r="F7" s="15"/>
      <c r="G7" s="1"/>
      <c r="H7" s="1"/>
      <c r="I7" s="1"/>
      <c r="J7" s="1"/>
      <c r="K7" s="1">
        <v>9.9</v>
      </c>
      <c r="L7" s="1"/>
      <c r="M7" s="1"/>
      <c r="N7" s="1"/>
      <c r="O7" s="1"/>
      <c r="P7" s="1"/>
      <c r="Q7" s="1"/>
      <c r="R7" s="1">
        <v>9.9</v>
      </c>
      <c r="S7" s="1"/>
      <c r="T7" s="1"/>
      <c r="U7" s="1">
        <f>16.9</f>
        <v>16.899999999999999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9" x14ac:dyDescent="0.25">
      <c r="A8" s="19" t="s">
        <v>25</v>
      </c>
      <c r="B8" s="11" t="s">
        <v>22</v>
      </c>
      <c r="C8" s="11"/>
      <c r="D8" s="15">
        <f t="shared" si="4"/>
        <v>31.2</v>
      </c>
      <c r="E8" s="15"/>
      <c r="F8" s="15"/>
      <c r="G8" s="1"/>
      <c r="H8" s="1"/>
      <c r="I8" s="1"/>
      <c r="J8" s="1"/>
      <c r="K8" s="1"/>
      <c r="L8" s="1"/>
      <c r="M8" s="1"/>
      <c r="N8" s="1"/>
      <c r="O8" s="1"/>
      <c r="P8" s="1"/>
      <c r="Q8" s="1">
        <v>7</v>
      </c>
      <c r="R8" s="1"/>
      <c r="S8" s="1"/>
      <c r="T8" s="1"/>
      <c r="U8" s="1"/>
      <c r="V8" s="1"/>
      <c r="W8" s="1"/>
      <c r="X8" s="1">
        <v>5</v>
      </c>
      <c r="Y8" s="1"/>
      <c r="Z8" s="1"/>
      <c r="AA8" s="1"/>
      <c r="AB8" s="1"/>
      <c r="AC8" s="1"/>
      <c r="AD8" s="1"/>
      <c r="AE8" s="1"/>
      <c r="AF8" s="1">
        <v>2.2999999999999998</v>
      </c>
      <c r="AG8" s="1"/>
      <c r="AH8" s="1">
        <v>16.899999999999999</v>
      </c>
      <c r="AI8" s="1"/>
      <c r="AJ8" s="1"/>
      <c r="AK8" s="1"/>
      <c r="AM8" s="15"/>
    </row>
    <row r="9" spans="1:39" x14ac:dyDescent="0.25">
      <c r="A9" s="19" t="s">
        <v>25</v>
      </c>
      <c r="B9" s="11" t="s">
        <v>23</v>
      </c>
      <c r="C9" s="11"/>
      <c r="D9" s="15">
        <f t="shared" si="4"/>
        <v>28.900000000000002</v>
      </c>
      <c r="E9" s="15"/>
      <c r="F9" s="15"/>
      <c r="G9" s="1"/>
      <c r="H9" s="1"/>
      <c r="I9" s="1"/>
      <c r="J9" s="1"/>
      <c r="K9" s="1"/>
      <c r="L9" s="1"/>
      <c r="M9" s="1"/>
      <c r="N9" s="1"/>
      <c r="O9" s="1">
        <v>4.8</v>
      </c>
      <c r="P9" s="1"/>
      <c r="Q9" s="1">
        <v>5</v>
      </c>
      <c r="R9" s="1"/>
      <c r="S9" s="1"/>
      <c r="T9" s="1"/>
      <c r="U9" s="1">
        <v>5</v>
      </c>
      <c r="V9" s="1"/>
      <c r="W9" s="1"/>
      <c r="X9" s="54"/>
      <c r="Y9" s="1">
        <v>5.8</v>
      </c>
      <c r="Z9" s="1"/>
      <c r="AA9" s="1">
        <v>4</v>
      </c>
      <c r="AB9" s="1">
        <v>1</v>
      </c>
      <c r="AC9" s="1"/>
      <c r="AD9" s="1">
        <v>1</v>
      </c>
      <c r="AE9" s="1"/>
      <c r="AF9" s="1">
        <v>2.2999999999999998</v>
      </c>
      <c r="AG9" s="1"/>
      <c r="AH9" s="1"/>
      <c r="AI9" s="1"/>
      <c r="AJ9" s="1"/>
      <c r="AK9" s="1"/>
    </row>
    <row r="10" spans="1:39" x14ac:dyDescent="0.25">
      <c r="A10" s="19" t="s">
        <v>25</v>
      </c>
      <c r="B10" s="11" t="s">
        <v>23</v>
      </c>
      <c r="C10" s="11" t="s">
        <v>38</v>
      </c>
      <c r="D10" s="15">
        <f t="shared" si="4"/>
        <v>58.45</v>
      </c>
      <c r="E10" s="15"/>
      <c r="F10" s="15"/>
      <c r="G10" s="1"/>
      <c r="H10" s="1"/>
      <c r="I10" s="1"/>
      <c r="J10" s="1"/>
      <c r="K10" s="1"/>
      <c r="L10" s="1"/>
      <c r="M10" s="1"/>
      <c r="N10" s="1"/>
      <c r="O10" s="1"/>
      <c r="P10" s="1">
        <v>20</v>
      </c>
      <c r="Q10" s="1"/>
      <c r="R10" s="1"/>
      <c r="S10" s="1"/>
      <c r="T10" s="1"/>
      <c r="U10" s="1"/>
      <c r="V10" s="1">
        <v>8.4499999999999993</v>
      </c>
      <c r="W10" s="1"/>
      <c r="X10" s="1"/>
      <c r="Y10" s="54"/>
      <c r="Z10" s="1"/>
      <c r="AA10" s="1"/>
      <c r="AB10" s="1"/>
      <c r="AC10" s="54"/>
      <c r="AD10" s="1"/>
      <c r="AE10" s="1"/>
      <c r="AG10" s="1"/>
      <c r="AH10" s="1">
        <v>20</v>
      </c>
      <c r="AI10" s="1"/>
      <c r="AJ10" s="1">
        <v>10</v>
      </c>
      <c r="AK10" s="1"/>
    </row>
    <row r="11" spans="1:39" x14ac:dyDescent="0.25">
      <c r="A11" s="19" t="s">
        <v>25</v>
      </c>
      <c r="B11" s="11" t="s">
        <v>24</v>
      </c>
      <c r="C11" s="11"/>
      <c r="D11" s="15">
        <f t="shared" si="4"/>
        <v>10.5</v>
      </c>
      <c r="E11" s="15"/>
      <c r="F11" s="15"/>
      <c r="G11" s="1"/>
      <c r="H11" s="1"/>
      <c r="I11" s="1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5.5</v>
      </c>
      <c r="AJ11" s="1">
        <v>3</v>
      </c>
      <c r="AK11" s="1"/>
    </row>
    <row r="12" spans="1:39" x14ac:dyDescent="0.25">
      <c r="A12" s="11" t="s">
        <v>43</v>
      </c>
      <c r="B12" s="11" t="s">
        <v>27</v>
      </c>
      <c r="C12" s="11"/>
      <c r="D12" s="15">
        <f t="shared" si="4"/>
        <v>150</v>
      </c>
      <c r="E12" s="15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150</v>
      </c>
      <c r="AI12" s="1"/>
      <c r="AJ12" s="1"/>
      <c r="AK12" s="1"/>
    </row>
    <row r="13" spans="1:39" x14ac:dyDescent="0.25">
      <c r="A13" s="11" t="s">
        <v>43</v>
      </c>
      <c r="B13" s="11" t="s">
        <v>28</v>
      </c>
      <c r="C13" s="11"/>
      <c r="D13" s="15">
        <f t="shared" si="4"/>
        <v>20</v>
      </c>
      <c r="E13" s="15"/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20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9" x14ac:dyDescent="0.25">
      <c r="A14" s="11" t="s">
        <v>43</v>
      </c>
      <c r="B14" s="11" t="s">
        <v>29</v>
      </c>
      <c r="C14" s="11"/>
      <c r="D14" s="15">
        <f t="shared" si="4"/>
        <v>71.8</v>
      </c>
      <c r="E14" s="15"/>
      <c r="F14" s="15"/>
      <c r="G14" s="1"/>
      <c r="H14" s="1"/>
      <c r="I14" s="1"/>
      <c r="J14" s="1"/>
      <c r="K14" s="1"/>
      <c r="L14" s="1"/>
      <c r="M14" s="1"/>
      <c r="N14" s="1">
        <v>13.45</v>
      </c>
      <c r="O14" s="1"/>
      <c r="P14" s="1"/>
      <c r="Q14" s="1"/>
      <c r="R14" s="1"/>
      <c r="S14" s="1"/>
      <c r="T14" s="1"/>
      <c r="U14" s="1"/>
      <c r="V14" s="1">
        <v>13.45</v>
      </c>
      <c r="W14" s="1"/>
      <c r="X14" s="1"/>
      <c r="Y14" s="1"/>
      <c r="Z14" s="1"/>
      <c r="AA14" s="1"/>
      <c r="AB14" s="1"/>
      <c r="AC14" s="1"/>
      <c r="AD14" s="1">
        <v>44.9</v>
      </c>
      <c r="AE14" s="1"/>
      <c r="AF14" s="1"/>
      <c r="AG14" s="1"/>
      <c r="AH14" s="1"/>
      <c r="AI14" s="1"/>
      <c r="AJ14" s="1"/>
      <c r="AK14" s="1"/>
    </row>
    <row r="15" spans="1:39" x14ac:dyDescent="0.25">
      <c r="A15" s="19" t="s">
        <v>46</v>
      </c>
      <c r="B15" s="11" t="s">
        <v>31</v>
      </c>
      <c r="C15" s="11"/>
      <c r="D15" s="15">
        <f t="shared" si="4"/>
        <v>198</v>
      </c>
      <c r="E15" s="15"/>
      <c r="F15" s="15"/>
      <c r="G15" s="1"/>
      <c r="H15" s="1"/>
      <c r="I15" s="1"/>
      <c r="J15" s="1"/>
      <c r="K15" s="1"/>
      <c r="L15" s="1"/>
      <c r="M15" s="1">
        <v>100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98</v>
      </c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9" t="s">
        <v>46</v>
      </c>
      <c r="B16" s="11" t="s">
        <v>32</v>
      </c>
      <c r="C16" s="11"/>
      <c r="D16" s="15">
        <f t="shared" si="4"/>
        <v>125</v>
      </c>
      <c r="E16" s="15"/>
      <c r="F16" s="15"/>
      <c r="G16" s="1"/>
      <c r="H16" s="1"/>
      <c r="I16" s="1"/>
      <c r="J16" s="1"/>
      <c r="K16" s="1"/>
      <c r="L16" s="1"/>
      <c r="M16" s="1"/>
      <c r="N16" s="1">
        <v>125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9" t="s">
        <v>46</v>
      </c>
      <c r="B17" s="11" t="s">
        <v>33</v>
      </c>
      <c r="C17" s="11"/>
      <c r="D17" s="15">
        <f t="shared" si="4"/>
        <v>38.9</v>
      </c>
      <c r="E17" s="15"/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21</v>
      </c>
      <c r="W17" s="1"/>
      <c r="X17" s="1"/>
      <c r="Y17" s="1"/>
      <c r="Z17" s="1"/>
      <c r="AA17" s="1"/>
      <c r="AB17" s="1">
        <v>17.899999999999999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9" t="s">
        <v>43</v>
      </c>
      <c r="B18" s="11" t="s">
        <v>34</v>
      </c>
      <c r="C18" s="11"/>
      <c r="D18" s="15">
        <f t="shared" si="4"/>
        <v>0</v>
      </c>
      <c r="E18" s="15"/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9" t="s">
        <v>43</v>
      </c>
      <c r="B19" s="11" t="s">
        <v>35</v>
      </c>
      <c r="C19" s="11"/>
      <c r="D19" s="15">
        <f t="shared" si="4"/>
        <v>0.4</v>
      </c>
      <c r="E19" s="15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>
        <v>0.4</v>
      </c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9" t="s">
        <v>43</v>
      </c>
      <c r="B20" s="11" t="s">
        <v>36</v>
      </c>
      <c r="C20" s="11"/>
      <c r="D20" s="15">
        <f t="shared" si="4"/>
        <v>0</v>
      </c>
      <c r="E20" s="15"/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.75" customHeight="1" x14ac:dyDescent="0.25">
      <c r="A21" s="19" t="s">
        <v>43</v>
      </c>
      <c r="B21" s="11" t="s">
        <v>37</v>
      </c>
      <c r="C21" s="11"/>
      <c r="D21" s="15">
        <f t="shared" si="4"/>
        <v>0</v>
      </c>
      <c r="E21" s="15"/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.75" customHeight="1" x14ac:dyDescent="0.25">
      <c r="A22" s="19" t="s">
        <v>43</v>
      </c>
      <c r="B22" s="11" t="s">
        <v>39</v>
      </c>
      <c r="C22" s="11"/>
      <c r="D22" s="15">
        <f t="shared" si="4"/>
        <v>0</v>
      </c>
      <c r="E22" s="15"/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.75" customHeight="1" x14ac:dyDescent="0.25">
      <c r="A23" s="19" t="s">
        <v>43</v>
      </c>
      <c r="B23" s="11" t="s">
        <v>40</v>
      </c>
      <c r="C23" s="11"/>
      <c r="D23" s="15">
        <f t="shared" si="4"/>
        <v>35.26</v>
      </c>
      <c r="E23" s="15"/>
      <c r="F23" s="15"/>
      <c r="G23" s="1"/>
      <c r="H23" s="1">
        <v>35.26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.75" customHeight="1" x14ac:dyDescent="0.25">
      <c r="A24" s="19" t="s">
        <v>43</v>
      </c>
      <c r="B24" s="11" t="s">
        <v>41</v>
      </c>
      <c r="C24" s="11"/>
      <c r="D24" s="15">
        <f t="shared" si="4"/>
        <v>0</v>
      </c>
      <c r="E24" s="15"/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.75" customHeight="1" x14ac:dyDescent="0.25">
      <c r="A25" s="19" t="s">
        <v>43</v>
      </c>
      <c r="B25" s="11" t="s">
        <v>42</v>
      </c>
      <c r="C25" s="11"/>
      <c r="D25" s="15">
        <f t="shared" si="4"/>
        <v>0</v>
      </c>
      <c r="E25" s="15"/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.75" customHeight="1" x14ac:dyDescent="0.25">
      <c r="A26" s="1"/>
      <c r="B26" s="1"/>
      <c r="C26" s="1"/>
      <c r="D26" s="12"/>
      <c r="E26" s="12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4"/>
      <c r="AK26" s="1"/>
      <c r="AL26" s="1"/>
      <c r="AM26" s="1"/>
    </row>
    <row r="27" spans="1:39" ht="15.75" customHeight="1" x14ac:dyDescent="0.25">
      <c r="A27" s="19" t="s">
        <v>65</v>
      </c>
      <c r="B27" s="11" t="s">
        <v>44</v>
      </c>
      <c r="C27" s="11"/>
      <c r="D27" s="15">
        <f>SUM(G27:AH27)</f>
        <v>1227.06</v>
      </c>
      <c r="E27" s="57"/>
      <c r="F27" s="57"/>
      <c r="G27" s="58"/>
      <c r="H27" s="58"/>
      <c r="I27" s="58"/>
      <c r="J27" s="58"/>
      <c r="K27" s="58"/>
      <c r="L27" s="58">
        <v>200</v>
      </c>
      <c r="M27" s="58"/>
      <c r="N27" s="58"/>
      <c r="O27" s="58"/>
      <c r="P27" s="58"/>
      <c r="Q27" s="58">
        <v>527.55999999999995</v>
      </c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>
        <v>100</v>
      </c>
      <c r="AE27" s="58">
        <v>-0.5</v>
      </c>
      <c r="AF27" s="58">
        <v>400</v>
      </c>
      <c r="AG27" s="58"/>
      <c r="AH27" s="58"/>
      <c r="AI27" s="58"/>
      <c r="AJ27" s="59"/>
    </row>
    <row r="28" spans="1:39" ht="15.75" customHeight="1" x14ac:dyDescent="0.25">
      <c r="A28" s="1"/>
      <c r="B28" s="1"/>
      <c r="C28" s="1"/>
      <c r="D28" s="12"/>
      <c r="E28" s="60"/>
      <c r="F28" s="60"/>
      <c r="G28" s="61">
        <f>DATE($AK$2,$AK$4,1)</f>
        <v>43252</v>
      </c>
      <c r="H28" s="61">
        <f t="shared" ref="H28:AJ28" si="5">G28+1</f>
        <v>43253</v>
      </c>
      <c r="I28" s="61">
        <f t="shared" si="5"/>
        <v>43254</v>
      </c>
      <c r="J28" s="61">
        <f t="shared" si="5"/>
        <v>43255</v>
      </c>
      <c r="K28" s="61">
        <f t="shared" si="5"/>
        <v>43256</v>
      </c>
      <c r="L28" s="61">
        <f t="shared" si="5"/>
        <v>43257</v>
      </c>
      <c r="M28" s="61">
        <f t="shared" si="5"/>
        <v>43258</v>
      </c>
      <c r="N28" s="61">
        <f t="shared" si="5"/>
        <v>43259</v>
      </c>
      <c r="O28" s="61">
        <f t="shared" si="5"/>
        <v>43260</v>
      </c>
      <c r="P28" s="61">
        <f t="shared" si="5"/>
        <v>43261</v>
      </c>
      <c r="Q28" s="61">
        <f t="shared" si="5"/>
        <v>43262</v>
      </c>
      <c r="R28" s="61">
        <f t="shared" si="5"/>
        <v>43263</v>
      </c>
      <c r="S28" s="61">
        <f t="shared" si="5"/>
        <v>43264</v>
      </c>
      <c r="T28" s="61">
        <f t="shared" si="5"/>
        <v>43265</v>
      </c>
      <c r="U28" s="61">
        <f t="shared" si="5"/>
        <v>43266</v>
      </c>
      <c r="V28" s="61">
        <f t="shared" si="5"/>
        <v>43267</v>
      </c>
      <c r="W28" s="61">
        <f t="shared" si="5"/>
        <v>43268</v>
      </c>
      <c r="X28" s="61">
        <f t="shared" si="5"/>
        <v>43269</v>
      </c>
      <c r="Y28" s="61">
        <f t="shared" si="5"/>
        <v>43270</v>
      </c>
      <c r="Z28" s="61">
        <f t="shared" si="5"/>
        <v>43271</v>
      </c>
      <c r="AA28" s="61">
        <f t="shared" si="5"/>
        <v>43272</v>
      </c>
      <c r="AB28" s="62">
        <f t="shared" si="5"/>
        <v>43273</v>
      </c>
      <c r="AC28" s="61">
        <f t="shared" si="5"/>
        <v>43274</v>
      </c>
      <c r="AD28" s="61">
        <f t="shared" si="5"/>
        <v>43275</v>
      </c>
      <c r="AE28" s="61">
        <f t="shared" si="5"/>
        <v>43276</v>
      </c>
      <c r="AF28" s="61">
        <f t="shared" si="5"/>
        <v>43277</v>
      </c>
      <c r="AG28" s="61">
        <f t="shared" si="5"/>
        <v>43278</v>
      </c>
      <c r="AH28" s="61">
        <f t="shared" si="5"/>
        <v>43279</v>
      </c>
      <c r="AI28" s="61">
        <f t="shared" si="5"/>
        <v>43280</v>
      </c>
      <c r="AJ28" s="61">
        <f t="shared" si="5"/>
        <v>43281</v>
      </c>
    </row>
    <row r="29" spans="1:39" ht="15.75" customHeight="1" x14ac:dyDescent="0.25">
      <c r="A29" s="44"/>
      <c r="B29" s="63"/>
      <c r="C29" s="63"/>
      <c r="D29" s="63"/>
      <c r="E29" s="60"/>
      <c r="F29" s="60"/>
      <c r="G29" s="58"/>
      <c r="H29" s="64">
        <f t="shared" ref="H29:AJ29" si="6">SUM($G$5:H5)</f>
        <v>89.06</v>
      </c>
      <c r="I29" s="64">
        <f t="shared" si="6"/>
        <v>91.06</v>
      </c>
      <c r="J29" s="64">
        <f t="shared" si="6"/>
        <v>91.06</v>
      </c>
      <c r="K29" s="64">
        <f t="shared" si="6"/>
        <v>100.96000000000001</v>
      </c>
      <c r="L29" s="64">
        <f t="shared" si="6"/>
        <v>100.96000000000001</v>
      </c>
      <c r="M29" s="64">
        <f t="shared" si="6"/>
        <v>200.96</v>
      </c>
      <c r="N29" s="64">
        <f t="shared" si="6"/>
        <v>346.90999999999997</v>
      </c>
      <c r="O29" s="64">
        <f t="shared" si="6"/>
        <v>351.71</v>
      </c>
      <c r="P29" s="64">
        <f t="shared" si="6"/>
        <v>371.71</v>
      </c>
      <c r="Q29" s="64">
        <f t="shared" si="6"/>
        <v>383.71</v>
      </c>
      <c r="R29" s="64">
        <f t="shared" si="6"/>
        <v>393.60999999999996</v>
      </c>
      <c r="S29" s="64">
        <f t="shared" si="6"/>
        <v>393.60999999999996</v>
      </c>
      <c r="T29" s="64">
        <f t="shared" si="6"/>
        <v>393.60999999999996</v>
      </c>
      <c r="U29" s="64">
        <f t="shared" si="6"/>
        <v>415.50999999999993</v>
      </c>
      <c r="V29" s="64">
        <f t="shared" si="6"/>
        <v>498.40999999999997</v>
      </c>
      <c r="W29" s="64">
        <f t="shared" si="6"/>
        <v>498.40999999999997</v>
      </c>
      <c r="X29" s="64">
        <f t="shared" si="6"/>
        <v>503.40999999999997</v>
      </c>
      <c r="Y29" s="64">
        <f t="shared" si="6"/>
        <v>509.21</v>
      </c>
      <c r="Z29" s="64">
        <f t="shared" si="6"/>
        <v>509.21</v>
      </c>
      <c r="AA29" s="64">
        <f t="shared" si="6"/>
        <v>513.21</v>
      </c>
      <c r="AB29" s="64">
        <f t="shared" si="6"/>
        <v>550.01</v>
      </c>
      <c r="AC29" s="64">
        <f t="shared" si="6"/>
        <v>550.01</v>
      </c>
      <c r="AD29" s="64">
        <f t="shared" si="6"/>
        <v>596.30999999999995</v>
      </c>
      <c r="AE29" s="64">
        <f t="shared" si="6"/>
        <v>694.31</v>
      </c>
      <c r="AF29" s="64">
        <f t="shared" si="6"/>
        <v>698.91</v>
      </c>
      <c r="AG29" s="64">
        <f t="shared" si="6"/>
        <v>698.91</v>
      </c>
      <c r="AH29" s="64">
        <f t="shared" si="6"/>
        <v>885.81</v>
      </c>
      <c r="AI29" s="64">
        <f t="shared" si="6"/>
        <v>891.31</v>
      </c>
      <c r="AJ29" s="64">
        <f t="shared" si="6"/>
        <v>904.31</v>
      </c>
      <c r="AK29" s="1"/>
      <c r="AL29" s="1"/>
      <c r="AM29" s="1"/>
    </row>
    <row r="30" spans="1:39" ht="15.75" customHeight="1" x14ac:dyDescent="0.25">
      <c r="A30" s="44"/>
      <c r="B30" s="65" t="s">
        <v>69</v>
      </c>
      <c r="C30" s="44"/>
      <c r="D30" s="44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7">
        <f t="shared" ref="AG30:AJ30" si="7">AF35-AG5</f>
        <v>1966.2800000000002</v>
      </c>
      <c r="AH30" s="67">
        <f t="shared" si="7"/>
        <v>1779.38</v>
      </c>
      <c r="AI30" s="67">
        <f t="shared" si="7"/>
        <v>1773.88</v>
      </c>
      <c r="AJ30" s="67">
        <f t="shared" si="7"/>
        <v>1760.88</v>
      </c>
      <c r="AK30" s="1"/>
      <c r="AL30" s="1"/>
      <c r="AM30" s="1"/>
    </row>
    <row r="31" spans="1:39" ht="15.75" customHeight="1" x14ac:dyDescent="0.25">
      <c r="A31" s="1"/>
      <c r="B31" s="1" t="s">
        <v>61</v>
      </c>
      <c r="C31" s="1"/>
      <c r="D31" s="12"/>
      <c r="E31" s="12"/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>
        <v>33</v>
      </c>
      <c r="AG31" s="1"/>
      <c r="AH31" s="1"/>
      <c r="AI31" s="1"/>
      <c r="AJ31" s="1"/>
      <c r="AK31" s="1"/>
      <c r="AL31" s="1"/>
      <c r="AM31" s="1"/>
    </row>
    <row r="32" spans="1:39" ht="15.75" customHeight="1" x14ac:dyDescent="0.25">
      <c r="A32" s="1"/>
      <c r="B32" s="1" t="s">
        <v>70</v>
      </c>
      <c r="C32" s="1"/>
      <c r="D32" s="12"/>
      <c r="E32" s="12"/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-90.31</v>
      </c>
      <c r="AG32" s="1"/>
      <c r="AH32" s="1"/>
      <c r="AI32" s="1"/>
      <c r="AJ32" s="1"/>
      <c r="AK32" s="1"/>
      <c r="AL32" s="1"/>
      <c r="AM32" s="1"/>
    </row>
    <row r="33" spans="1:39" ht="15.75" customHeight="1" x14ac:dyDescent="0.25">
      <c r="A33" s="1"/>
      <c r="B33" s="1" t="s">
        <v>71</v>
      </c>
      <c r="C33" s="1"/>
      <c r="D33" s="12"/>
      <c r="E33" s="12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>
        <v>1154.21</v>
      </c>
      <c r="AG33" s="1"/>
      <c r="AH33" s="1"/>
      <c r="AI33" s="1"/>
      <c r="AJ33" s="1"/>
      <c r="AK33" s="1"/>
      <c r="AL33" s="1"/>
      <c r="AM33" s="1"/>
    </row>
    <row r="34" spans="1:39" ht="15.75" customHeight="1" x14ac:dyDescent="0.25">
      <c r="A34" s="44"/>
      <c r="B34" s="44" t="s">
        <v>63</v>
      </c>
      <c r="C34" s="44"/>
      <c r="D34" s="68"/>
      <c r="E34" s="68"/>
      <c r="F34" s="68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63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>
        <v>869.38</v>
      </c>
      <c r="AG34" s="44"/>
      <c r="AH34" s="44"/>
      <c r="AI34" s="44"/>
      <c r="AJ34" s="44"/>
      <c r="AK34" s="1"/>
      <c r="AL34" s="1"/>
      <c r="AM34" s="1"/>
    </row>
    <row r="35" spans="1:39" ht="15.75" customHeight="1" x14ac:dyDescent="0.25">
      <c r="A35" s="1"/>
      <c r="B35" s="1"/>
      <c r="C35" s="1"/>
      <c r="D35" s="12">
        <f>SUM(D31:D34)</f>
        <v>0</v>
      </c>
      <c r="E35" s="12"/>
      <c r="F35" s="12"/>
      <c r="G35" s="12">
        <f t="shared" ref="G35:AF35" si="8">SUM(G31:G34)</f>
        <v>0</v>
      </c>
      <c r="H35" s="12">
        <f t="shared" si="8"/>
        <v>0</v>
      </c>
      <c r="I35" s="12">
        <f t="shared" si="8"/>
        <v>0</v>
      </c>
      <c r="J35" s="12">
        <f t="shared" si="8"/>
        <v>0</v>
      </c>
      <c r="K35" s="12">
        <f t="shared" si="8"/>
        <v>0</v>
      </c>
      <c r="L35" s="12">
        <f t="shared" si="8"/>
        <v>0</v>
      </c>
      <c r="M35" s="12">
        <f t="shared" si="8"/>
        <v>0</v>
      </c>
      <c r="N35" s="12">
        <f t="shared" si="8"/>
        <v>0</v>
      </c>
      <c r="O35" s="12">
        <f t="shared" si="8"/>
        <v>0</v>
      </c>
      <c r="P35" s="12">
        <f t="shared" si="8"/>
        <v>0</v>
      </c>
      <c r="Q35" s="12">
        <f t="shared" si="8"/>
        <v>0</v>
      </c>
      <c r="R35" s="12">
        <f t="shared" si="8"/>
        <v>0</v>
      </c>
      <c r="S35" s="12">
        <f t="shared" si="8"/>
        <v>0</v>
      </c>
      <c r="T35" s="12">
        <f t="shared" si="8"/>
        <v>0</v>
      </c>
      <c r="U35" s="12">
        <f t="shared" si="8"/>
        <v>0</v>
      </c>
      <c r="V35" s="12">
        <f t="shared" si="8"/>
        <v>0</v>
      </c>
      <c r="W35" s="12">
        <f t="shared" si="8"/>
        <v>0</v>
      </c>
      <c r="X35" s="12">
        <f t="shared" si="8"/>
        <v>0</v>
      </c>
      <c r="Y35" s="12">
        <f t="shared" si="8"/>
        <v>0</v>
      </c>
      <c r="Z35" s="12">
        <f t="shared" si="8"/>
        <v>0</v>
      </c>
      <c r="AA35" s="12">
        <f t="shared" si="8"/>
        <v>0</v>
      </c>
      <c r="AB35" s="12">
        <f t="shared" si="8"/>
        <v>0</v>
      </c>
      <c r="AC35" s="12">
        <f t="shared" si="8"/>
        <v>0</v>
      </c>
      <c r="AD35" s="12">
        <f t="shared" si="8"/>
        <v>0</v>
      </c>
      <c r="AE35" s="12">
        <f t="shared" si="8"/>
        <v>0</v>
      </c>
      <c r="AF35" s="12">
        <f t="shared" si="8"/>
        <v>1966.2800000000002</v>
      </c>
      <c r="AG35" s="51">
        <f t="shared" ref="AG35:AJ35" si="9">AG30</f>
        <v>1966.2800000000002</v>
      </c>
      <c r="AH35" s="51">
        <f t="shared" si="9"/>
        <v>1779.38</v>
      </c>
      <c r="AI35" s="51">
        <f t="shared" si="9"/>
        <v>1773.88</v>
      </c>
      <c r="AJ35" s="51">
        <f t="shared" si="9"/>
        <v>1760.88</v>
      </c>
      <c r="AK35" s="1"/>
      <c r="AL35" s="1"/>
      <c r="AM35" s="1"/>
    </row>
    <row r="36" spans="1:39" ht="15.75" customHeight="1" x14ac:dyDescent="0.25">
      <c r="A36" s="69"/>
      <c r="B36" s="69"/>
      <c r="C36" s="69"/>
      <c r="D36" s="70"/>
      <c r="E36" s="70"/>
      <c r="F36" s="70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1"/>
      <c r="AL36" s="1"/>
      <c r="AM36" s="1"/>
    </row>
    <row r="37" spans="1:39" ht="15.75" customHeight="1" x14ac:dyDescent="0.25">
      <c r="A37" s="1"/>
      <c r="B37" s="1"/>
      <c r="C37" s="1"/>
      <c r="D37" s="12"/>
      <c r="E37" s="12"/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5.75" customHeight="1" x14ac:dyDescent="0.25"/>
    <row r="237" spans="1:39" ht="15.75" customHeight="1" x14ac:dyDescent="0.25"/>
    <row r="238" spans="1:39" ht="15.75" customHeight="1" x14ac:dyDescent="0.25"/>
    <row r="239" spans="1:39" ht="15.75" customHeight="1" x14ac:dyDescent="0.25"/>
    <row r="240" spans="1:39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1:C1"/>
    <mergeCell ref="B2:C2"/>
    <mergeCell ref="B3:C3"/>
    <mergeCell ref="B4:C4"/>
  </mergeCells>
  <conditionalFormatting sqref="D2">
    <cfRule type="cellIs" dxfId="160" priority="1" operator="greaterThan">
      <formula>0</formula>
    </cfRule>
  </conditionalFormatting>
  <conditionalFormatting sqref="D2">
    <cfRule type="cellIs" dxfId="159" priority="2" operator="lessThan">
      <formula>0</formula>
    </cfRule>
  </conditionalFormatting>
  <conditionalFormatting sqref="AM8">
    <cfRule type="cellIs" dxfId="158" priority="3" operator="greaterThan">
      <formula>0</formula>
    </cfRule>
  </conditionalFormatting>
  <conditionalFormatting sqref="AM8">
    <cfRule type="cellIs" dxfId="157" priority="4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showGridLines="0" workbookViewId="0"/>
  </sheetViews>
  <sheetFormatPr defaultColWidth="14.42578125" defaultRowHeight="15" customHeight="1" x14ac:dyDescent="0.25"/>
  <cols>
    <col min="1" max="1" width="2.42578125" customWidth="1"/>
    <col min="2" max="2" width="18.42578125" customWidth="1"/>
    <col min="3" max="4" width="8.28515625" customWidth="1"/>
    <col min="5" max="6" width="7.140625" customWidth="1"/>
    <col min="7" max="7" width="7.7109375" customWidth="1"/>
    <col min="8" max="9" width="7.140625" customWidth="1"/>
    <col min="10" max="10" width="7.7109375" customWidth="1"/>
    <col min="11" max="14" width="7.140625" customWidth="1"/>
    <col min="15" max="15" width="7.7109375" customWidth="1"/>
    <col min="16" max="16" width="8.85546875" customWidth="1"/>
    <col min="17" max="21" width="7.140625" customWidth="1"/>
    <col min="22" max="22" width="8.85546875" customWidth="1"/>
    <col min="23" max="36" width="7.140625" customWidth="1"/>
    <col min="37" max="37" width="6.7109375" customWidth="1"/>
    <col min="38" max="38" width="18.42578125" customWidth="1"/>
    <col min="39" max="40" width="5.140625" customWidth="1"/>
  </cols>
  <sheetData>
    <row r="1" spans="1:41" x14ac:dyDescent="0.25">
      <c r="A1" s="53"/>
      <c r="B1" s="7">
        <v>36</v>
      </c>
    </row>
    <row r="2" spans="1:41" x14ac:dyDescent="0.25">
      <c r="A2" s="1"/>
      <c r="B2" s="35" t="s">
        <v>45</v>
      </c>
      <c r="C2" s="36">
        <f>SUM(D6:D26)</f>
        <v>1283.6299999999999</v>
      </c>
      <c r="D2" s="1"/>
      <c r="E2" s="1"/>
      <c r="F2" s="5" t="str">
        <f t="shared" ref="F2:AJ2" si="0">IF(OR(F3="sex",F3="sáb",F3="dom"),"fds","sem")</f>
        <v>sem</v>
      </c>
      <c r="G2" s="5" t="str">
        <f t="shared" si="0"/>
        <v>sem</v>
      </c>
      <c r="H2" s="5" t="str">
        <f t="shared" si="0"/>
        <v>sem</v>
      </c>
      <c r="I2" s="5" t="str">
        <f t="shared" si="0"/>
        <v>sem</v>
      </c>
      <c r="J2" s="5" t="str">
        <f t="shared" si="0"/>
        <v>sem</v>
      </c>
      <c r="K2" s="5" t="str">
        <f t="shared" si="0"/>
        <v>sem</v>
      </c>
      <c r="L2" s="5" t="str">
        <f t="shared" si="0"/>
        <v>sem</v>
      </c>
      <c r="M2" s="5" t="str">
        <f t="shared" si="0"/>
        <v>sem</v>
      </c>
      <c r="N2" s="5" t="str">
        <f t="shared" si="0"/>
        <v>sem</v>
      </c>
      <c r="O2" s="5" t="str">
        <f t="shared" si="0"/>
        <v>sem</v>
      </c>
      <c r="P2" s="5" t="str">
        <f t="shared" si="0"/>
        <v>sem</v>
      </c>
      <c r="Q2" s="5" t="str">
        <f t="shared" si="0"/>
        <v>sem</v>
      </c>
      <c r="R2" s="5" t="str">
        <f t="shared" si="0"/>
        <v>sem</v>
      </c>
      <c r="S2" s="5" t="str">
        <f t="shared" si="0"/>
        <v>sem</v>
      </c>
      <c r="T2" s="5" t="str">
        <f t="shared" si="0"/>
        <v>sem</v>
      </c>
      <c r="U2" s="5" t="str">
        <f t="shared" si="0"/>
        <v>sem</v>
      </c>
      <c r="V2" s="5" t="str">
        <f t="shared" si="0"/>
        <v>sem</v>
      </c>
      <c r="W2" s="5" t="str">
        <f t="shared" si="0"/>
        <v>sem</v>
      </c>
      <c r="X2" s="5" t="str">
        <f t="shared" si="0"/>
        <v>sem</v>
      </c>
      <c r="Y2" s="5" t="str">
        <f t="shared" si="0"/>
        <v>sem</v>
      </c>
      <c r="Z2" s="5" t="str">
        <f t="shared" si="0"/>
        <v>sem</v>
      </c>
      <c r="AA2" s="5" t="str">
        <f t="shared" si="0"/>
        <v>sem</v>
      </c>
      <c r="AB2" s="5" t="str">
        <f t="shared" si="0"/>
        <v>sem</v>
      </c>
      <c r="AC2" s="5" t="str">
        <f t="shared" si="0"/>
        <v>sem</v>
      </c>
      <c r="AD2" s="5" t="str">
        <f t="shared" si="0"/>
        <v>sem</v>
      </c>
      <c r="AE2" s="5" t="str">
        <f t="shared" si="0"/>
        <v>sem</v>
      </c>
      <c r="AF2" s="5" t="str">
        <f t="shared" si="0"/>
        <v>sem</v>
      </c>
      <c r="AG2" s="5" t="str">
        <f t="shared" si="0"/>
        <v>sem</v>
      </c>
      <c r="AH2" s="5" t="str">
        <f t="shared" si="0"/>
        <v>sem</v>
      </c>
      <c r="AI2" s="5" t="str">
        <f t="shared" si="0"/>
        <v>sem</v>
      </c>
      <c r="AJ2" s="5" t="str">
        <f t="shared" si="0"/>
        <v>sem</v>
      </c>
      <c r="AL2" s="1" t="s">
        <v>0</v>
      </c>
      <c r="AM2" s="54" t="s">
        <v>64</v>
      </c>
    </row>
    <row r="3" spans="1:41" x14ac:dyDescent="0.25">
      <c r="A3" s="1"/>
      <c r="B3" s="11" t="s">
        <v>47</v>
      </c>
      <c r="C3" s="15">
        <f>D27-C2</f>
        <v>43.930000000000064</v>
      </c>
      <c r="D3" s="1"/>
      <c r="E3" s="1"/>
      <c r="F3" s="5" t="str">
        <f t="shared" ref="F3:AJ3" si="1">TEXT(F4,"ddd")</f>
        <v>Sun</v>
      </c>
      <c r="G3" s="5" t="str">
        <f t="shared" si="1"/>
        <v>Mon</v>
      </c>
      <c r="H3" s="5" t="str">
        <f t="shared" si="1"/>
        <v>Tue</v>
      </c>
      <c r="I3" s="5" t="str">
        <f t="shared" si="1"/>
        <v>Wed</v>
      </c>
      <c r="J3" s="5" t="str">
        <f t="shared" si="1"/>
        <v>Thu</v>
      </c>
      <c r="K3" s="5" t="str">
        <f t="shared" si="1"/>
        <v>Fri</v>
      </c>
      <c r="L3" s="5" t="str">
        <f t="shared" si="1"/>
        <v>Sat</v>
      </c>
      <c r="M3" s="5" t="str">
        <f t="shared" si="1"/>
        <v>Sun</v>
      </c>
      <c r="N3" s="5" t="str">
        <f t="shared" si="1"/>
        <v>Mon</v>
      </c>
      <c r="O3" s="5" t="str">
        <f t="shared" si="1"/>
        <v>Tue</v>
      </c>
      <c r="P3" s="5" t="str">
        <f t="shared" si="1"/>
        <v>Wed</v>
      </c>
      <c r="Q3" s="5" t="str">
        <f t="shared" si="1"/>
        <v>Thu</v>
      </c>
      <c r="R3" s="5" t="str">
        <f t="shared" si="1"/>
        <v>Fri</v>
      </c>
      <c r="S3" s="5" t="str">
        <f t="shared" si="1"/>
        <v>Sat</v>
      </c>
      <c r="T3" s="5" t="str">
        <f t="shared" si="1"/>
        <v>Sun</v>
      </c>
      <c r="U3" s="5" t="str">
        <f t="shared" si="1"/>
        <v>Mon</v>
      </c>
      <c r="V3" s="5" t="str">
        <f t="shared" si="1"/>
        <v>Tue</v>
      </c>
      <c r="W3" s="5" t="str">
        <f t="shared" si="1"/>
        <v>Wed</v>
      </c>
      <c r="X3" s="5" t="str">
        <f t="shared" si="1"/>
        <v>Thu</v>
      </c>
      <c r="Y3" s="5" t="str">
        <f t="shared" si="1"/>
        <v>Fri</v>
      </c>
      <c r="Z3" s="5" t="str">
        <f t="shared" si="1"/>
        <v>Sat</v>
      </c>
      <c r="AA3" s="5" t="str">
        <f t="shared" si="1"/>
        <v>Sun</v>
      </c>
      <c r="AB3" s="5" t="str">
        <f t="shared" si="1"/>
        <v>Mon</v>
      </c>
      <c r="AC3" s="55" t="str">
        <f t="shared" si="1"/>
        <v>Tue</v>
      </c>
      <c r="AD3" s="5" t="str">
        <f t="shared" si="1"/>
        <v>Wed</v>
      </c>
      <c r="AE3" s="5" t="str">
        <f t="shared" si="1"/>
        <v>Thu</v>
      </c>
      <c r="AF3" s="5" t="str">
        <f t="shared" si="1"/>
        <v>Fri</v>
      </c>
      <c r="AG3" s="5" t="str">
        <f t="shared" si="1"/>
        <v>Sat</v>
      </c>
      <c r="AH3" s="5" t="str">
        <f t="shared" si="1"/>
        <v>Sun</v>
      </c>
      <c r="AI3" s="5" t="str">
        <f t="shared" si="1"/>
        <v>Mon</v>
      </c>
      <c r="AJ3" s="5" t="str">
        <f t="shared" si="1"/>
        <v>Tue</v>
      </c>
      <c r="AL3" s="1">
        <v>2018</v>
      </c>
      <c r="AM3" s="56">
        <f ca="1">TODAY()</f>
        <v>43926</v>
      </c>
    </row>
    <row r="4" spans="1:41" x14ac:dyDescent="0.25">
      <c r="A4" s="1"/>
      <c r="B4" s="35" t="s">
        <v>51</v>
      </c>
      <c r="C4" s="46">
        <f>C3/D27</f>
        <v>3.3090783090783144E-2</v>
      </c>
      <c r="D4" s="1"/>
      <c r="E4" s="12" t="s">
        <v>2</v>
      </c>
      <c r="F4" s="8">
        <f>DATE($AL$3,$AL$5,1)</f>
        <v>43282</v>
      </c>
      <c r="G4" s="8">
        <f t="shared" ref="G4:AJ4" si="2">F4+1</f>
        <v>43283</v>
      </c>
      <c r="H4" s="8">
        <f t="shared" si="2"/>
        <v>43284</v>
      </c>
      <c r="I4" s="8">
        <f t="shared" si="2"/>
        <v>43285</v>
      </c>
      <c r="J4" s="8">
        <f t="shared" si="2"/>
        <v>43286</v>
      </c>
      <c r="K4" s="8">
        <f t="shared" si="2"/>
        <v>43287</v>
      </c>
      <c r="L4" s="8">
        <f t="shared" si="2"/>
        <v>43288</v>
      </c>
      <c r="M4" s="8">
        <f t="shared" si="2"/>
        <v>43289</v>
      </c>
      <c r="N4" s="8">
        <f t="shared" si="2"/>
        <v>43290</v>
      </c>
      <c r="O4" s="8">
        <f t="shared" si="2"/>
        <v>43291</v>
      </c>
      <c r="P4" s="8">
        <f t="shared" si="2"/>
        <v>43292</v>
      </c>
      <c r="Q4" s="8">
        <f t="shared" si="2"/>
        <v>43293</v>
      </c>
      <c r="R4" s="8">
        <f t="shared" si="2"/>
        <v>43294</v>
      </c>
      <c r="S4" s="8">
        <f t="shared" si="2"/>
        <v>43295</v>
      </c>
      <c r="T4" s="8">
        <f t="shared" si="2"/>
        <v>43296</v>
      </c>
      <c r="U4" s="8">
        <f t="shared" si="2"/>
        <v>43297</v>
      </c>
      <c r="V4" s="8">
        <f t="shared" si="2"/>
        <v>43298</v>
      </c>
      <c r="W4" s="8">
        <f t="shared" si="2"/>
        <v>43299</v>
      </c>
      <c r="X4" s="8">
        <f t="shared" si="2"/>
        <v>43300</v>
      </c>
      <c r="Y4" s="8">
        <f t="shared" si="2"/>
        <v>43301</v>
      </c>
      <c r="Z4" s="8">
        <f t="shared" si="2"/>
        <v>43302</v>
      </c>
      <c r="AA4" s="8">
        <f t="shared" si="2"/>
        <v>43303</v>
      </c>
      <c r="AB4" s="8">
        <f t="shared" si="2"/>
        <v>43304</v>
      </c>
      <c r="AC4" s="8">
        <f t="shared" si="2"/>
        <v>43305</v>
      </c>
      <c r="AD4" s="8">
        <f t="shared" si="2"/>
        <v>43306</v>
      </c>
      <c r="AE4" s="8">
        <f t="shared" si="2"/>
        <v>43307</v>
      </c>
      <c r="AF4" s="8">
        <f t="shared" si="2"/>
        <v>43308</v>
      </c>
      <c r="AG4" s="8">
        <f t="shared" si="2"/>
        <v>43309</v>
      </c>
      <c r="AH4" s="8">
        <f t="shared" si="2"/>
        <v>43310</v>
      </c>
      <c r="AI4" s="8">
        <f t="shared" si="2"/>
        <v>43311</v>
      </c>
      <c r="AJ4" s="8">
        <f t="shared" si="2"/>
        <v>43312</v>
      </c>
      <c r="AL4" s="1" t="s">
        <v>1</v>
      </c>
      <c r="AM4" s="1" t="str">
        <f ca="1">IF(W4=AM3,"sim","não")</f>
        <v>não</v>
      </c>
      <c r="AO4" s="15"/>
    </row>
    <row r="5" spans="1:41" x14ac:dyDescent="0.25">
      <c r="A5" s="1"/>
      <c r="B5" s="11" t="s">
        <v>53</v>
      </c>
      <c r="C5" s="47">
        <f>C2/D27</f>
        <v>0.96690921690921683</v>
      </c>
      <c r="D5" s="1"/>
      <c r="E5" s="15">
        <f t="shared" ref="E5:AJ5" si="3">SUM(E6:E26)</f>
        <v>0</v>
      </c>
      <c r="F5" s="15">
        <f t="shared" si="3"/>
        <v>13.4</v>
      </c>
      <c r="G5" s="15">
        <f t="shared" si="3"/>
        <v>94.33</v>
      </c>
      <c r="H5" s="15">
        <f t="shared" si="3"/>
        <v>169</v>
      </c>
      <c r="I5" s="15">
        <f t="shared" si="3"/>
        <v>0</v>
      </c>
      <c r="J5" s="15">
        <f t="shared" si="3"/>
        <v>9</v>
      </c>
      <c r="K5" s="15">
        <f t="shared" si="3"/>
        <v>30.72</v>
      </c>
      <c r="L5" s="15">
        <f t="shared" si="3"/>
        <v>3.5</v>
      </c>
      <c r="M5" s="15">
        <f t="shared" si="3"/>
        <v>74.3</v>
      </c>
      <c r="N5" s="15">
        <f t="shared" si="3"/>
        <v>-10</v>
      </c>
      <c r="O5" s="15">
        <f t="shared" si="3"/>
        <v>0</v>
      </c>
      <c r="P5" s="15">
        <f t="shared" si="3"/>
        <v>0</v>
      </c>
      <c r="Q5" s="15">
        <f t="shared" si="3"/>
        <v>28.6</v>
      </c>
      <c r="R5" s="15">
        <f t="shared" si="3"/>
        <v>58.41</v>
      </c>
      <c r="S5" s="15">
        <f t="shared" si="3"/>
        <v>0</v>
      </c>
      <c r="T5" s="15">
        <f t="shared" si="3"/>
        <v>0</v>
      </c>
      <c r="U5" s="15">
        <f t="shared" si="3"/>
        <v>6</v>
      </c>
      <c r="V5" s="15">
        <f t="shared" si="3"/>
        <v>41.7</v>
      </c>
      <c r="W5" s="15">
        <f t="shared" si="3"/>
        <v>0</v>
      </c>
      <c r="X5" s="15">
        <f t="shared" si="3"/>
        <v>15.46</v>
      </c>
      <c r="Y5" s="15">
        <f t="shared" si="3"/>
        <v>0</v>
      </c>
      <c r="Z5" s="15">
        <f t="shared" si="3"/>
        <v>35.200000000000003</v>
      </c>
      <c r="AA5" s="15">
        <f t="shared" si="3"/>
        <v>0</v>
      </c>
      <c r="AB5" s="15">
        <f t="shared" si="3"/>
        <v>18</v>
      </c>
      <c r="AC5" s="15">
        <f t="shared" si="3"/>
        <v>614.9</v>
      </c>
      <c r="AD5" s="15">
        <f t="shared" si="3"/>
        <v>17.899999999999999</v>
      </c>
      <c r="AE5" s="15">
        <f t="shared" si="3"/>
        <v>9.25</v>
      </c>
      <c r="AF5" s="15">
        <f t="shared" si="3"/>
        <v>11</v>
      </c>
      <c r="AG5" s="15">
        <f t="shared" si="3"/>
        <v>17.899999999999999</v>
      </c>
      <c r="AH5" s="15">
        <f t="shared" si="3"/>
        <v>0</v>
      </c>
      <c r="AI5" s="15">
        <f t="shared" si="3"/>
        <v>24.66</v>
      </c>
      <c r="AJ5" s="15">
        <f t="shared" si="3"/>
        <v>0.4</v>
      </c>
      <c r="AL5" s="1">
        <v>7</v>
      </c>
    </row>
    <row r="6" spans="1:41" x14ac:dyDescent="0.25">
      <c r="A6" s="19" t="s">
        <v>25</v>
      </c>
      <c r="B6" s="11" t="s">
        <v>20</v>
      </c>
      <c r="C6" s="11"/>
      <c r="D6" s="15">
        <f t="shared" ref="D6:D12" si="4">SUM(E6:AJ6)</f>
        <v>100.35</v>
      </c>
      <c r="E6" s="20" t="s">
        <v>66</v>
      </c>
      <c r="F6" s="1">
        <v>13.4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>
        <v>25.5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66</v>
      </c>
      <c r="S6" s="1" t="s">
        <v>66</v>
      </c>
      <c r="T6" s="1" t="s">
        <v>66</v>
      </c>
      <c r="U6" s="1" t="s">
        <v>66</v>
      </c>
      <c r="V6" s="1" t="s">
        <v>66</v>
      </c>
      <c r="W6" s="1" t="s">
        <v>66</v>
      </c>
      <c r="X6" s="1" t="s">
        <v>66</v>
      </c>
      <c r="Y6" s="1" t="s">
        <v>66</v>
      </c>
      <c r="Z6" s="1">
        <v>35.200000000000003</v>
      </c>
      <c r="AA6" s="1" t="s">
        <v>66</v>
      </c>
      <c r="AB6" s="1">
        <v>18</v>
      </c>
      <c r="AC6" s="1" t="s">
        <v>66</v>
      </c>
      <c r="AD6" s="1" t="s">
        <v>66</v>
      </c>
      <c r="AE6" s="1">
        <v>8.25</v>
      </c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1"/>
      <c r="AL6" s="11" t="s">
        <v>20</v>
      </c>
    </row>
    <row r="7" spans="1:41" x14ac:dyDescent="0.25">
      <c r="A7" s="19" t="s">
        <v>25</v>
      </c>
      <c r="B7" s="11" t="s">
        <v>21</v>
      </c>
      <c r="C7" s="11"/>
      <c r="D7" s="15">
        <f t="shared" si="4"/>
        <v>51.699999999999996</v>
      </c>
      <c r="E7" s="20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>
        <v>16.899999999999999</v>
      </c>
      <c r="S7" s="1" t="s">
        <v>66</v>
      </c>
      <c r="T7" s="1" t="s">
        <v>66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 t="s">
        <v>66</v>
      </c>
      <c r="AB7" s="1" t="s">
        <v>66</v>
      </c>
      <c r="AC7" s="1" t="s">
        <v>66</v>
      </c>
      <c r="AD7" s="1">
        <v>16.899999999999999</v>
      </c>
      <c r="AE7" s="1" t="s">
        <v>66</v>
      </c>
      <c r="AF7" s="1" t="s">
        <v>66</v>
      </c>
      <c r="AG7" s="1">
        <v>17.899999999999999</v>
      </c>
      <c r="AH7" s="1" t="s">
        <v>66</v>
      </c>
      <c r="AI7" s="1" t="s">
        <v>66</v>
      </c>
      <c r="AJ7" s="1" t="s">
        <v>66</v>
      </c>
      <c r="AK7" s="11"/>
      <c r="AL7" s="11" t="s">
        <v>21</v>
      </c>
    </row>
    <row r="8" spans="1:41" x14ac:dyDescent="0.25">
      <c r="A8" s="19" t="s">
        <v>25</v>
      </c>
      <c r="B8" s="11" t="s">
        <v>22</v>
      </c>
      <c r="C8" s="11"/>
      <c r="D8" s="15">
        <f t="shared" si="4"/>
        <v>56</v>
      </c>
      <c r="E8" s="20" t="s">
        <v>66</v>
      </c>
      <c r="F8" s="1" t="s">
        <v>66</v>
      </c>
      <c r="G8" s="1">
        <v>2</v>
      </c>
      <c r="H8" s="1" t="s">
        <v>66</v>
      </c>
      <c r="I8" s="1" t="s">
        <v>66</v>
      </c>
      <c r="J8" s="1">
        <v>9</v>
      </c>
      <c r="K8" s="1" t="s">
        <v>66</v>
      </c>
      <c r="L8" s="1">
        <v>3.5</v>
      </c>
      <c r="M8" s="1" t="s">
        <v>66</v>
      </c>
      <c r="N8" s="1" t="s">
        <v>66</v>
      </c>
      <c r="O8" s="1" t="s">
        <v>66</v>
      </c>
      <c r="P8" s="1" t="s">
        <v>66</v>
      </c>
      <c r="Q8" s="1">
        <f>2.5+2.5+4</f>
        <v>9</v>
      </c>
      <c r="R8" s="1">
        <v>10</v>
      </c>
      <c r="S8" s="1" t="s">
        <v>66</v>
      </c>
      <c r="T8" s="1" t="s">
        <v>66</v>
      </c>
      <c r="U8" s="1">
        <v>5</v>
      </c>
      <c r="V8" s="1" t="s">
        <v>66</v>
      </c>
      <c r="W8" s="1" t="s">
        <v>66</v>
      </c>
      <c r="X8" s="1">
        <v>5</v>
      </c>
      <c r="Y8" s="1" t="s">
        <v>66</v>
      </c>
      <c r="Z8" s="1" t="s">
        <v>66</v>
      </c>
      <c r="AA8" s="1" t="s">
        <v>66</v>
      </c>
      <c r="AB8" s="1" t="s">
        <v>66</v>
      </c>
      <c r="AC8" s="1" t="s">
        <v>66</v>
      </c>
      <c r="AD8" s="1" t="s">
        <v>66</v>
      </c>
      <c r="AE8" s="1" t="s">
        <v>66</v>
      </c>
      <c r="AF8" s="1">
        <v>7.5</v>
      </c>
      <c r="AG8" s="1" t="s">
        <v>66</v>
      </c>
      <c r="AH8" s="1" t="s">
        <v>66</v>
      </c>
      <c r="AI8" s="1">
        <v>5</v>
      </c>
      <c r="AJ8" s="1" t="s">
        <v>66</v>
      </c>
      <c r="AK8" s="11"/>
      <c r="AL8" s="11" t="s">
        <v>22</v>
      </c>
    </row>
    <row r="9" spans="1:41" x14ac:dyDescent="0.25">
      <c r="A9" s="19" t="s">
        <v>25</v>
      </c>
      <c r="B9" s="11" t="s">
        <v>23</v>
      </c>
      <c r="C9" s="11"/>
      <c r="D9" s="15">
        <f t="shared" si="4"/>
        <v>13</v>
      </c>
      <c r="E9" s="20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>
        <v>5.5</v>
      </c>
      <c r="R9" s="1" t="s">
        <v>66</v>
      </c>
      <c r="S9" s="1" t="s">
        <v>66</v>
      </c>
      <c r="T9" s="1" t="s">
        <v>66</v>
      </c>
      <c r="U9" s="1">
        <v>1</v>
      </c>
      <c r="V9" s="1" t="s">
        <v>66</v>
      </c>
      <c r="W9" s="1" t="s">
        <v>66</v>
      </c>
      <c r="X9" s="1" t="s">
        <v>66</v>
      </c>
      <c r="Y9" s="1" t="s">
        <v>66</v>
      </c>
      <c r="Z9" s="1" t="s">
        <v>66</v>
      </c>
      <c r="AA9" s="1" t="s">
        <v>66</v>
      </c>
      <c r="AB9" s="1" t="s">
        <v>66</v>
      </c>
      <c r="AC9" s="1">
        <v>1</v>
      </c>
      <c r="AD9" s="1">
        <v>1</v>
      </c>
      <c r="AE9" s="1">
        <v>1</v>
      </c>
      <c r="AF9" s="1">
        <v>3.5</v>
      </c>
      <c r="AG9" s="1" t="s">
        <v>66</v>
      </c>
      <c r="AH9" s="1" t="s">
        <v>66</v>
      </c>
      <c r="AI9" s="1" t="s">
        <v>66</v>
      </c>
      <c r="AJ9" s="1" t="s">
        <v>66</v>
      </c>
      <c r="AK9" s="11"/>
      <c r="AL9" s="11" t="s">
        <v>23</v>
      </c>
    </row>
    <row r="10" spans="1:41" x14ac:dyDescent="0.25">
      <c r="A10" s="19" t="s">
        <v>25</v>
      </c>
      <c r="B10" s="11" t="s">
        <v>23</v>
      </c>
      <c r="C10" s="11" t="s">
        <v>38</v>
      </c>
      <c r="D10" s="15">
        <f t="shared" si="4"/>
        <v>50.3</v>
      </c>
      <c r="E10" s="20" t="s">
        <v>66</v>
      </c>
      <c r="F10" s="1" t="s">
        <v>66</v>
      </c>
      <c r="G10" s="1">
        <f>20.3+10</f>
        <v>30.3</v>
      </c>
      <c r="H10" s="1" t="s">
        <v>66</v>
      </c>
      <c r="I10" s="1" t="s">
        <v>66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66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>
        <v>20</v>
      </c>
      <c r="W10" s="1" t="s">
        <v>66</v>
      </c>
      <c r="X10" s="1" t="s">
        <v>66</v>
      </c>
      <c r="Y10" s="1" t="s">
        <v>66</v>
      </c>
      <c r="Z10" s="1" t="s">
        <v>66</v>
      </c>
      <c r="AA10" s="1" t="s">
        <v>66</v>
      </c>
      <c r="AB10" s="1" t="s">
        <v>66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 t="s">
        <v>66</v>
      </c>
      <c r="AJ10" s="1" t="s">
        <v>66</v>
      </c>
      <c r="AK10" s="11" t="s">
        <v>38</v>
      </c>
      <c r="AL10" s="11" t="s">
        <v>23</v>
      </c>
    </row>
    <row r="11" spans="1:41" x14ac:dyDescent="0.25">
      <c r="A11" s="19" t="s">
        <v>25</v>
      </c>
      <c r="B11" s="11" t="s">
        <v>24</v>
      </c>
      <c r="C11" s="11"/>
      <c r="D11" s="15">
        <f t="shared" si="4"/>
        <v>35.56</v>
      </c>
      <c r="E11" s="20" t="s">
        <v>66</v>
      </c>
      <c r="F11" s="1" t="s">
        <v>66</v>
      </c>
      <c r="G11" s="1" t="s">
        <v>66</v>
      </c>
      <c r="H11" s="1" t="s">
        <v>66</v>
      </c>
      <c r="I11" s="1" t="s">
        <v>66</v>
      </c>
      <c r="J11" s="1" t="s">
        <v>66</v>
      </c>
      <c r="K11" s="1" t="s">
        <v>66</v>
      </c>
      <c r="L11" s="1" t="s">
        <v>66</v>
      </c>
      <c r="M11" s="1" t="s">
        <v>66</v>
      </c>
      <c r="N11" s="1" t="s">
        <v>66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>
        <v>2</v>
      </c>
      <c r="W11" s="1" t="s">
        <v>66</v>
      </c>
      <c r="X11" s="1" t="s">
        <v>66</v>
      </c>
      <c r="Y11" s="1" t="s">
        <v>66</v>
      </c>
      <c r="Z11" s="1" t="s">
        <v>66</v>
      </c>
      <c r="AA11" s="1" t="s">
        <v>66</v>
      </c>
      <c r="AB11" s="1" t="s">
        <v>66</v>
      </c>
      <c r="AC11" s="1">
        <v>13.9</v>
      </c>
      <c r="AD11" s="1" t="s">
        <v>66</v>
      </c>
      <c r="AE11" s="1" t="s">
        <v>66</v>
      </c>
      <c r="AF11" s="1" t="s">
        <v>66</v>
      </c>
      <c r="AG11" s="1" t="s">
        <v>66</v>
      </c>
      <c r="AH11" s="1" t="s">
        <v>66</v>
      </c>
      <c r="AI11" s="1">
        <v>19.66</v>
      </c>
      <c r="AJ11" s="1" t="s">
        <v>66</v>
      </c>
      <c r="AK11" s="11"/>
      <c r="AL11" s="11" t="s">
        <v>24</v>
      </c>
    </row>
    <row r="12" spans="1:41" x14ac:dyDescent="0.25">
      <c r="A12" s="11" t="s">
        <v>43</v>
      </c>
      <c r="B12" s="11" t="s">
        <v>27</v>
      </c>
      <c r="C12" s="11"/>
      <c r="D12" s="15">
        <f t="shared" si="4"/>
        <v>0</v>
      </c>
      <c r="E12" s="20" t="s">
        <v>66</v>
      </c>
      <c r="F12" s="1" t="s">
        <v>66</v>
      </c>
      <c r="G12" s="1" t="s">
        <v>66</v>
      </c>
      <c r="H12" s="1" t="s">
        <v>67</v>
      </c>
      <c r="I12" s="1" t="s">
        <v>66</v>
      </c>
      <c r="J12" s="1" t="s">
        <v>66</v>
      </c>
      <c r="K12" s="1" t="s">
        <v>66</v>
      </c>
      <c r="L12" s="1" t="s">
        <v>66</v>
      </c>
      <c r="M12" s="1" t="s">
        <v>66</v>
      </c>
      <c r="N12" s="1" t="s">
        <v>66</v>
      </c>
      <c r="O12" s="1" t="s">
        <v>67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1" t="s">
        <v>66</v>
      </c>
      <c r="V12" s="1" t="s">
        <v>67</v>
      </c>
      <c r="W12" s="1" t="s">
        <v>66</v>
      </c>
      <c r="X12" s="1" t="s">
        <v>66</v>
      </c>
      <c r="Y12" s="1" t="s">
        <v>66</v>
      </c>
      <c r="Z12" s="1" t="s">
        <v>66</v>
      </c>
      <c r="AA12" s="1" t="s">
        <v>66</v>
      </c>
      <c r="AB12" s="1" t="s">
        <v>66</v>
      </c>
      <c r="AC12" s="1" t="s">
        <v>68</v>
      </c>
      <c r="AD12" s="1" t="s">
        <v>66</v>
      </c>
      <c r="AE12" s="1" t="s">
        <v>68</v>
      </c>
      <c r="AF12" s="1" t="s">
        <v>66</v>
      </c>
      <c r="AG12" s="1" t="s">
        <v>66</v>
      </c>
      <c r="AH12" s="1" t="s">
        <v>66</v>
      </c>
      <c r="AI12" s="1" t="s">
        <v>66</v>
      </c>
      <c r="AJ12" s="1" t="s">
        <v>67</v>
      </c>
      <c r="AK12" s="11"/>
      <c r="AL12" s="11" t="s">
        <v>27</v>
      </c>
    </row>
    <row r="13" spans="1:41" x14ac:dyDescent="0.25">
      <c r="A13" s="11" t="s">
        <v>43</v>
      </c>
      <c r="B13" s="11" t="s">
        <v>28</v>
      </c>
      <c r="C13" s="11"/>
      <c r="D13" s="15">
        <f>SUM(F13:AJ13)</f>
        <v>31.9</v>
      </c>
      <c r="E13" s="54" t="s">
        <v>66</v>
      </c>
      <c r="F13" s="1" t="s">
        <v>66</v>
      </c>
      <c r="G13" s="1" t="s">
        <v>66</v>
      </c>
      <c r="H13" s="1" t="s">
        <v>66</v>
      </c>
      <c r="I13" s="1" t="s">
        <v>66</v>
      </c>
      <c r="J13" s="1" t="s">
        <v>66</v>
      </c>
      <c r="K13" s="1">
        <v>20</v>
      </c>
      <c r="L13" s="1" t="s">
        <v>66</v>
      </c>
      <c r="M13" s="1">
        <v>21.9</v>
      </c>
      <c r="N13" s="1">
        <v>-10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20" t="s">
        <v>66</v>
      </c>
      <c r="U13" s="1" t="s">
        <v>66</v>
      </c>
      <c r="V13" s="1" t="s">
        <v>66</v>
      </c>
      <c r="W13" s="1" t="s">
        <v>66</v>
      </c>
      <c r="X13" s="1" t="s">
        <v>66</v>
      </c>
      <c r="Y13" s="1" t="s">
        <v>66</v>
      </c>
      <c r="Z13" s="1" t="s">
        <v>66</v>
      </c>
      <c r="AA13" s="1" t="s">
        <v>66</v>
      </c>
      <c r="AB13" s="1" t="s">
        <v>66</v>
      </c>
      <c r="AC13" s="1" t="s">
        <v>66</v>
      </c>
      <c r="AD13" s="1" t="s">
        <v>66</v>
      </c>
      <c r="AE13" s="1" t="s">
        <v>66</v>
      </c>
      <c r="AF13" s="1" t="s">
        <v>66</v>
      </c>
      <c r="AG13" s="1" t="s">
        <v>66</v>
      </c>
      <c r="AH13" s="1" t="s">
        <v>66</v>
      </c>
      <c r="AI13" s="1" t="s">
        <v>66</v>
      </c>
      <c r="AJ13" s="1" t="s">
        <v>66</v>
      </c>
      <c r="AK13" s="11"/>
      <c r="AL13" s="11" t="s">
        <v>28</v>
      </c>
    </row>
    <row r="14" spans="1:41" x14ac:dyDescent="0.25">
      <c r="A14" s="11" t="s">
        <v>43</v>
      </c>
      <c r="B14" s="11" t="s">
        <v>29</v>
      </c>
      <c r="C14" s="11"/>
      <c r="D14" s="15">
        <f t="shared" ref="D14:D27" si="5">SUM(E14:AJ14)</f>
        <v>21.9</v>
      </c>
      <c r="E14" s="20" t="s">
        <v>66</v>
      </c>
      <c r="F14" s="1" t="s">
        <v>66</v>
      </c>
      <c r="G14" s="1" t="s">
        <v>66</v>
      </c>
      <c r="H14" s="1">
        <v>-5</v>
      </c>
      <c r="I14" s="1" t="s">
        <v>66</v>
      </c>
      <c r="J14" s="1" t="s">
        <v>66</v>
      </c>
      <c r="K14" s="1" t="s">
        <v>66</v>
      </c>
      <c r="L14" s="1" t="s">
        <v>66</v>
      </c>
      <c r="M14" s="1">
        <v>26.9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66</v>
      </c>
      <c r="W14" s="1" t="s">
        <v>66</v>
      </c>
      <c r="X14" s="1" t="s">
        <v>66</v>
      </c>
      <c r="Y14" s="1" t="s">
        <v>66</v>
      </c>
      <c r="Z14" s="1" t="s">
        <v>66</v>
      </c>
      <c r="AA14" s="1" t="s">
        <v>66</v>
      </c>
      <c r="AB14" s="1" t="s">
        <v>66</v>
      </c>
      <c r="AC14" s="1" t="s">
        <v>66</v>
      </c>
      <c r="AD14" s="1" t="s">
        <v>66</v>
      </c>
      <c r="AE14" s="1" t="s">
        <v>66</v>
      </c>
      <c r="AF14" s="1" t="s">
        <v>66</v>
      </c>
      <c r="AG14" s="1" t="s">
        <v>66</v>
      </c>
      <c r="AH14" s="1" t="s">
        <v>66</v>
      </c>
      <c r="AI14" s="1" t="s">
        <v>66</v>
      </c>
      <c r="AJ14" s="1" t="s">
        <v>66</v>
      </c>
      <c r="AK14" s="11"/>
      <c r="AL14" s="11" t="s">
        <v>29</v>
      </c>
    </row>
    <row r="15" spans="1:41" x14ac:dyDescent="0.25">
      <c r="A15" s="19" t="s">
        <v>46</v>
      </c>
      <c r="B15" s="11" t="s">
        <v>31</v>
      </c>
      <c r="C15" s="11"/>
      <c r="D15" s="15">
        <f t="shared" si="5"/>
        <v>96</v>
      </c>
      <c r="E15" s="20" t="s">
        <v>66</v>
      </c>
      <c r="F15" s="1" t="s">
        <v>66</v>
      </c>
      <c r="G15" s="1" t="s">
        <v>66</v>
      </c>
      <c r="H15" s="1">
        <v>96</v>
      </c>
      <c r="I15" s="1" t="s">
        <v>66</v>
      </c>
      <c r="J15" s="1" t="s">
        <v>66</v>
      </c>
      <c r="K15" s="1" t="s">
        <v>66</v>
      </c>
      <c r="L15" s="1" t="s">
        <v>66</v>
      </c>
      <c r="M15" s="1" t="s">
        <v>66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66</v>
      </c>
      <c r="W15" s="1" t="s">
        <v>66</v>
      </c>
      <c r="X15" s="1" t="s">
        <v>66</v>
      </c>
      <c r="Y15" s="1" t="s">
        <v>66</v>
      </c>
      <c r="Z15" s="1" t="s">
        <v>66</v>
      </c>
      <c r="AA15" s="1" t="s">
        <v>66</v>
      </c>
      <c r="AB15" s="1" t="s">
        <v>66</v>
      </c>
      <c r="AC15" s="1" t="s">
        <v>66</v>
      </c>
      <c r="AD15" s="1" t="s">
        <v>66</v>
      </c>
      <c r="AE15" s="1" t="s">
        <v>66</v>
      </c>
      <c r="AF15" s="1" t="s">
        <v>66</v>
      </c>
      <c r="AG15" s="1" t="s">
        <v>66</v>
      </c>
      <c r="AH15" s="1" t="s">
        <v>66</v>
      </c>
      <c r="AI15" s="1" t="s">
        <v>66</v>
      </c>
      <c r="AJ15" s="1" t="s">
        <v>66</v>
      </c>
      <c r="AK15" s="11"/>
      <c r="AL15" s="11" t="s">
        <v>31</v>
      </c>
    </row>
    <row r="16" spans="1:41" x14ac:dyDescent="0.25">
      <c r="A16" s="19" t="s">
        <v>46</v>
      </c>
      <c r="B16" s="11" t="s">
        <v>32</v>
      </c>
      <c r="C16" s="11"/>
      <c r="D16" s="15">
        <f t="shared" si="5"/>
        <v>78</v>
      </c>
      <c r="E16" s="20" t="s">
        <v>66</v>
      </c>
      <c r="F16" s="1" t="s">
        <v>66</v>
      </c>
      <c r="G16" s="1" t="s">
        <v>66</v>
      </c>
      <c r="H16" s="1">
        <v>78</v>
      </c>
      <c r="I16" s="1" t="s">
        <v>66</v>
      </c>
      <c r="J16" s="1" t="s">
        <v>66</v>
      </c>
      <c r="K16" s="1" t="s">
        <v>66</v>
      </c>
      <c r="L16" s="1" t="s">
        <v>66</v>
      </c>
      <c r="M16" s="1" t="s">
        <v>66</v>
      </c>
      <c r="N16" s="1" t="s">
        <v>66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66</v>
      </c>
      <c r="V16" s="1" t="s">
        <v>66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66</v>
      </c>
      <c r="AB16" s="1" t="s">
        <v>66</v>
      </c>
      <c r="AC16" s="1" t="s">
        <v>66</v>
      </c>
      <c r="AD16" s="1" t="s">
        <v>66</v>
      </c>
      <c r="AE16" s="1" t="s">
        <v>66</v>
      </c>
      <c r="AF16" s="1" t="s">
        <v>66</v>
      </c>
      <c r="AG16" s="1" t="s">
        <v>66</v>
      </c>
      <c r="AH16" s="1" t="s">
        <v>66</v>
      </c>
      <c r="AI16" s="1" t="s">
        <v>66</v>
      </c>
      <c r="AJ16" s="1" t="s">
        <v>66</v>
      </c>
      <c r="AK16" s="11"/>
      <c r="AL16" s="11" t="s">
        <v>32</v>
      </c>
    </row>
    <row r="17" spans="1:38" x14ac:dyDescent="0.25">
      <c r="A17" s="19" t="s">
        <v>46</v>
      </c>
      <c r="B17" s="11" t="s">
        <v>33</v>
      </c>
      <c r="C17" s="11"/>
      <c r="D17" s="15">
        <f t="shared" si="5"/>
        <v>44.52</v>
      </c>
      <c r="E17" s="20" t="s">
        <v>66</v>
      </c>
      <c r="F17" s="1" t="s">
        <v>66</v>
      </c>
      <c r="G17" s="1">
        <v>7.81</v>
      </c>
      <c r="H17" s="1" t="s">
        <v>66</v>
      </c>
      <c r="I17" s="1" t="s">
        <v>66</v>
      </c>
      <c r="J17" s="1" t="s">
        <v>66</v>
      </c>
      <c r="K17" s="1">
        <v>10.72</v>
      </c>
      <c r="L17" s="1" t="s">
        <v>66</v>
      </c>
      <c r="M17" s="1" t="s">
        <v>66</v>
      </c>
      <c r="N17" s="1" t="s">
        <v>66</v>
      </c>
      <c r="O17" s="1" t="s">
        <v>66</v>
      </c>
      <c r="P17" s="1" t="s">
        <v>66</v>
      </c>
      <c r="Q17" s="1" t="s">
        <v>66</v>
      </c>
      <c r="R17" s="1">
        <v>15.53</v>
      </c>
      <c r="S17" s="1" t="s">
        <v>66</v>
      </c>
      <c r="T17" s="1" t="s">
        <v>66</v>
      </c>
      <c r="U17" s="1" t="s">
        <v>66</v>
      </c>
      <c r="V17" s="1" t="s">
        <v>66</v>
      </c>
      <c r="W17" s="1" t="s">
        <v>66</v>
      </c>
      <c r="X17" s="1">
        <v>10.46</v>
      </c>
      <c r="Y17" s="1" t="s">
        <v>66</v>
      </c>
      <c r="Z17" s="1" t="s">
        <v>66</v>
      </c>
      <c r="AA17" s="1" t="s">
        <v>66</v>
      </c>
      <c r="AB17" s="1" t="s">
        <v>66</v>
      </c>
      <c r="AC17" s="1" t="s">
        <v>66</v>
      </c>
      <c r="AD17" s="1" t="s">
        <v>66</v>
      </c>
      <c r="AE17" s="1" t="s">
        <v>66</v>
      </c>
      <c r="AF17" s="1" t="s">
        <v>66</v>
      </c>
      <c r="AG17" s="1" t="s">
        <v>66</v>
      </c>
      <c r="AH17" s="1" t="s">
        <v>66</v>
      </c>
      <c r="AI17" s="1" t="s">
        <v>66</v>
      </c>
      <c r="AJ17" s="1" t="s">
        <v>66</v>
      </c>
      <c r="AK17" s="11"/>
      <c r="AL17" s="11" t="s">
        <v>33</v>
      </c>
    </row>
    <row r="18" spans="1:38" x14ac:dyDescent="0.25">
      <c r="A18" s="19" t="s">
        <v>43</v>
      </c>
      <c r="B18" s="11" t="s">
        <v>34</v>
      </c>
      <c r="C18" s="11"/>
      <c r="D18" s="15">
        <f t="shared" si="5"/>
        <v>0</v>
      </c>
      <c r="E18" s="20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66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66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66</v>
      </c>
      <c r="AH18" s="1" t="s">
        <v>66</v>
      </c>
      <c r="AI18" s="1" t="s">
        <v>66</v>
      </c>
      <c r="AJ18" s="1" t="s">
        <v>66</v>
      </c>
      <c r="AK18" s="11"/>
      <c r="AL18" s="11" t="s">
        <v>34</v>
      </c>
    </row>
    <row r="19" spans="1:38" x14ac:dyDescent="0.25">
      <c r="A19" s="19" t="s">
        <v>43</v>
      </c>
      <c r="B19" s="11" t="s">
        <v>35</v>
      </c>
      <c r="C19" s="11"/>
      <c r="D19" s="15">
        <f t="shared" si="5"/>
        <v>1</v>
      </c>
      <c r="E19" s="20" t="s">
        <v>66</v>
      </c>
      <c r="F19" s="1" t="s">
        <v>66</v>
      </c>
      <c r="G19" s="1" t="s">
        <v>66</v>
      </c>
      <c r="H19" s="1" t="s">
        <v>66</v>
      </c>
      <c r="I19" s="1" t="s">
        <v>66</v>
      </c>
      <c r="J19" s="1" t="s">
        <v>66</v>
      </c>
      <c r="K19" s="1" t="s">
        <v>66</v>
      </c>
      <c r="L19" s="1" t="s">
        <v>66</v>
      </c>
      <c r="M19" s="1" t="s">
        <v>66</v>
      </c>
      <c r="N19" s="1" t="s">
        <v>66</v>
      </c>
      <c r="O19" s="1" t="s">
        <v>66</v>
      </c>
      <c r="P19" s="1" t="s">
        <v>66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66</v>
      </c>
      <c r="V19" s="1">
        <v>0.6</v>
      </c>
      <c r="W19" s="1" t="s">
        <v>66</v>
      </c>
      <c r="X19" s="1" t="s">
        <v>66</v>
      </c>
      <c r="Y19" s="1" t="s">
        <v>66</v>
      </c>
      <c r="Z19" s="1" t="s">
        <v>66</v>
      </c>
      <c r="AA19" s="1" t="s">
        <v>66</v>
      </c>
      <c r="AB19" s="1" t="s">
        <v>66</v>
      </c>
      <c r="AC19" s="1" t="s">
        <v>66</v>
      </c>
      <c r="AD19" s="1" t="s">
        <v>66</v>
      </c>
      <c r="AE19" s="1" t="s">
        <v>66</v>
      </c>
      <c r="AF19" s="1" t="s">
        <v>66</v>
      </c>
      <c r="AG19" s="1" t="s">
        <v>66</v>
      </c>
      <c r="AH19" s="1" t="s">
        <v>66</v>
      </c>
      <c r="AI19" s="1" t="s">
        <v>66</v>
      </c>
      <c r="AJ19" s="1">
        <v>0.4</v>
      </c>
      <c r="AK19" s="11"/>
      <c r="AL19" s="11" t="s">
        <v>35</v>
      </c>
    </row>
    <row r="20" spans="1:38" x14ac:dyDescent="0.25">
      <c r="A20" s="19" t="s">
        <v>43</v>
      </c>
      <c r="B20" s="11" t="s">
        <v>36</v>
      </c>
      <c r="C20" s="11"/>
      <c r="D20" s="15">
        <f t="shared" si="5"/>
        <v>0</v>
      </c>
      <c r="E20" s="20" t="s">
        <v>66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 t="s">
        <v>66</v>
      </c>
      <c r="V20" s="1" t="s">
        <v>66</v>
      </c>
      <c r="W20" s="1" t="s">
        <v>66</v>
      </c>
      <c r="X20" s="1" t="s">
        <v>66</v>
      </c>
      <c r="Y20" s="1" t="s">
        <v>66</v>
      </c>
      <c r="Z20" s="1" t="s">
        <v>66</v>
      </c>
      <c r="AA20" s="1" t="s">
        <v>66</v>
      </c>
      <c r="AB20" s="1" t="s">
        <v>66</v>
      </c>
      <c r="AC20" s="1" t="s">
        <v>66</v>
      </c>
      <c r="AD20" s="1" t="s">
        <v>66</v>
      </c>
      <c r="AE20" s="1" t="s">
        <v>66</v>
      </c>
      <c r="AF20" s="1" t="s">
        <v>66</v>
      </c>
      <c r="AG20" s="1" t="s">
        <v>66</v>
      </c>
      <c r="AH20" s="1" t="s">
        <v>66</v>
      </c>
      <c r="AI20" s="1" t="s">
        <v>66</v>
      </c>
      <c r="AJ20" s="1" t="s">
        <v>66</v>
      </c>
      <c r="AK20" s="11"/>
      <c r="AL20" s="11" t="s">
        <v>36</v>
      </c>
    </row>
    <row r="21" spans="1:38" ht="15.75" customHeight="1" x14ac:dyDescent="0.25">
      <c r="A21" s="19" t="s">
        <v>43</v>
      </c>
      <c r="B21" s="11" t="s">
        <v>37</v>
      </c>
      <c r="C21" s="11"/>
      <c r="D21" s="15">
        <f t="shared" si="5"/>
        <v>0</v>
      </c>
      <c r="E21" s="20" t="s">
        <v>66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66</v>
      </c>
      <c r="L21" s="1" t="s">
        <v>66</v>
      </c>
      <c r="M21" s="1" t="s">
        <v>66</v>
      </c>
      <c r="N21" s="1" t="s">
        <v>66</v>
      </c>
      <c r="O21" s="1" t="s">
        <v>66</v>
      </c>
      <c r="P21" s="1" t="s">
        <v>66</v>
      </c>
      <c r="Q21" s="1" t="s">
        <v>66</v>
      </c>
      <c r="R21" s="1" t="s">
        <v>66</v>
      </c>
      <c r="S21" s="1" t="s">
        <v>66</v>
      </c>
      <c r="T21" s="1" t="s">
        <v>66</v>
      </c>
      <c r="U21" s="1" t="s">
        <v>66</v>
      </c>
      <c r="V21" s="1" t="s">
        <v>66</v>
      </c>
      <c r="W21" s="1" t="s">
        <v>66</v>
      </c>
      <c r="X21" s="1" t="s">
        <v>66</v>
      </c>
      <c r="Y21" s="1" t="s">
        <v>66</v>
      </c>
      <c r="Z21" s="1" t="s">
        <v>66</v>
      </c>
      <c r="AA21" s="1" t="s">
        <v>66</v>
      </c>
      <c r="AB21" s="1" t="s">
        <v>66</v>
      </c>
      <c r="AC21" s="1" t="s">
        <v>66</v>
      </c>
      <c r="AD21" s="1" t="s">
        <v>66</v>
      </c>
      <c r="AE21" s="1" t="s">
        <v>66</v>
      </c>
      <c r="AF21" s="1" t="s">
        <v>66</v>
      </c>
      <c r="AG21" s="1" t="s">
        <v>66</v>
      </c>
      <c r="AH21" s="1" t="s">
        <v>66</v>
      </c>
      <c r="AI21" s="1" t="s">
        <v>66</v>
      </c>
      <c r="AJ21" s="1" t="s">
        <v>66</v>
      </c>
      <c r="AK21" s="11"/>
      <c r="AL21" s="11" t="s">
        <v>37</v>
      </c>
    </row>
    <row r="22" spans="1:38" ht="15.75" customHeight="1" x14ac:dyDescent="0.25">
      <c r="A22" s="19" t="s">
        <v>43</v>
      </c>
      <c r="B22" s="11" t="s">
        <v>39</v>
      </c>
      <c r="C22" s="11"/>
      <c r="D22" s="15">
        <f t="shared" si="5"/>
        <v>70.2</v>
      </c>
      <c r="E22" s="20" t="s">
        <v>66</v>
      </c>
      <c r="F22" s="1" t="s">
        <v>66</v>
      </c>
      <c r="G22" s="1">
        <v>54.22</v>
      </c>
      <c r="H22" s="54" t="s">
        <v>66</v>
      </c>
      <c r="I22" s="1" t="s">
        <v>66</v>
      </c>
      <c r="J22" s="1" t="s">
        <v>66</v>
      </c>
      <c r="K22" s="1" t="s">
        <v>66</v>
      </c>
      <c r="L22" s="1" t="s">
        <v>66</v>
      </c>
      <c r="M22" s="1" t="s">
        <v>66</v>
      </c>
      <c r="N22" s="1" t="s">
        <v>66</v>
      </c>
      <c r="O22" s="1" t="s">
        <v>66</v>
      </c>
      <c r="P22" s="1" t="s">
        <v>66</v>
      </c>
      <c r="Q22" s="1" t="s">
        <v>66</v>
      </c>
      <c r="R22" s="1">
        <f>7.99+7.99</f>
        <v>15.98</v>
      </c>
      <c r="S22" s="1" t="s">
        <v>66</v>
      </c>
      <c r="T22" s="1" t="s">
        <v>66</v>
      </c>
      <c r="U22" s="1" t="s">
        <v>66</v>
      </c>
      <c r="V22" s="1" t="s">
        <v>66</v>
      </c>
      <c r="W22" s="1" t="s">
        <v>66</v>
      </c>
      <c r="X22" s="1" t="s">
        <v>66</v>
      </c>
      <c r="Y22" s="1" t="s">
        <v>66</v>
      </c>
      <c r="Z22" s="1" t="s">
        <v>66</v>
      </c>
      <c r="AA22" s="1" t="s">
        <v>66</v>
      </c>
      <c r="AB22" s="1" t="s">
        <v>66</v>
      </c>
      <c r="AC22" s="1" t="s">
        <v>66</v>
      </c>
      <c r="AD22" s="1" t="s">
        <v>66</v>
      </c>
      <c r="AE22" s="1" t="s">
        <v>66</v>
      </c>
      <c r="AF22" s="1" t="s">
        <v>66</v>
      </c>
      <c r="AG22" s="1" t="s">
        <v>66</v>
      </c>
      <c r="AH22" s="1" t="s">
        <v>66</v>
      </c>
      <c r="AI22" s="1" t="s">
        <v>66</v>
      </c>
      <c r="AJ22" s="1" t="s">
        <v>66</v>
      </c>
      <c r="AK22" s="11"/>
      <c r="AL22" s="11" t="s">
        <v>39</v>
      </c>
    </row>
    <row r="23" spans="1:38" ht="15.75" customHeight="1" x14ac:dyDescent="0.25">
      <c r="A23" s="19" t="s">
        <v>43</v>
      </c>
      <c r="B23" s="11" t="s">
        <v>40</v>
      </c>
      <c r="C23" s="11"/>
      <c r="D23" s="15">
        <f t="shared" si="5"/>
        <v>14.1</v>
      </c>
      <c r="E23" s="20" t="s">
        <v>66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66</v>
      </c>
      <c r="O23" s="1" t="s">
        <v>66</v>
      </c>
      <c r="P23" s="1" t="s">
        <v>66</v>
      </c>
      <c r="Q23" s="1">
        <v>14.1</v>
      </c>
      <c r="R23" s="1" t="s">
        <v>66</v>
      </c>
      <c r="S23" s="1" t="s">
        <v>66</v>
      </c>
      <c r="T23" s="1" t="s">
        <v>66</v>
      </c>
      <c r="U23" s="1" t="s">
        <v>66</v>
      </c>
      <c r="V23" s="1" t="s">
        <v>66</v>
      </c>
      <c r="W23" s="1" t="s">
        <v>66</v>
      </c>
      <c r="X23" s="1" t="s">
        <v>66</v>
      </c>
      <c r="Y23" s="1" t="s">
        <v>66</v>
      </c>
      <c r="Z23" s="1" t="s">
        <v>66</v>
      </c>
      <c r="AA23" s="1" t="s">
        <v>66</v>
      </c>
      <c r="AB23" s="1" t="s">
        <v>66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66</v>
      </c>
      <c r="AI23" s="1" t="s">
        <v>66</v>
      </c>
      <c r="AJ23" s="1" t="s">
        <v>66</v>
      </c>
      <c r="AK23" s="11"/>
      <c r="AL23" s="11" t="s">
        <v>40</v>
      </c>
    </row>
    <row r="24" spans="1:38" ht="15.75" customHeight="1" x14ac:dyDescent="0.25">
      <c r="A24" s="19" t="s">
        <v>43</v>
      </c>
      <c r="B24" s="11" t="s">
        <v>41</v>
      </c>
      <c r="C24" s="11"/>
      <c r="D24" s="15">
        <f t="shared" si="5"/>
        <v>0</v>
      </c>
      <c r="E24" s="20" t="s">
        <v>66</v>
      </c>
      <c r="F24" s="1" t="s">
        <v>66</v>
      </c>
      <c r="G24" s="1" t="s">
        <v>66</v>
      </c>
      <c r="H24" s="1" t="s">
        <v>66</v>
      </c>
      <c r="I24" s="1" t="s">
        <v>66</v>
      </c>
      <c r="J24" s="1" t="s">
        <v>66</v>
      </c>
      <c r="K24" s="1" t="s">
        <v>66</v>
      </c>
      <c r="L24" s="1" t="s">
        <v>66</v>
      </c>
      <c r="M24" s="1" t="s">
        <v>66</v>
      </c>
      <c r="N24" s="1" t="s">
        <v>66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66</v>
      </c>
      <c r="V24" s="1" t="s">
        <v>66</v>
      </c>
      <c r="W24" s="1" t="s">
        <v>66</v>
      </c>
      <c r="X24" s="1" t="s">
        <v>66</v>
      </c>
      <c r="Y24" s="1" t="s">
        <v>66</v>
      </c>
      <c r="Z24" s="1" t="s">
        <v>66</v>
      </c>
      <c r="AA24" s="1" t="s">
        <v>66</v>
      </c>
      <c r="AB24" s="1" t="s">
        <v>66</v>
      </c>
      <c r="AC24" s="1" t="s">
        <v>66</v>
      </c>
      <c r="AD24" s="1" t="s">
        <v>66</v>
      </c>
      <c r="AE24" s="1" t="s">
        <v>66</v>
      </c>
      <c r="AF24" s="1" t="s">
        <v>66</v>
      </c>
      <c r="AG24" s="1" t="s">
        <v>66</v>
      </c>
      <c r="AH24" s="1" t="s">
        <v>66</v>
      </c>
      <c r="AI24" s="1" t="s">
        <v>66</v>
      </c>
      <c r="AJ24" s="1" t="s">
        <v>66</v>
      </c>
      <c r="AK24" s="11"/>
      <c r="AL24" s="11" t="s">
        <v>41</v>
      </c>
    </row>
    <row r="25" spans="1:38" ht="15.75" customHeight="1" x14ac:dyDescent="0.25">
      <c r="A25" s="19" t="s">
        <v>43</v>
      </c>
      <c r="B25" s="11" t="s">
        <v>72</v>
      </c>
      <c r="C25" s="11"/>
      <c r="D25" s="15">
        <f t="shared" si="5"/>
        <v>600</v>
      </c>
      <c r="E25" s="20" t="s">
        <v>66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66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66</v>
      </c>
      <c r="V25" s="1" t="s">
        <v>66</v>
      </c>
      <c r="W25" s="1" t="s">
        <v>66</v>
      </c>
      <c r="X25" s="1" t="s">
        <v>66</v>
      </c>
      <c r="Y25" s="1" t="s">
        <v>66</v>
      </c>
      <c r="Z25" s="1" t="s">
        <v>66</v>
      </c>
      <c r="AA25" s="1" t="s">
        <v>66</v>
      </c>
      <c r="AB25" s="1" t="s">
        <v>66</v>
      </c>
      <c r="AC25" s="12">
        <v>600</v>
      </c>
      <c r="AD25" s="1" t="s">
        <v>66</v>
      </c>
      <c r="AE25" s="1" t="s">
        <v>66</v>
      </c>
      <c r="AF25" s="1" t="s">
        <v>66</v>
      </c>
      <c r="AG25" s="1" t="s">
        <v>66</v>
      </c>
      <c r="AH25" s="1" t="s">
        <v>66</v>
      </c>
      <c r="AI25" s="1" t="s">
        <v>66</v>
      </c>
      <c r="AJ25" s="1" t="s">
        <v>66</v>
      </c>
      <c r="AK25" s="11"/>
      <c r="AL25" s="11"/>
    </row>
    <row r="26" spans="1:38" ht="15.75" customHeight="1" x14ac:dyDescent="0.25">
      <c r="A26" s="19" t="s">
        <v>43</v>
      </c>
      <c r="B26" s="11" t="s">
        <v>42</v>
      </c>
      <c r="C26" s="11"/>
      <c r="D26" s="15">
        <f t="shared" si="5"/>
        <v>19.100000000000001</v>
      </c>
      <c r="E26" s="20" t="s">
        <v>66</v>
      </c>
      <c r="F26" s="1" t="s">
        <v>66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66</v>
      </c>
      <c r="V26" s="1">
        <v>19.100000000000001</v>
      </c>
      <c r="W26" s="1" t="s">
        <v>66</v>
      </c>
      <c r="X26" s="1" t="s">
        <v>66</v>
      </c>
      <c r="Y26" s="1" t="s">
        <v>66</v>
      </c>
      <c r="Z26" s="1" t="s">
        <v>66</v>
      </c>
      <c r="AA26" s="1" t="s">
        <v>66</v>
      </c>
      <c r="AB26" s="1" t="s">
        <v>66</v>
      </c>
      <c r="AC26" s="1" t="s">
        <v>66</v>
      </c>
      <c r="AD26" s="1" t="s">
        <v>66</v>
      </c>
      <c r="AE26" s="1" t="s">
        <v>66</v>
      </c>
      <c r="AF26" s="1" t="s">
        <v>66</v>
      </c>
      <c r="AG26" s="1" t="s">
        <v>66</v>
      </c>
      <c r="AH26" s="1" t="s">
        <v>66</v>
      </c>
      <c r="AI26" s="1" t="s">
        <v>66</v>
      </c>
      <c r="AJ26" s="1" t="s">
        <v>66</v>
      </c>
      <c r="AK26" s="11"/>
      <c r="AL26" s="31" t="s">
        <v>42</v>
      </c>
    </row>
    <row r="27" spans="1:38" ht="15.75" customHeight="1" x14ac:dyDescent="0.25">
      <c r="A27" s="72" t="s">
        <v>65</v>
      </c>
      <c r="B27" s="65" t="s">
        <v>44</v>
      </c>
      <c r="C27" s="65"/>
      <c r="D27" s="57">
        <f t="shared" si="5"/>
        <v>1327.56</v>
      </c>
      <c r="E27" s="57"/>
      <c r="F27" s="58"/>
      <c r="G27" s="58"/>
      <c r="H27" s="58"/>
      <c r="I27" s="58"/>
      <c r="J27" s="58"/>
      <c r="K27" s="58"/>
      <c r="L27" s="58">
        <v>100</v>
      </c>
      <c r="M27" s="58"/>
      <c r="N27" s="58"/>
      <c r="O27" s="58">
        <v>527.55999999999995</v>
      </c>
      <c r="P27" s="58"/>
      <c r="Q27" s="58"/>
      <c r="R27" s="58"/>
      <c r="S27" s="58"/>
      <c r="T27" s="58"/>
      <c r="U27" s="58"/>
      <c r="V27" s="58"/>
      <c r="W27" s="58"/>
      <c r="X27" s="58"/>
      <c r="Y27" s="58">
        <v>400</v>
      </c>
      <c r="Z27" s="58">
        <v>200</v>
      </c>
      <c r="AA27" s="58"/>
      <c r="AB27" s="58"/>
      <c r="AC27" s="58"/>
      <c r="AD27" s="58"/>
      <c r="AE27" s="58"/>
      <c r="AF27" s="58"/>
      <c r="AG27" s="58"/>
      <c r="AH27" s="58">
        <v>100</v>
      </c>
      <c r="AI27" s="58"/>
      <c r="AJ27" s="58"/>
    </row>
    <row r="28" spans="1:38" ht="15.75" customHeight="1" x14ac:dyDescent="0.25">
      <c r="A28" s="1"/>
      <c r="B28" s="1"/>
      <c r="C28" s="1"/>
      <c r="D28" s="12"/>
      <c r="E28" s="61" t="str">
        <f t="shared" ref="E28:AJ28" si="6">E4</f>
        <v>Defi</v>
      </c>
      <c r="F28" s="61">
        <f t="shared" si="6"/>
        <v>43282</v>
      </c>
      <c r="G28" s="61">
        <f t="shared" si="6"/>
        <v>43283</v>
      </c>
      <c r="H28" s="61">
        <f t="shared" si="6"/>
        <v>43284</v>
      </c>
      <c r="I28" s="61">
        <f t="shared" si="6"/>
        <v>43285</v>
      </c>
      <c r="J28" s="61">
        <f t="shared" si="6"/>
        <v>43286</v>
      </c>
      <c r="K28" s="61">
        <f t="shared" si="6"/>
        <v>43287</v>
      </c>
      <c r="L28" s="61">
        <f t="shared" si="6"/>
        <v>43288</v>
      </c>
      <c r="M28" s="61">
        <f t="shared" si="6"/>
        <v>43289</v>
      </c>
      <c r="N28" s="61">
        <f t="shared" si="6"/>
        <v>43290</v>
      </c>
      <c r="O28" s="61">
        <f t="shared" si="6"/>
        <v>43291</v>
      </c>
      <c r="P28" s="61">
        <f t="shared" si="6"/>
        <v>43292</v>
      </c>
      <c r="Q28" s="61">
        <f t="shared" si="6"/>
        <v>43293</v>
      </c>
      <c r="R28" s="61">
        <f t="shared" si="6"/>
        <v>43294</v>
      </c>
      <c r="S28" s="61">
        <f t="shared" si="6"/>
        <v>43295</v>
      </c>
      <c r="T28" s="61">
        <f t="shared" si="6"/>
        <v>43296</v>
      </c>
      <c r="U28" s="61">
        <f t="shared" si="6"/>
        <v>43297</v>
      </c>
      <c r="V28" s="61">
        <f t="shared" si="6"/>
        <v>43298</v>
      </c>
      <c r="W28" s="61">
        <f t="shared" si="6"/>
        <v>43299</v>
      </c>
      <c r="X28" s="61">
        <f t="shared" si="6"/>
        <v>43300</v>
      </c>
      <c r="Y28" s="61">
        <f t="shared" si="6"/>
        <v>43301</v>
      </c>
      <c r="Z28" s="61">
        <f t="shared" si="6"/>
        <v>43302</v>
      </c>
      <c r="AA28" s="61">
        <f t="shared" si="6"/>
        <v>43303</v>
      </c>
      <c r="AB28" s="61">
        <f t="shared" si="6"/>
        <v>43304</v>
      </c>
      <c r="AC28" s="61">
        <f t="shared" si="6"/>
        <v>43305</v>
      </c>
      <c r="AD28" s="61">
        <f t="shared" si="6"/>
        <v>43306</v>
      </c>
      <c r="AE28" s="61">
        <f t="shared" si="6"/>
        <v>43307</v>
      </c>
      <c r="AF28" s="61">
        <f t="shared" si="6"/>
        <v>43308</v>
      </c>
      <c r="AG28" s="61">
        <f t="shared" si="6"/>
        <v>43309</v>
      </c>
      <c r="AH28" s="61">
        <f t="shared" si="6"/>
        <v>43310</v>
      </c>
      <c r="AI28" s="61">
        <f t="shared" si="6"/>
        <v>43311</v>
      </c>
      <c r="AJ28" s="61">
        <f t="shared" si="6"/>
        <v>43312</v>
      </c>
    </row>
    <row r="29" spans="1:38" ht="15.75" customHeight="1" x14ac:dyDescent="0.25">
      <c r="A29" s="44"/>
      <c r="B29" s="63"/>
      <c r="C29" s="63"/>
      <c r="D29" s="63"/>
      <c r="E29" s="64">
        <f t="shared" ref="E29:AJ29" si="7">SUM(E$5:$F5)</f>
        <v>13.4</v>
      </c>
      <c r="F29" s="64">
        <f t="shared" si="7"/>
        <v>13.4</v>
      </c>
      <c r="G29" s="64">
        <f t="shared" si="7"/>
        <v>107.73</v>
      </c>
      <c r="H29" s="64">
        <f t="shared" si="7"/>
        <v>276.73</v>
      </c>
      <c r="I29" s="64">
        <f t="shared" si="7"/>
        <v>276.73</v>
      </c>
      <c r="J29" s="64">
        <f t="shared" si="7"/>
        <v>285.73</v>
      </c>
      <c r="K29" s="64">
        <f t="shared" si="7"/>
        <v>316.45000000000005</v>
      </c>
      <c r="L29" s="64">
        <f t="shared" si="7"/>
        <v>319.95000000000005</v>
      </c>
      <c r="M29" s="64">
        <f t="shared" si="7"/>
        <v>394.25000000000006</v>
      </c>
      <c r="N29" s="64">
        <f t="shared" si="7"/>
        <v>384.25000000000006</v>
      </c>
      <c r="O29" s="64">
        <f t="shared" si="7"/>
        <v>384.25000000000006</v>
      </c>
      <c r="P29" s="64">
        <f t="shared" si="7"/>
        <v>384.25000000000006</v>
      </c>
      <c r="Q29" s="64">
        <f t="shared" si="7"/>
        <v>412.85000000000008</v>
      </c>
      <c r="R29" s="64">
        <f t="shared" si="7"/>
        <v>471.2600000000001</v>
      </c>
      <c r="S29" s="64">
        <f t="shared" si="7"/>
        <v>471.2600000000001</v>
      </c>
      <c r="T29" s="64">
        <f t="shared" si="7"/>
        <v>471.2600000000001</v>
      </c>
      <c r="U29" s="64">
        <f t="shared" si="7"/>
        <v>477.2600000000001</v>
      </c>
      <c r="V29" s="64">
        <f t="shared" si="7"/>
        <v>518.96000000000015</v>
      </c>
      <c r="W29" s="64">
        <f t="shared" si="7"/>
        <v>518.96000000000015</v>
      </c>
      <c r="X29" s="64">
        <f t="shared" si="7"/>
        <v>534.42000000000019</v>
      </c>
      <c r="Y29" s="64">
        <f t="shared" si="7"/>
        <v>534.42000000000019</v>
      </c>
      <c r="Z29" s="64">
        <f t="shared" si="7"/>
        <v>569.62000000000023</v>
      </c>
      <c r="AA29" s="64">
        <f t="shared" si="7"/>
        <v>569.62000000000023</v>
      </c>
      <c r="AB29" s="64">
        <f t="shared" si="7"/>
        <v>587.62000000000023</v>
      </c>
      <c r="AC29" s="64">
        <f t="shared" si="7"/>
        <v>1202.5200000000002</v>
      </c>
      <c r="AD29" s="64">
        <f t="shared" si="7"/>
        <v>1220.4200000000003</v>
      </c>
      <c r="AE29" s="64">
        <f t="shared" si="7"/>
        <v>1229.6700000000003</v>
      </c>
      <c r="AF29" s="64">
        <f t="shared" si="7"/>
        <v>1240.6700000000003</v>
      </c>
      <c r="AG29" s="64">
        <f t="shared" si="7"/>
        <v>1258.5700000000004</v>
      </c>
      <c r="AH29" s="64">
        <f t="shared" si="7"/>
        <v>1258.5700000000004</v>
      </c>
      <c r="AI29" s="64">
        <f t="shared" si="7"/>
        <v>1283.2300000000005</v>
      </c>
      <c r="AJ29" s="64">
        <f t="shared" si="7"/>
        <v>1283.6300000000006</v>
      </c>
    </row>
    <row r="30" spans="1:38" ht="15.75" customHeight="1" x14ac:dyDescent="0.25">
      <c r="A30" s="44"/>
      <c r="B30" s="65" t="s">
        <v>69</v>
      </c>
      <c r="C30" s="44"/>
      <c r="D30" s="44"/>
      <c r="E30" s="73">
        <f>'Jun2018'!AJ30-E5+E27</f>
        <v>1760.88</v>
      </c>
      <c r="F30" s="73">
        <f t="shared" ref="F30:AJ30" si="8">E37-F5+F27</f>
        <v>1747.48</v>
      </c>
      <c r="G30" s="73">
        <f t="shared" si="8"/>
        <v>1653.15</v>
      </c>
      <c r="H30" s="73">
        <f t="shared" si="8"/>
        <v>1484.15</v>
      </c>
      <c r="I30" s="73">
        <f t="shared" si="8"/>
        <v>1484.15</v>
      </c>
      <c r="J30" s="73">
        <f t="shared" si="8"/>
        <v>1475.15</v>
      </c>
      <c r="K30" s="73">
        <f t="shared" si="8"/>
        <v>1444.43</v>
      </c>
      <c r="L30" s="73">
        <f t="shared" si="8"/>
        <v>1540.93</v>
      </c>
      <c r="M30" s="73">
        <f t="shared" si="8"/>
        <v>1466.63</v>
      </c>
      <c r="N30" s="73">
        <f t="shared" si="8"/>
        <v>1476.63</v>
      </c>
      <c r="O30" s="73">
        <f t="shared" si="8"/>
        <v>2004.19</v>
      </c>
      <c r="P30" s="73">
        <f t="shared" si="8"/>
        <v>2004.19</v>
      </c>
      <c r="Q30" s="73">
        <f t="shared" si="8"/>
        <v>1975.5900000000001</v>
      </c>
      <c r="R30" s="73">
        <f t="shared" si="8"/>
        <v>1917.18</v>
      </c>
      <c r="S30" s="73">
        <f t="shared" si="8"/>
        <v>1917.18</v>
      </c>
      <c r="T30" s="73">
        <f t="shared" si="8"/>
        <v>1917.18</v>
      </c>
      <c r="U30" s="73">
        <f t="shared" si="8"/>
        <v>1911.18</v>
      </c>
      <c r="V30" s="73">
        <f t="shared" si="8"/>
        <v>1869.48</v>
      </c>
      <c r="W30" s="73">
        <f t="shared" si="8"/>
        <v>1869.48</v>
      </c>
      <c r="X30" s="73">
        <f t="shared" si="8"/>
        <v>1854.02</v>
      </c>
      <c r="Y30" s="73">
        <f t="shared" si="8"/>
        <v>2254.02</v>
      </c>
      <c r="Z30" s="73">
        <f t="shared" si="8"/>
        <v>2418.8200000000002</v>
      </c>
      <c r="AA30" s="73">
        <f t="shared" si="8"/>
        <v>2418.8200000000002</v>
      </c>
      <c r="AB30" s="73">
        <f t="shared" si="8"/>
        <v>2400.8200000000002</v>
      </c>
      <c r="AC30" s="73">
        <f t="shared" si="8"/>
        <v>1785.92</v>
      </c>
      <c r="AD30" s="73">
        <f t="shared" si="8"/>
        <v>1768.02</v>
      </c>
      <c r="AE30" s="73">
        <f t="shared" si="8"/>
        <v>1758.77</v>
      </c>
      <c r="AF30" s="73">
        <f t="shared" si="8"/>
        <v>1747.77</v>
      </c>
      <c r="AG30" s="73">
        <f t="shared" si="8"/>
        <v>1729.87</v>
      </c>
      <c r="AH30" s="73">
        <f t="shared" si="8"/>
        <v>1829.87</v>
      </c>
      <c r="AI30" s="73">
        <f t="shared" si="8"/>
        <v>1805.2099999999998</v>
      </c>
      <c r="AJ30" s="73">
        <f t="shared" si="8"/>
        <v>1804.8099999999997</v>
      </c>
    </row>
    <row r="31" spans="1:38" ht="15.75" customHeight="1" x14ac:dyDescent="0.25">
      <c r="A31" s="1"/>
      <c r="B31" s="1" t="s">
        <v>61</v>
      </c>
      <c r="C31" s="1"/>
      <c r="D31" s="12"/>
      <c r="E31" s="12"/>
      <c r="F31" s="1"/>
      <c r="G31" s="1">
        <v>30</v>
      </c>
      <c r="H31" s="1"/>
      <c r="I31" s="1"/>
      <c r="J31" s="1">
        <f>G31</f>
        <v>30</v>
      </c>
      <c r="K31" s="1"/>
      <c r="L31" s="1"/>
      <c r="M31" s="1"/>
      <c r="N31" s="1"/>
      <c r="O31" s="1"/>
      <c r="P31" s="1">
        <v>42</v>
      </c>
      <c r="Q31" s="1"/>
      <c r="R31" s="1"/>
      <c r="S31" s="1"/>
      <c r="T31" s="1"/>
      <c r="U31" s="1"/>
      <c r="V31" s="1">
        <v>34</v>
      </c>
      <c r="W31" s="1"/>
      <c r="X31" s="1"/>
      <c r="Y31" s="1"/>
      <c r="Z31" s="1"/>
      <c r="AA31" s="1"/>
      <c r="AB31" s="1"/>
      <c r="AC31" s="1"/>
      <c r="AD31" s="1"/>
      <c r="AE31" s="1">
        <v>64</v>
      </c>
      <c r="AF31" s="1"/>
      <c r="AG31" s="1"/>
      <c r="AH31" s="1"/>
      <c r="AI31" s="1"/>
      <c r="AJ31" s="1">
        <v>152</v>
      </c>
      <c r="AK31" s="1"/>
      <c r="AL31" s="1"/>
    </row>
    <row r="32" spans="1:38" ht="15.75" customHeight="1" x14ac:dyDescent="0.25">
      <c r="A32" s="1"/>
      <c r="B32" s="1" t="s">
        <v>72</v>
      </c>
      <c r="C32" s="1"/>
      <c r="D32" s="12"/>
      <c r="E32" s="12"/>
      <c r="F32" s="1"/>
      <c r="G32" s="1">
        <v>0</v>
      </c>
      <c r="H32" s="1"/>
      <c r="I32" s="1"/>
      <c r="J32" s="1">
        <v>0</v>
      </c>
      <c r="K32" s="1"/>
      <c r="L32" s="1"/>
      <c r="M32" s="1"/>
      <c r="N32" s="1"/>
      <c r="O32" s="1"/>
      <c r="P32" s="1">
        <v>100</v>
      </c>
      <c r="Q32" s="1"/>
      <c r="R32" s="1"/>
      <c r="S32" s="1"/>
      <c r="T32" s="1"/>
      <c r="U32" s="1"/>
      <c r="V32" s="1">
        <v>0</v>
      </c>
      <c r="W32" s="1"/>
      <c r="X32" s="1"/>
      <c r="Y32" s="1"/>
      <c r="Z32" s="1"/>
      <c r="AA32" s="1"/>
      <c r="AB32" s="1"/>
      <c r="AC32" s="1"/>
      <c r="AD32" s="1"/>
      <c r="AE32" s="1">
        <v>0</v>
      </c>
      <c r="AF32" s="1"/>
      <c r="AG32" s="1"/>
      <c r="AH32" s="1"/>
      <c r="AI32" s="1"/>
      <c r="AJ32" s="1">
        <v>0</v>
      </c>
      <c r="AK32" s="1"/>
      <c r="AL32" s="1"/>
    </row>
    <row r="33" spans="1:38" ht="15.75" customHeight="1" x14ac:dyDescent="0.25">
      <c r="A33" s="1"/>
      <c r="B33" s="1" t="s">
        <v>70</v>
      </c>
      <c r="C33" s="1"/>
      <c r="D33" s="12"/>
      <c r="E33" s="12"/>
      <c r="F33" s="1"/>
      <c r="G33" s="1">
        <f>164.72+54.22</f>
        <v>218.94</v>
      </c>
      <c r="H33" s="1"/>
      <c r="I33" s="1"/>
      <c r="J33" s="1">
        <f>G33</f>
        <v>218.94</v>
      </c>
      <c r="K33" s="1"/>
      <c r="L33" s="1"/>
      <c r="M33" s="1"/>
      <c r="N33" s="1"/>
      <c r="O33" s="1"/>
      <c r="P33" s="1">
        <v>278.06</v>
      </c>
      <c r="Q33" s="1"/>
      <c r="R33" s="1"/>
      <c r="S33" s="1"/>
      <c r="T33" s="1"/>
      <c r="U33" s="1"/>
      <c r="V33" s="1">
        <f>62.51+20</f>
        <v>82.509999999999991</v>
      </c>
      <c r="W33" s="1"/>
      <c r="X33" s="1"/>
      <c r="Y33" s="1"/>
      <c r="Z33" s="1"/>
      <c r="AA33" s="1"/>
      <c r="AB33" s="1"/>
      <c r="AC33" s="1"/>
      <c r="AD33" s="1"/>
      <c r="AE33" s="1">
        <v>178.3</v>
      </c>
      <c r="AF33" s="1"/>
      <c r="AG33" s="1"/>
      <c r="AH33" s="1"/>
      <c r="AI33" s="1"/>
      <c r="AJ33" s="1">
        <v>215.88</v>
      </c>
      <c r="AK33" s="1"/>
      <c r="AL33" s="1"/>
    </row>
    <row r="34" spans="1:38" ht="15.75" customHeight="1" x14ac:dyDescent="0.25">
      <c r="A34" s="1"/>
      <c r="B34" s="1" t="s">
        <v>71</v>
      </c>
      <c r="C34" s="1"/>
      <c r="D34" s="12"/>
      <c r="E34" s="12"/>
      <c r="F34" s="1"/>
      <c r="G34" s="1">
        <v>580.94000000000005</v>
      </c>
      <c r="H34" s="1"/>
      <c r="I34" s="1"/>
      <c r="J34" s="1">
        <f>G34-H15-H16</f>
        <v>406.94000000000005</v>
      </c>
      <c r="K34" s="1"/>
      <c r="L34" s="1"/>
      <c r="M34" s="1"/>
      <c r="N34" s="1"/>
      <c r="O34" s="1"/>
      <c r="P34" s="1">
        <v>870</v>
      </c>
      <c r="Q34" s="1"/>
      <c r="R34" s="1"/>
      <c r="S34" s="1"/>
      <c r="T34" s="1"/>
      <c r="U34" s="1"/>
      <c r="V34" s="1">
        <f>569.94-20+100</f>
        <v>649.94000000000005</v>
      </c>
      <c r="W34" s="1"/>
      <c r="X34" s="1"/>
      <c r="Y34" s="1"/>
      <c r="Z34" s="1"/>
      <c r="AA34" s="1"/>
      <c r="AB34" s="1"/>
      <c r="AC34" s="1"/>
      <c r="AD34" s="1"/>
      <c r="AE34" s="1">
        <v>586.94000000000005</v>
      </c>
      <c r="AF34" s="1"/>
      <c r="AG34" s="1"/>
      <c r="AH34" s="1"/>
      <c r="AI34" s="1"/>
      <c r="AJ34" s="1">
        <v>575.94000000000005</v>
      </c>
      <c r="AK34" s="1"/>
      <c r="AL34" s="1"/>
    </row>
    <row r="35" spans="1:38" ht="15.75" customHeight="1" x14ac:dyDescent="0.25">
      <c r="A35" s="1"/>
      <c r="B35" s="1" t="s">
        <v>73</v>
      </c>
      <c r="C35" s="1"/>
      <c r="D35" s="12"/>
      <c r="E35" s="12"/>
      <c r="F35" s="1"/>
      <c r="G35" s="1">
        <v>400</v>
      </c>
      <c r="H35" s="1"/>
      <c r="I35" s="1"/>
      <c r="J35" s="1">
        <f t="shared" ref="J35:J36" si="9">G35</f>
        <v>400</v>
      </c>
      <c r="K35" s="1"/>
      <c r="L35" s="1"/>
      <c r="M35" s="1"/>
      <c r="N35" s="1"/>
      <c r="O35" s="1"/>
      <c r="P35" s="1">
        <v>400</v>
      </c>
      <c r="Q35" s="1"/>
      <c r="R35" s="1"/>
      <c r="S35" s="1"/>
      <c r="T35" s="1"/>
      <c r="U35" s="1"/>
      <c r="V35" s="1">
        <v>400</v>
      </c>
      <c r="W35" s="1"/>
      <c r="X35" s="1"/>
      <c r="Y35" s="1"/>
      <c r="Z35" s="1"/>
      <c r="AA35" s="1"/>
      <c r="AB35" s="1"/>
      <c r="AC35" s="1"/>
      <c r="AD35" s="1"/>
      <c r="AE35" s="1">
        <v>400</v>
      </c>
      <c r="AF35" s="1"/>
      <c r="AG35" s="1"/>
      <c r="AH35" s="1"/>
      <c r="AI35" s="1"/>
      <c r="AJ35" s="1">
        <v>400</v>
      </c>
      <c r="AK35" s="1"/>
      <c r="AL35" s="1"/>
    </row>
    <row r="36" spans="1:38" ht="15.75" customHeight="1" x14ac:dyDescent="0.25">
      <c r="A36" s="44"/>
      <c r="B36" s="44" t="s">
        <v>63</v>
      </c>
      <c r="C36" s="44"/>
      <c r="D36" s="68"/>
      <c r="E36" s="68"/>
      <c r="F36" s="44"/>
      <c r="G36" s="44">
        <v>872.6</v>
      </c>
      <c r="H36" s="44"/>
      <c r="I36" s="44"/>
      <c r="J36" s="44">
        <f t="shared" si="9"/>
        <v>872.6</v>
      </c>
      <c r="K36" s="44"/>
      <c r="L36" s="44"/>
      <c r="M36" s="44"/>
      <c r="N36" s="44"/>
      <c r="O36" s="44"/>
      <c r="P36" s="44">
        <v>872.62</v>
      </c>
      <c r="Q36" s="44"/>
      <c r="R36" s="44"/>
      <c r="S36" s="44"/>
      <c r="T36" s="44"/>
      <c r="U36" s="44"/>
      <c r="V36" s="44">
        <v>874.25</v>
      </c>
      <c r="W36" s="44"/>
      <c r="X36" s="44"/>
      <c r="Y36" s="44"/>
      <c r="Z36" s="44"/>
      <c r="AA36" s="44"/>
      <c r="AB36" s="44"/>
      <c r="AC36" s="44"/>
      <c r="AD36" s="44"/>
      <c r="AE36" s="44">
        <v>875.84</v>
      </c>
      <c r="AF36" s="44"/>
      <c r="AG36" s="44"/>
      <c r="AH36" s="44"/>
      <c r="AI36" s="44"/>
      <c r="AJ36" s="44">
        <v>875.84</v>
      </c>
      <c r="AK36" s="1"/>
      <c r="AL36" s="1"/>
    </row>
    <row r="37" spans="1:38" ht="15.75" customHeight="1" x14ac:dyDescent="0.25">
      <c r="A37" s="1"/>
      <c r="B37" s="1"/>
      <c r="C37" s="1"/>
      <c r="D37" s="12"/>
      <c r="E37" s="51">
        <f t="shared" ref="E37:AJ37" si="10">E30</f>
        <v>1760.88</v>
      </c>
      <c r="F37" s="51">
        <f t="shared" si="10"/>
        <v>1747.48</v>
      </c>
      <c r="G37" s="51">
        <f t="shared" si="10"/>
        <v>1653.15</v>
      </c>
      <c r="H37" s="51">
        <f t="shared" si="10"/>
        <v>1484.15</v>
      </c>
      <c r="I37" s="51">
        <f t="shared" si="10"/>
        <v>1484.15</v>
      </c>
      <c r="J37" s="51">
        <f t="shared" si="10"/>
        <v>1475.15</v>
      </c>
      <c r="K37" s="51">
        <f t="shared" si="10"/>
        <v>1444.43</v>
      </c>
      <c r="L37" s="51">
        <f t="shared" si="10"/>
        <v>1540.93</v>
      </c>
      <c r="M37" s="51">
        <f t="shared" si="10"/>
        <v>1466.63</v>
      </c>
      <c r="N37" s="51">
        <f t="shared" si="10"/>
        <v>1476.63</v>
      </c>
      <c r="O37" s="51">
        <f t="shared" si="10"/>
        <v>2004.19</v>
      </c>
      <c r="P37" s="51">
        <f t="shared" si="10"/>
        <v>2004.19</v>
      </c>
      <c r="Q37" s="51">
        <f t="shared" si="10"/>
        <v>1975.5900000000001</v>
      </c>
      <c r="R37" s="51">
        <f t="shared" si="10"/>
        <v>1917.18</v>
      </c>
      <c r="S37" s="51">
        <f t="shared" si="10"/>
        <v>1917.18</v>
      </c>
      <c r="T37" s="51">
        <f t="shared" si="10"/>
        <v>1917.18</v>
      </c>
      <c r="U37" s="51">
        <f t="shared" si="10"/>
        <v>1911.18</v>
      </c>
      <c r="V37" s="51">
        <f t="shared" si="10"/>
        <v>1869.48</v>
      </c>
      <c r="W37" s="51">
        <f t="shared" si="10"/>
        <v>1869.48</v>
      </c>
      <c r="X37" s="51">
        <f t="shared" si="10"/>
        <v>1854.02</v>
      </c>
      <c r="Y37" s="51">
        <f t="shared" si="10"/>
        <v>2254.02</v>
      </c>
      <c r="Z37" s="51">
        <f t="shared" si="10"/>
        <v>2418.8200000000002</v>
      </c>
      <c r="AA37" s="51">
        <f t="shared" si="10"/>
        <v>2418.8200000000002</v>
      </c>
      <c r="AB37" s="51">
        <f t="shared" si="10"/>
        <v>2400.8200000000002</v>
      </c>
      <c r="AC37" s="51">
        <f t="shared" si="10"/>
        <v>1785.92</v>
      </c>
      <c r="AD37" s="51">
        <f t="shared" si="10"/>
        <v>1768.02</v>
      </c>
      <c r="AE37" s="51">
        <f t="shared" si="10"/>
        <v>1758.77</v>
      </c>
      <c r="AF37" s="51">
        <f t="shared" si="10"/>
        <v>1747.77</v>
      </c>
      <c r="AG37" s="51">
        <f t="shared" si="10"/>
        <v>1729.87</v>
      </c>
      <c r="AH37" s="51">
        <f t="shared" si="10"/>
        <v>1829.87</v>
      </c>
      <c r="AI37" s="51">
        <f t="shared" si="10"/>
        <v>1805.2099999999998</v>
      </c>
      <c r="AJ37" s="64">
        <f t="shared" si="10"/>
        <v>1804.8099999999997</v>
      </c>
      <c r="AK37" s="1"/>
      <c r="AL37" s="1"/>
    </row>
    <row r="38" spans="1:38" ht="15.75" customHeight="1" x14ac:dyDescent="0.25">
      <c r="A38" s="69"/>
      <c r="B38" s="69" t="s">
        <v>74</v>
      </c>
      <c r="C38" s="69"/>
      <c r="D38" s="70"/>
      <c r="E38" s="70"/>
      <c r="F38" s="69"/>
      <c r="G38" s="69">
        <f>G31-G33+G34+G35+G36+G32</f>
        <v>1664.6</v>
      </c>
      <c r="H38" s="69"/>
      <c r="I38" s="69"/>
      <c r="J38" s="69">
        <f>J31-J33+J34+J35+J36</f>
        <v>1490.6</v>
      </c>
      <c r="K38" s="69"/>
      <c r="L38" s="69"/>
      <c r="M38" s="69"/>
      <c r="N38" s="69"/>
      <c r="O38" s="69"/>
      <c r="P38" s="69">
        <f>P31-P33+P34+P35+P36+P32</f>
        <v>2006.56</v>
      </c>
      <c r="Q38" s="71"/>
      <c r="R38" s="71"/>
      <c r="S38" s="71"/>
      <c r="T38" s="71"/>
      <c r="U38" s="71"/>
      <c r="V38" s="69">
        <f>V31-V33+V34+V35+V36+V32</f>
        <v>1875.68</v>
      </c>
      <c r="W38" s="71"/>
      <c r="X38" s="71"/>
      <c r="Y38" s="71"/>
      <c r="Z38" s="71"/>
      <c r="AA38" s="71"/>
      <c r="AB38" s="71"/>
      <c r="AC38" s="71"/>
      <c r="AD38" s="71"/>
      <c r="AE38" s="69">
        <f>AE31-AE33+AE34+AE35+AE36+AE32</f>
        <v>1748.48</v>
      </c>
      <c r="AF38" s="71"/>
      <c r="AG38" s="71"/>
      <c r="AH38" s="71"/>
      <c r="AI38" s="71"/>
      <c r="AJ38" s="69">
        <f>AJ31-AJ33+AJ34+AJ35+AJ36+AJ32</f>
        <v>1787.9</v>
      </c>
      <c r="AK38" s="1"/>
      <c r="AL38" s="1"/>
    </row>
    <row r="39" spans="1:38" ht="15.75" customHeight="1" x14ac:dyDescent="0.25">
      <c r="A39" s="1"/>
      <c r="B39" s="1"/>
      <c r="C39" s="1"/>
      <c r="D39" s="12"/>
      <c r="E39" s="12"/>
      <c r="F39" s="1"/>
      <c r="G39" s="1" t="s">
        <v>75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50"/>
      <c r="AL40" s="1"/>
    </row>
    <row r="41" spans="1:38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3">
    <cfRule type="cellIs" dxfId="156" priority="1" operator="greaterThan">
      <formula>0</formula>
    </cfRule>
  </conditionalFormatting>
  <conditionalFormatting sqref="C3">
    <cfRule type="cellIs" dxfId="155" priority="2" operator="lessThan">
      <formula>0</formula>
    </cfRule>
  </conditionalFormatting>
  <conditionalFormatting sqref="AO4">
    <cfRule type="cellIs" dxfId="154" priority="3" operator="greaterThan">
      <formula>0</formula>
    </cfRule>
  </conditionalFormatting>
  <conditionalFormatting sqref="AO4">
    <cfRule type="cellIs" dxfId="153" priority="4" operator="lessThan">
      <formula>0</formula>
    </cfRule>
  </conditionalFormatting>
  <conditionalFormatting sqref="W2:W37">
    <cfRule type="expression" dxfId="152" priority="5">
      <formula>$W$4=$AM$3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N1000"/>
  <sheetViews>
    <sheetView showGridLines="0" workbookViewId="0"/>
  </sheetViews>
  <sheetFormatPr defaultColWidth="14.42578125" defaultRowHeight="15" customHeight="1" x14ac:dyDescent="0.25"/>
  <cols>
    <col min="1" max="1" width="1.7109375" customWidth="1"/>
    <col min="2" max="2" width="18.85546875" customWidth="1"/>
    <col min="3" max="3" width="10.140625" customWidth="1"/>
    <col min="4" max="4" width="7.140625" customWidth="1"/>
    <col min="5" max="27" width="8.5703125" customWidth="1"/>
    <col min="28" max="35" width="10.140625" customWidth="1"/>
    <col min="36" max="36" width="18.85546875" customWidth="1"/>
    <col min="37" max="37" width="3" customWidth="1"/>
    <col min="39" max="39" width="20.85546875" customWidth="1"/>
  </cols>
  <sheetData>
    <row r="1" spans="2:40" ht="9" customHeight="1" x14ac:dyDescent="0.25"/>
    <row r="2" spans="2:40" x14ac:dyDescent="0.25">
      <c r="B2" s="74" t="s">
        <v>45</v>
      </c>
      <c r="C2" s="75">
        <f>SUM(C7:C27)</f>
        <v>-1690.25</v>
      </c>
      <c r="D2" s="12" t="s">
        <v>76</v>
      </c>
      <c r="E2" s="49">
        <f t="shared" ref="E2:AI2" si="0">E6/$C$2</f>
        <v>5.9576985653009902E-2</v>
      </c>
      <c r="F2" s="49">
        <f t="shared" si="0"/>
        <v>2.9581422866439876E-3</v>
      </c>
      <c r="G2" s="49">
        <f t="shared" si="0"/>
        <v>1.4790711433219937E-2</v>
      </c>
      <c r="H2" s="49">
        <f t="shared" si="0"/>
        <v>2.5440023665138294E-2</v>
      </c>
      <c r="I2" s="49">
        <f t="shared" si="0"/>
        <v>2.2026327466351133E-2</v>
      </c>
      <c r="J2" s="49">
        <f t="shared" si="0"/>
        <v>2.3665138293151901E-3</v>
      </c>
      <c r="K2" s="49">
        <f t="shared" si="0"/>
        <v>4.437213429965981E-3</v>
      </c>
      <c r="L2" s="49">
        <f t="shared" si="0"/>
        <v>1.6269782576541932E-2</v>
      </c>
      <c r="M2" s="49">
        <f t="shared" si="0"/>
        <v>0</v>
      </c>
      <c r="N2" s="49">
        <f t="shared" si="0"/>
        <v>1.7748853719863924E-2</v>
      </c>
      <c r="O2" s="49">
        <f t="shared" si="0"/>
        <v>6.0346102647537349E-2</v>
      </c>
      <c r="P2" s="49">
        <f t="shared" si="0"/>
        <v>0</v>
      </c>
      <c r="Q2" s="49">
        <f t="shared" si="0"/>
        <v>1.0247004880934774E-2</v>
      </c>
      <c r="R2" s="49">
        <f t="shared" si="0"/>
        <v>1.2424197603904747E-2</v>
      </c>
      <c r="S2" s="49">
        <f t="shared" si="0"/>
        <v>3.2362076615885228E-2</v>
      </c>
      <c r="T2" s="49">
        <f t="shared" si="0"/>
        <v>0</v>
      </c>
      <c r="U2" s="49">
        <f t="shared" si="0"/>
        <v>6.0346102647537349E-2</v>
      </c>
      <c r="V2" s="49">
        <f t="shared" si="0"/>
        <v>1.5973968347877534E-2</v>
      </c>
      <c r="W2" s="49">
        <f t="shared" si="0"/>
        <v>7.8390770596065678E-3</v>
      </c>
      <c r="X2" s="49">
        <f t="shared" si="0"/>
        <v>0</v>
      </c>
      <c r="Y2" s="49">
        <f t="shared" si="0"/>
        <v>1.4122171276438398E-2</v>
      </c>
      <c r="Z2" s="49">
        <f t="shared" si="0"/>
        <v>0</v>
      </c>
      <c r="AA2" s="49">
        <f t="shared" si="0"/>
        <v>1.183256914657595E-3</v>
      </c>
      <c r="AB2" s="49">
        <f t="shared" si="0"/>
        <v>0.41986688359710106</v>
      </c>
      <c r="AC2" s="49">
        <f t="shared" si="0"/>
        <v>0</v>
      </c>
      <c r="AD2" s="49">
        <f t="shared" si="0"/>
        <v>2.2038160035497707E-2</v>
      </c>
      <c r="AE2" s="49">
        <f t="shared" si="0"/>
        <v>0</v>
      </c>
      <c r="AF2" s="49">
        <f t="shared" si="0"/>
        <v>3.0829758911403639E-2</v>
      </c>
      <c r="AG2" s="49">
        <f t="shared" si="0"/>
        <v>2.4848395207809494E-2</v>
      </c>
      <c r="AH2" s="49">
        <f t="shared" si="0"/>
        <v>7.6314154710841603E-2</v>
      </c>
      <c r="AI2" s="49">
        <f t="shared" si="0"/>
        <v>4.564413548291673E-2</v>
      </c>
      <c r="AJ2" s="1"/>
      <c r="AK2" s="1"/>
    </row>
    <row r="3" spans="2:40" hidden="1" x14ac:dyDescent="0.25">
      <c r="B3" s="76"/>
      <c r="C3" s="77"/>
      <c r="D3" s="1"/>
      <c r="E3" s="55" t="str">
        <f t="shared" ref="E3:AI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M3" s="78" t="s">
        <v>0</v>
      </c>
      <c r="AN3" s="1" t="s">
        <v>64</v>
      </c>
    </row>
    <row r="4" spans="2:40" x14ac:dyDescent="0.25">
      <c r="B4" s="79" t="s">
        <v>47</v>
      </c>
      <c r="C4" s="80">
        <f>C28+C2</f>
        <v>20.440000000000055</v>
      </c>
      <c r="D4" s="12"/>
      <c r="E4" s="5" t="str">
        <f t="shared" ref="E4:AI4" si="2">TEXT(E5,"ddd")</f>
        <v>Wed</v>
      </c>
      <c r="F4" s="5" t="str">
        <f t="shared" si="2"/>
        <v>Thu</v>
      </c>
      <c r="G4" s="5" t="str">
        <f t="shared" si="2"/>
        <v>Fri</v>
      </c>
      <c r="H4" s="5" t="str">
        <f t="shared" si="2"/>
        <v>Sat</v>
      </c>
      <c r="I4" s="5" t="str">
        <f t="shared" si="2"/>
        <v>Sun</v>
      </c>
      <c r="J4" s="5" t="str">
        <f t="shared" si="2"/>
        <v>Mon</v>
      </c>
      <c r="K4" s="5" t="str">
        <f t="shared" si="2"/>
        <v>Tue</v>
      </c>
      <c r="L4" s="5" t="str">
        <f t="shared" si="2"/>
        <v>Wed</v>
      </c>
      <c r="M4" s="5" t="str">
        <f t="shared" si="2"/>
        <v>Thu</v>
      </c>
      <c r="N4" s="5" t="str">
        <f t="shared" si="2"/>
        <v>Fri</v>
      </c>
      <c r="O4" s="5" t="str">
        <f t="shared" si="2"/>
        <v>Sat</v>
      </c>
      <c r="P4" s="5" t="str">
        <f t="shared" si="2"/>
        <v>Sun</v>
      </c>
      <c r="Q4" s="5" t="str">
        <f t="shared" si="2"/>
        <v>Mon</v>
      </c>
      <c r="R4" s="5" t="str">
        <f t="shared" si="2"/>
        <v>Tue</v>
      </c>
      <c r="S4" s="5" t="str">
        <f t="shared" si="2"/>
        <v>Wed</v>
      </c>
      <c r="T4" s="5" t="str">
        <f t="shared" si="2"/>
        <v>Thu</v>
      </c>
      <c r="U4" s="5" t="str">
        <f t="shared" si="2"/>
        <v>Fri</v>
      </c>
      <c r="V4" s="5" t="str">
        <f t="shared" si="2"/>
        <v>Sat</v>
      </c>
      <c r="W4" s="5" t="str">
        <f t="shared" si="2"/>
        <v>Sun</v>
      </c>
      <c r="X4" s="5" t="str">
        <f t="shared" si="2"/>
        <v>Mon</v>
      </c>
      <c r="Y4" s="5" t="str">
        <f t="shared" si="2"/>
        <v>Tue</v>
      </c>
      <c r="Z4" s="5" t="str">
        <f t="shared" si="2"/>
        <v>Wed</v>
      </c>
      <c r="AA4" s="5" t="str">
        <f t="shared" si="2"/>
        <v>Thu</v>
      </c>
      <c r="AB4" s="5" t="str">
        <f t="shared" si="2"/>
        <v>Fri</v>
      </c>
      <c r="AC4" s="5" t="str">
        <f t="shared" si="2"/>
        <v>Sat</v>
      </c>
      <c r="AD4" s="5" t="str">
        <f t="shared" si="2"/>
        <v>Sun</v>
      </c>
      <c r="AE4" s="5" t="str">
        <f t="shared" si="2"/>
        <v>Mon</v>
      </c>
      <c r="AF4" s="5" t="str">
        <f t="shared" si="2"/>
        <v>Tue</v>
      </c>
      <c r="AG4" s="5" t="str">
        <f t="shared" si="2"/>
        <v>Wed</v>
      </c>
      <c r="AH4" s="5" t="str">
        <f t="shared" si="2"/>
        <v>Thu</v>
      </c>
      <c r="AI4" s="5" t="str">
        <f t="shared" si="2"/>
        <v>Fri</v>
      </c>
      <c r="AK4" s="7">
        <v>-1</v>
      </c>
      <c r="AM4" s="78">
        <v>2018</v>
      </c>
      <c r="AN4" s="56">
        <f ca="1">TODAY()</f>
        <v>43926</v>
      </c>
    </row>
    <row r="5" spans="2:40" x14ac:dyDescent="0.25">
      <c r="B5" s="81" t="s">
        <v>51</v>
      </c>
      <c r="C5" s="82">
        <f>C4/C28</f>
        <v>1.1948395092038917E-2</v>
      </c>
      <c r="D5" s="12" t="s">
        <v>76</v>
      </c>
      <c r="E5" s="8">
        <f>DATE($AM$4,$AM$6,1)</f>
        <v>43313</v>
      </c>
      <c r="F5" s="8">
        <f t="shared" ref="F5:AI5" si="3">E5+1</f>
        <v>43314</v>
      </c>
      <c r="G5" s="8">
        <f t="shared" si="3"/>
        <v>43315</v>
      </c>
      <c r="H5" s="8">
        <f t="shared" si="3"/>
        <v>43316</v>
      </c>
      <c r="I5" s="8">
        <f t="shared" si="3"/>
        <v>43317</v>
      </c>
      <c r="J5" s="8">
        <f t="shared" si="3"/>
        <v>43318</v>
      </c>
      <c r="K5" s="8">
        <f t="shared" si="3"/>
        <v>43319</v>
      </c>
      <c r="L5" s="8">
        <f t="shared" si="3"/>
        <v>43320</v>
      </c>
      <c r="M5" s="8">
        <f t="shared" si="3"/>
        <v>43321</v>
      </c>
      <c r="N5" s="8">
        <f t="shared" si="3"/>
        <v>43322</v>
      </c>
      <c r="O5" s="8">
        <f t="shared" si="3"/>
        <v>43323</v>
      </c>
      <c r="P5" s="8">
        <f t="shared" si="3"/>
        <v>43324</v>
      </c>
      <c r="Q5" s="8">
        <f t="shared" si="3"/>
        <v>43325</v>
      </c>
      <c r="R5" s="8">
        <f t="shared" si="3"/>
        <v>43326</v>
      </c>
      <c r="S5" s="8">
        <f t="shared" si="3"/>
        <v>43327</v>
      </c>
      <c r="T5" s="8">
        <f t="shared" si="3"/>
        <v>43328</v>
      </c>
      <c r="U5" s="8">
        <f t="shared" si="3"/>
        <v>43329</v>
      </c>
      <c r="V5" s="8">
        <f t="shared" si="3"/>
        <v>43330</v>
      </c>
      <c r="W5" s="8">
        <f t="shared" si="3"/>
        <v>43331</v>
      </c>
      <c r="X5" s="8">
        <f t="shared" si="3"/>
        <v>43332</v>
      </c>
      <c r="Y5" s="8">
        <f t="shared" si="3"/>
        <v>43333</v>
      </c>
      <c r="Z5" s="8">
        <f t="shared" si="3"/>
        <v>43334</v>
      </c>
      <c r="AA5" s="8">
        <f t="shared" si="3"/>
        <v>43335</v>
      </c>
      <c r="AB5" s="8">
        <f t="shared" si="3"/>
        <v>43336</v>
      </c>
      <c r="AC5" s="8">
        <f t="shared" si="3"/>
        <v>43337</v>
      </c>
      <c r="AD5" s="8">
        <f t="shared" si="3"/>
        <v>43338</v>
      </c>
      <c r="AE5" s="8">
        <f t="shared" si="3"/>
        <v>43339</v>
      </c>
      <c r="AF5" s="8">
        <f t="shared" si="3"/>
        <v>43340</v>
      </c>
      <c r="AG5" s="8">
        <f t="shared" si="3"/>
        <v>43341</v>
      </c>
      <c r="AH5" s="8">
        <f t="shared" si="3"/>
        <v>43342</v>
      </c>
      <c r="AI5" s="8">
        <f t="shared" si="3"/>
        <v>43343</v>
      </c>
      <c r="AM5" s="78" t="s">
        <v>1</v>
      </c>
      <c r="AN5" s="1" t="str">
        <f ca="1">IF(V5=AN4,"sim","não")</f>
        <v>não</v>
      </c>
    </row>
    <row r="6" spans="2:40" x14ac:dyDescent="0.25">
      <c r="B6" s="83"/>
      <c r="C6" s="15" t="s">
        <v>62</v>
      </c>
      <c r="D6" s="84">
        <f t="shared" ref="D6:AI6" si="4">SUM(D7:D27)</f>
        <v>1</v>
      </c>
      <c r="E6" s="85">
        <f t="shared" si="4"/>
        <v>-100.69999999999999</v>
      </c>
      <c r="F6" s="85">
        <f t="shared" si="4"/>
        <v>-5</v>
      </c>
      <c r="G6" s="85">
        <f t="shared" si="4"/>
        <v>-25</v>
      </c>
      <c r="H6" s="85">
        <f t="shared" si="4"/>
        <v>-43</v>
      </c>
      <c r="I6" s="85">
        <f t="shared" si="4"/>
        <v>-37.230000000000004</v>
      </c>
      <c r="J6" s="85">
        <f t="shared" si="4"/>
        <v>-4</v>
      </c>
      <c r="K6" s="85">
        <f t="shared" si="4"/>
        <v>-7.5</v>
      </c>
      <c r="L6" s="85">
        <f t="shared" si="4"/>
        <v>-27.5</v>
      </c>
      <c r="M6" s="85">
        <f t="shared" si="4"/>
        <v>0</v>
      </c>
      <c r="N6" s="85">
        <f t="shared" si="4"/>
        <v>-30</v>
      </c>
      <c r="O6" s="85">
        <f t="shared" si="4"/>
        <v>-102</v>
      </c>
      <c r="P6" s="85">
        <f t="shared" si="4"/>
        <v>0</v>
      </c>
      <c r="Q6" s="85">
        <f t="shared" si="4"/>
        <v>-17.32</v>
      </c>
      <c r="R6" s="85">
        <f t="shared" si="4"/>
        <v>-21</v>
      </c>
      <c r="S6" s="85">
        <f t="shared" si="4"/>
        <v>-54.7</v>
      </c>
      <c r="T6" s="85">
        <f t="shared" si="4"/>
        <v>0</v>
      </c>
      <c r="U6" s="85">
        <f t="shared" si="4"/>
        <v>-102</v>
      </c>
      <c r="V6" s="85">
        <f t="shared" si="4"/>
        <v>-27</v>
      </c>
      <c r="W6" s="85">
        <f t="shared" si="4"/>
        <v>-13.25</v>
      </c>
      <c r="X6" s="85">
        <f t="shared" si="4"/>
        <v>0</v>
      </c>
      <c r="Y6" s="85">
        <f t="shared" si="4"/>
        <v>-23.87</v>
      </c>
      <c r="Z6" s="85">
        <f t="shared" si="4"/>
        <v>0</v>
      </c>
      <c r="AA6" s="85">
        <f t="shared" si="4"/>
        <v>-2</v>
      </c>
      <c r="AB6" s="85">
        <f t="shared" si="4"/>
        <v>-709.68000000000006</v>
      </c>
      <c r="AC6" s="85">
        <f t="shared" si="4"/>
        <v>0</v>
      </c>
      <c r="AD6" s="85">
        <f t="shared" si="4"/>
        <v>-37.25</v>
      </c>
      <c r="AE6" s="85">
        <f t="shared" si="4"/>
        <v>0</v>
      </c>
      <c r="AF6" s="85">
        <f t="shared" si="4"/>
        <v>-52.11</v>
      </c>
      <c r="AG6" s="85">
        <f t="shared" si="4"/>
        <v>-42</v>
      </c>
      <c r="AH6" s="85">
        <f t="shared" si="4"/>
        <v>-128.99</v>
      </c>
      <c r="AI6" s="85">
        <f t="shared" si="4"/>
        <v>-77.150000000000006</v>
      </c>
      <c r="AM6" s="78">
        <v>8</v>
      </c>
      <c r="AN6" s="1"/>
    </row>
    <row r="7" spans="2:40" x14ac:dyDescent="0.25">
      <c r="B7" s="86" t="s">
        <v>20</v>
      </c>
      <c r="C7" s="87">
        <f t="shared" ref="C7:C28" si="5">SUM(E7:AI7)</f>
        <v>-345.37</v>
      </c>
      <c r="D7" s="88">
        <f t="shared" ref="D7:D27" si="6">C7/$C$2</f>
        <v>0.20433072030764679</v>
      </c>
      <c r="E7" s="89">
        <v>-19.899999999999999</v>
      </c>
      <c r="F7" s="89" t="s">
        <v>66</v>
      </c>
      <c r="G7" s="89">
        <v>-25</v>
      </c>
      <c r="H7" s="89" t="s">
        <v>66</v>
      </c>
      <c r="I7" s="89">
        <v>-9.84</v>
      </c>
      <c r="J7" s="89" t="s">
        <v>66</v>
      </c>
      <c r="K7" s="89" t="s">
        <v>66</v>
      </c>
      <c r="L7" s="89" t="s">
        <v>66</v>
      </c>
      <c r="M7" s="89" t="s">
        <v>66</v>
      </c>
      <c r="N7" s="89">
        <v>-25</v>
      </c>
      <c r="O7" s="89">
        <v>-20</v>
      </c>
      <c r="P7" s="89" t="s">
        <v>66</v>
      </c>
      <c r="Q7" s="89" t="s">
        <v>66</v>
      </c>
      <c r="R7" s="89" t="s">
        <v>66</v>
      </c>
      <c r="S7" s="89">
        <v>-53</v>
      </c>
      <c r="T7" s="89" t="s">
        <v>66</v>
      </c>
      <c r="U7" s="89">
        <v>-34</v>
      </c>
      <c r="V7" s="89" t="s">
        <v>66</v>
      </c>
      <c r="W7" s="89">
        <v>-10</v>
      </c>
      <c r="X7" s="89" t="s">
        <v>66</v>
      </c>
      <c r="Y7" s="89">
        <v>-7.9</v>
      </c>
      <c r="Z7" s="89" t="s">
        <v>66</v>
      </c>
      <c r="AA7" s="89" t="s">
        <v>66</v>
      </c>
      <c r="AB7" s="89">
        <f>(5+42.68+10)*-1</f>
        <v>-57.68</v>
      </c>
      <c r="AC7" s="89" t="s">
        <v>66</v>
      </c>
      <c r="AD7" s="89">
        <f>(31.35+5.9)*-1</f>
        <v>-37.25</v>
      </c>
      <c r="AE7" s="89" t="s">
        <v>66</v>
      </c>
      <c r="AF7" s="89">
        <f>(16+6)*-1</f>
        <v>-22</v>
      </c>
      <c r="AG7" s="89">
        <v>-10</v>
      </c>
      <c r="AH7" s="89" t="s">
        <v>66</v>
      </c>
      <c r="AI7" s="89">
        <f>(10+3.8)*-1</f>
        <v>-13.8</v>
      </c>
      <c r="AJ7" s="90" t="str">
        <f t="shared" ref="AJ7:AJ27" si="7">B7</f>
        <v>Bares-Restaurantes</v>
      </c>
      <c r="AK7" s="1"/>
    </row>
    <row r="8" spans="2:40" x14ac:dyDescent="0.25">
      <c r="B8" s="86" t="s">
        <v>21</v>
      </c>
      <c r="C8" s="87">
        <f t="shared" si="5"/>
        <v>-16.899999999999999</v>
      </c>
      <c r="D8" s="91">
        <f t="shared" si="6"/>
        <v>9.9985209288566777E-3</v>
      </c>
      <c r="E8" s="92" t="s">
        <v>66</v>
      </c>
      <c r="F8" s="92" t="s">
        <v>66</v>
      </c>
      <c r="G8" s="92" t="s">
        <v>66</v>
      </c>
      <c r="H8" s="92" t="s">
        <v>66</v>
      </c>
      <c r="I8" s="92" t="s">
        <v>66</v>
      </c>
      <c r="J8" s="92" t="s">
        <v>66</v>
      </c>
      <c r="K8" s="92" t="s">
        <v>66</v>
      </c>
      <c r="L8" s="92" t="s">
        <v>66</v>
      </c>
      <c r="M8" s="92" t="s">
        <v>66</v>
      </c>
      <c r="N8" s="92" t="s">
        <v>66</v>
      </c>
      <c r="O8" s="92" t="s">
        <v>66</v>
      </c>
      <c r="P8" s="92" t="s">
        <v>66</v>
      </c>
      <c r="Q8" s="92" t="s">
        <v>66</v>
      </c>
      <c r="R8" s="92" t="s">
        <v>66</v>
      </c>
      <c r="S8" s="92" t="s">
        <v>66</v>
      </c>
      <c r="T8" s="92" t="s">
        <v>66</v>
      </c>
      <c r="U8" s="92" t="s">
        <v>66</v>
      </c>
      <c r="V8" s="92" t="s">
        <v>66</v>
      </c>
      <c r="W8" s="92" t="s">
        <v>66</v>
      </c>
      <c r="X8" s="92" t="s">
        <v>66</v>
      </c>
      <c r="Y8" s="92" t="s">
        <v>66</v>
      </c>
      <c r="Z8" s="92" t="s">
        <v>66</v>
      </c>
      <c r="AA8" s="92" t="s">
        <v>66</v>
      </c>
      <c r="AB8" s="92" t="s">
        <v>66</v>
      </c>
      <c r="AC8" s="92" t="s">
        <v>66</v>
      </c>
      <c r="AD8" s="92" t="s">
        <v>66</v>
      </c>
      <c r="AE8" s="92" t="s">
        <v>66</v>
      </c>
      <c r="AF8" s="92" t="s">
        <v>66</v>
      </c>
      <c r="AG8" s="92" t="s">
        <v>66</v>
      </c>
      <c r="AH8" s="92" t="s">
        <v>66</v>
      </c>
      <c r="AI8" s="92">
        <v>-16.899999999999999</v>
      </c>
      <c r="AJ8" s="90" t="str">
        <f t="shared" si="7"/>
        <v>BK</v>
      </c>
      <c r="AK8" s="1"/>
      <c r="AM8" s="54"/>
    </row>
    <row r="9" spans="2:40" x14ac:dyDescent="0.25">
      <c r="B9" s="86" t="s">
        <v>22</v>
      </c>
      <c r="C9" s="87">
        <f t="shared" si="5"/>
        <v>-25.75</v>
      </c>
      <c r="D9" s="93">
        <f t="shared" si="6"/>
        <v>1.5234432776216536E-2</v>
      </c>
      <c r="E9" s="94" t="s">
        <v>66</v>
      </c>
      <c r="F9" s="94" t="s">
        <v>66</v>
      </c>
      <c r="G9" s="94" t="s">
        <v>66</v>
      </c>
      <c r="H9" s="94">
        <v>-7</v>
      </c>
      <c r="I9" s="94" t="s">
        <v>66</v>
      </c>
      <c r="J9" s="94" t="s">
        <v>66</v>
      </c>
      <c r="K9" s="94">
        <v>-5.5</v>
      </c>
      <c r="L9" s="94" t="s">
        <v>66</v>
      </c>
      <c r="M9" s="94" t="s">
        <v>66</v>
      </c>
      <c r="N9" s="94" t="s">
        <v>66</v>
      </c>
      <c r="O9" s="94" t="s">
        <v>66</v>
      </c>
      <c r="P9" s="94" t="s">
        <v>66</v>
      </c>
      <c r="Q9" s="94">
        <v>-3.75</v>
      </c>
      <c r="R9" s="94" t="s">
        <v>66</v>
      </c>
      <c r="S9" s="94" t="s">
        <v>66</v>
      </c>
      <c r="T9" s="94" t="s">
        <v>66</v>
      </c>
      <c r="U9" s="94" t="s">
        <v>66</v>
      </c>
      <c r="V9" s="94" t="s">
        <v>66</v>
      </c>
      <c r="W9" s="94" t="s">
        <v>66</v>
      </c>
      <c r="X9" s="94" t="s">
        <v>66</v>
      </c>
      <c r="Y9" s="94" t="s">
        <v>66</v>
      </c>
      <c r="Z9" s="94" t="s">
        <v>66</v>
      </c>
      <c r="AA9" s="94" t="s">
        <v>66</v>
      </c>
      <c r="AB9" s="94" t="s">
        <v>66</v>
      </c>
      <c r="AC9" s="94" t="s">
        <v>66</v>
      </c>
      <c r="AD9" s="94" t="s">
        <v>66</v>
      </c>
      <c r="AE9" s="94" t="s">
        <v>66</v>
      </c>
      <c r="AF9" s="94">
        <v>-2.5</v>
      </c>
      <c r="AG9" s="94">
        <v>-2</v>
      </c>
      <c r="AH9" s="94" t="s">
        <v>66</v>
      </c>
      <c r="AI9" s="94">
        <v>-5</v>
      </c>
      <c r="AJ9" s="90" t="str">
        <f t="shared" si="7"/>
        <v>Salgados</v>
      </c>
      <c r="AK9" s="1"/>
      <c r="AM9" s="54"/>
    </row>
    <row r="10" spans="2:40" x14ac:dyDescent="0.25">
      <c r="B10" s="86" t="s">
        <v>23</v>
      </c>
      <c r="C10" s="87">
        <f t="shared" si="5"/>
        <v>-26.8</v>
      </c>
      <c r="D10" s="91">
        <f t="shared" si="6"/>
        <v>1.5855642656411775E-2</v>
      </c>
      <c r="E10" s="92">
        <v>-3</v>
      </c>
      <c r="F10" s="92">
        <v>-5</v>
      </c>
      <c r="G10" s="92" t="s">
        <v>66</v>
      </c>
      <c r="H10" s="92" t="s">
        <v>66</v>
      </c>
      <c r="I10" s="92" t="s">
        <v>66</v>
      </c>
      <c r="J10" s="92">
        <v>-4</v>
      </c>
      <c r="K10" s="92">
        <v>-2</v>
      </c>
      <c r="L10" s="92" t="s">
        <v>66</v>
      </c>
      <c r="M10" s="92" t="s">
        <v>66</v>
      </c>
      <c r="N10" s="92">
        <v>-5</v>
      </c>
      <c r="O10" s="92">
        <v>-2</v>
      </c>
      <c r="P10" s="92" t="s">
        <v>66</v>
      </c>
      <c r="Q10" s="92" t="s">
        <v>66</v>
      </c>
      <c r="R10" s="92">
        <v>-1</v>
      </c>
      <c r="S10" s="92" t="s">
        <v>66</v>
      </c>
      <c r="T10" s="92" t="s">
        <v>66</v>
      </c>
      <c r="U10" s="92" t="s">
        <v>66</v>
      </c>
      <c r="V10" s="92" t="s">
        <v>66</v>
      </c>
      <c r="W10" s="92" t="s">
        <v>66</v>
      </c>
      <c r="X10" s="92" t="s">
        <v>66</v>
      </c>
      <c r="Y10" s="92">
        <v>-2</v>
      </c>
      <c r="Z10" s="92" t="s">
        <v>66</v>
      </c>
      <c r="AA10" s="92" t="s">
        <v>66</v>
      </c>
      <c r="AB10" s="92" t="s">
        <v>66</v>
      </c>
      <c r="AC10" s="92" t="s">
        <v>66</v>
      </c>
      <c r="AD10" s="92" t="s">
        <v>66</v>
      </c>
      <c r="AE10" s="92" t="s">
        <v>66</v>
      </c>
      <c r="AF10" s="92">
        <v>-2.8</v>
      </c>
      <c r="AG10" s="92" t="s">
        <v>66</v>
      </c>
      <c r="AH10" s="92" t="s">
        <v>66</v>
      </c>
      <c r="AI10" s="92" t="s">
        <v>66</v>
      </c>
      <c r="AJ10" s="90" t="str">
        <f t="shared" si="7"/>
        <v>Café</v>
      </c>
      <c r="AK10" s="1"/>
    </row>
    <row r="11" spans="2:40" x14ac:dyDescent="0.25">
      <c r="B11" s="86" t="s">
        <v>23</v>
      </c>
      <c r="C11" s="87">
        <f t="shared" si="5"/>
        <v>-31</v>
      </c>
      <c r="D11" s="93">
        <f t="shared" si="6"/>
        <v>1.8340482177192724E-2</v>
      </c>
      <c r="E11" s="94" t="s">
        <v>66</v>
      </c>
      <c r="F11" s="94" t="s">
        <v>66</v>
      </c>
      <c r="G11" s="94" t="s">
        <v>66</v>
      </c>
      <c r="H11" s="94" t="s">
        <v>66</v>
      </c>
      <c r="I11" s="94" t="s">
        <v>66</v>
      </c>
      <c r="J11" s="94" t="s">
        <v>66</v>
      </c>
      <c r="K11" s="94" t="s">
        <v>66</v>
      </c>
      <c r="L11" s="94">
        <v>-1</v>
      </c>
      <c r="M11" s="94" t="s">
        <v>66</v>
      </c>
      <c r="N11" s="94" t="s">
        <v>66</v>
      </c>
      <c r="O11" s="94" t="s">
        <v>66</v>
      </c>
      <c r="P11" s="94" t="s">
        <v>66</v>
      </c>
      <c r="Q11" s="94" t="s">
        <v>66</v>
      </c>
      <c r="R11" s="94">
        <v>-20</v>
      </c>
      <c r="S11" s="94" t="s">
        <v>66</v>
      </c>
      <c r="T11" s="94" t="s">
        <v>66</v>
      </c>
      <c r="U11" s="94" t="s">
        <v>66</v>
      </c>
      <c r="V11" s="94" t="s">
        <v>66</v>
      </c>
      <c r="W11" s="94" t="s">
        <v>66</v>
      </c>
      <c r="X11" s="94" t="s">
        <v>66</v>
      </c>
      <c r="Y11" s="94" t="s">
        <v>66</v>
      </c>
      <c r="Z11" s="94" t="s">
        <v>66</v>
      </c>
      <c r="AA11" s="94" t="s">
        <v>66</v>
      </c>
      <c r="AB11" s="94" t="s">
        <v>66</v>
      </c>
      <c r="AC11" s="94" t="s">
        <v>66</v>
      </c>
      <c r="AD11" s="94" t="s">
        <v>66</v>
      </c>
      <c r="AE11" s="94" t="s">
        <v>66</v>
      </c>
      <c r="AF11" s="94" t="s">
        <v>66</v>
      </c>
      <c r="AG11" s="94">
        <v>-10</v>
      </c>
      <c r="AH11" s="94" t="s">
        <v>66</v>
      </c>
      <c r="AI11" s="94" t="s">
        <v>66</v>
      </c>
      <c r="AJ11" s="90" t="str">
        <f t="shared" si="7"/>
        <v>Café</v>
      </c>
      <c r="AK11" s="1"/>
    </row>
    <row r="12" spans="2:40" x14ac:dyDescent="0.25">
      <c r="B12" s="86" t="s">
        <v>24</v>
      </c>
      <c r="C12" s="87">
        <f t="shared" si="5"/>
        <v>-80.59</v>
      </c>
      <c r="D12" s="91">
        <f t="shared" si="6"/>
        <v>4.7679337376127791E-2</v>
      </c>
      <c r="E12" s="92">
        <v>-10.9</v>
      </c>
      <c r="F12" s="92" t="s">
        <v>66</v>
      </c>
      <c r="G12" s="92" t="s">
        <v>66</v>
      </c>
      <c r="H12" s="92" t="s">
        <v>66</v>
      </c>
      <c r="I12" s="92">
        <v>-27.39</v>
      </c>
      <c r="J12" s="92" t="s">
        <v>66</v>
      </c>
      <c r="K12" s="92" t="s">
        <v>66</v>
      </c>
      <c r="L12" s="92" t="s">
        <v>66</v>
      </c>
      <c r="M12" s="92" t="s">
        <v>66</v>
      </c>
      <c r="N12" s="92" t="s">
        <v>66</v>
      </c>
      <c r="O12" s="92" t="s">
        <v>66</v>
      </c>
      <c r="P12" s="92" t="s">
        <v>66</v>
      </c>
      <c r="Q12" s="92">
        <v>-13.57</v>
      </c>
      <c r="R12" s="92" t="s">
        <v>66</v>
      </c>
      <c r="S12" s="92">
        <v>-1.7</v>
      </c>
      <c r="T12" s="92" t="s">
        <v>66</v>
      </c>
      <c r="U12" s="92" t="s">
        <v>66</v>
      </c>
      <c r="V12" s="92">
        <v>-2</v>
      </c>
      <c r="W12" s="92">
        <v>-3.25</v>
      </c>
      <c r="X12" s="92" t="s">
        <v>66</v>
      </c>
      <c r="Y12" s="92">
        <v>-9.9700000000000006</v>
      </c>
      <c r="Z12" s="92" t="s">
        <v>66</v>
      </c>
      <c r="AA12" s="92">
        <v>-2</v>
      </c>
      <c r="AB12" s="92" t="s">
        <v>66</v>
      </c>
      <c r="AC12" s="92" t="s">
        <v>66</v>
      </c>
      <c r="AD12" s="92" t="s">
        <v>66</v>
      </c>
      <c r="AE12" s="92" t="s">
        <v>66</v>
      </c>
      <c r="AF12" s="92">
        <v>-9.81</v>
      </c>
      <c r="AG12" s="92" t="s">
        <v>66</v>
      </c>
      <c r="AH12" s="92" t="s">
        <v>66</v>
      </c>
      <c r="AI12" s="92" t="s">
        <v>66</v>
      </c>
      <c r="AJ12" s="90" t="str">
        <f t="shared" si="7"/>
        <v>Mercado</v>
      </c>
      <c r="AK12" s="1"/>
    </row>
    <row r="13" spans="2:40" x14ac:dyDescent="0.25">
      <c r="B13" s="86" t="s">
        <v>27</v>
      </c>
      <c r="C13" s="87">
        <f t="shared" si="5"/>
        <v>0</v>
      </c>
      <c r="D13" s="93">
        <f t="shared" si="6"/>
        <v>0</v>
      </c>
      <c r="E13" s="94" t="s">
        <v>66</v>
      </c>
      <c r="F13" s="94" t="s">
        <v>66</v>
      </c>
      <c r="G13" s="94" t="s">
        <v>66</v>
      </c>
      <c r="H13" s="94" t="s">
        <v>66</v>
      </c>
      <c r="I13" s="94" t="s">
        <v>66</v>
      </c>
      <c r="J13" s="94" t="s">
        <v>66</v>
      </c>
      <c r="K13" s="94" t="s">
        <v>77</v>
      </c>
      <c r="L13" s="94" t="s">
        <v>66</v>
      </c>
      <c r="M13" s="94" t="s">
        <v>66</v>
      </c>
      <c r="N13" s="94" t="s">
        <v>66</v>
      </c>
      <c r="O13" s="94" t="s">
        <v>66</v>
      </c>
      <c r="P13" s="94" t="s">
        <v>66</v>
      </c>
      <c r="Q13" s="94" t="s">
        <v>66</v>
      </c>
      <c r="R13" s="94" t="s">
        <v>77</v>
      </c>
      <c r="S13" s="94" t="s">
        <v>66</v>
      </c>
      <c r="T13" s="94" t="s">
        <v>66</v>
      </c>
      <c r="U13" s="94" t="s">
        <v>66</v>
      </c>
      <c r="V13" s="94" t="s">
        <v>66</v>
      </c>
      <c r="W13" s="94" t="s">
        <v>66</v>
      </c>
      <c r="X13" s="94" t="s">
        <v>66</v>
      </c>
      <c r="Y13" s="94" t="s">
        <v>77</v>
      </c>
      <c r="Z13" s="94">
        <f>-4.42+4.42</f>
        <v>0</v>
      </c>
      <c r="AA13" s="94" t="s">
        <v>66</v>
      </c>
      <c r="AB13" s="94" t="s">
        <v>66</v>
      </c>
      <c r="AC13" s="94" t="s">
        <v>66</v>
      </c>
      <c r="AD13" s="94" t="s">
        <v>66</v>
      </c>
      <c r="AE13" s="94" t="s">
        <v>66</v>
      </c>
      <c r="AF13" s="94">
        <f>-21.06+21.06</f>
        <v>0</v>
      </c>
      <c r="AG13" s="94" t="s">
        <v>66</v>
      </c>
      <c r="AH13" s="94" t="s">
        <v>66</v>
      </c>
      <c r="AI13" s="94" t="s">
        <v>66</v>
      </c>
      <c r="AJ13" s="90" t="str">
        <f t="shared" si="7"/>
        <v>Saúde</v>
      </c>
      <c r="AK13" s="1"/>
    </row>
    <row r="14" spans="2:40" x14ac:dyDescent="0.25">
      <c r="B14" s="86" t="s">
        <v>28</v>
      </c>
      <c r="C14" s="87">
        <f t="shared" si="5"/>
        <v>-145</v>
      </c>
      <c r="D14" s="91">
        <f t="shared" si="6"/>
        <v>8.578612631267564E-2</v>
      </c>
      <c r="E14" s="92">
        <v>-26</v>
      </c>
      <c r="F14" s="92" t="s">
        <v>66</v>
      </c>
      <c r="G14" s="92" t="s">
        <v>66</v>
      </c>
      <c r="H14" s="92" t="s">
        <v>66</v>
      </c>
      <c r="I14" s="92" t="s">
        <v>66</v>
      </c>
      <c r="J14" s="92" t="s">
        <v>66</v>
      </c>
      <c r="K14" s="92" t="s">
        <v>66</v>
      </c>
      <c r="L14" s="92" t="s">
        <v>66</v>
      </c>
      <c r="M14" s="92" t="s">
        <v>66</v>
      </c>
      <c r="N14" s="92" t="s">
        <v>66</v>
      </c>
      <c r="O14" s="92" t="s">
        <v>66</v>
      </c>
      <c r="P14" s="92" t="s">
        <v>66</v>
      </c>
      <c r="Q14" s="92" t="s">
        <v>66</v>
      </c>
      <c r="R14" s="92" t="s">
        <v>66</v>
      </c>
      <c r="S14" s="92" t="s">
        <v>66</v>
      </c>
      <c r="T14" s="92" t="s">
        <v>66</v>
      </c>
      <c r="U14" s="92" t="s">
        <v>66</v>
      </c>
      <c r="V14" s="92" t="s">
        <v>66</v>
      </c>
      <c r="W14" s="92" t="s">
        <v>66</v>
      </c>
      <c r="X14" s="92" t="s">
        <v>66</v>
      </c>
      <c r="Y14" s="92" t="s">
        <v>66</v>
      </c>
      <c r="Z14" s="92" t="s">
        <v>66</v>
      </c>
      <c r="AA14" s="92" t="s">
        <v>66</v>
      </c>
      <c r="AB14" s="92">
        <v>-5</v>
      </c>
      <c r="AC14" s="92" t="s">
        <v>66</v>
      </c>
      <c r="AD14" s="92" t="s">
        <v>66</v>
      </c>
      <c r="AE14" s="92" t="s">
        <v>66</v>
      </c>
      <c r="AF14" s="92">
        <f>(10+5)*-1</f>
        <v>-15</v>
      </c>
      <c r="AG14" s="92" t="s">
        <v>66</v>
      </c>
      <c r="AH14" s="92">
        <v>-84</v>
      </c>
      <c r="AI14" s="92">
        <f>(10+5)*-1</f>
        <v>-15</v>
      </c>
      <c r="AJ14" s="90" t="str">
        <f t="shared" si="7"/>
        <v>Lazer</v>
      </c>
      <c r="AK14" s="1"/>
    </row>
    <row r="15" spans="2:40" x14ac:dyDescent="0.25">
      <c r="B15" s="86" t="s">
        <v>29</v>
      </c>
      <c r="C15" s="87">
        <f t="shared" si="5"/>
        <v>-100.84</v>
      </c>
      <c r="D15" s="93">
        <f t="shared" si="6"/>
        <v>5.9659813637035944E-2</v>
      </c>
      <c r="E15" s="94" t="s">
        <v>66</v>
      </c>
      <c r="F15" s="94" t="s">
        <v>66</v>
      </c>
      <c r="G15" s="94" t="s">
        <v>66</v>
      </c>
      <c r="H15" s="94">
        <v>-26.9</v>
      </c>
      <c r="I15" s="94" t="s">
        <v>66</v>
      </c>
      <c r="J15" s="94" t="s">
        <v>66</v>
      </c>
      <c r="K15" s="94" t="s">
        <v>66</v>
      </c>
      <c r="L15" s="94">
        <v>-26.5</v>
      </c>
      <c r="M15" s="94" t="s">
        <v>66</v>
      </c>
      <c r="N15" s="94" t="s">
        <v>66</v>
      </c>
      <c r="O15" s="94" t="s">
        <v>66</v>
      </c>
      <c r="P15" s="94" t="s">
        <v>66</v>
      </c>
      <c r="Q15" s="94" t="s">
        <v>66</v>
      </c>
      <c r="R15" s="94" t="s">
        <v>66</v>
      </c>
      <c r="S15" s="94" t="s">
        <v>66</v>
      </c>
      <c r="T15" s="94" t="s">
        <v>66</v>
      </c>
      <c r="U15" s="94" t="s">
        <v>66</v>
      </c>
      <c r="V15" s="94" t="s">
        <v>66</v>
      </c>
      <c r="W15" s="94" t="s">
        <v>66</v>
      </c>
      <c r="X15" s="94" t="s">
        <v>66</v>
      </c>
      <c r="Y15" s="94" t="s">
        <v>66</v>
      </c>
      <c r="Z15" s="94" t="s">
        <v>66</v>
      </c>
      <c r="AA15" s="94" t="s">
        <v>66</v>
      </c>
      <c r="AB15" s="94" t="s">
        <v>66</v>
      </c>
      <c r="AC15" s="94" t="s">
        <v>66</v>
      </c>
      <c r="AD15" s="94" t="s">
        <v>66</v>
      </c>
      <c r="AE15" s="94" t="s">
        <v>66</v>
      </c>
      <c r="AF15" s="94" t="s">
        <v>66</v>
      </c>
      <c r="AG15" s="94" t="s">
        <v>66</v>
      </c>
      <c r="AH15" s="94">
        <v>-44.99</v>
      </c>
      <c r="AI15" s="94">
        <v>-2.4500000000000002</v>
      </c>
      <c r="AJ15" s="90" t="str">
        <f t="shared" si="7"/>
        <v>Contas</v>
      </c>
      <c r="AK15" s="1"/>
    </row>
    <row r="16" spans="2:40" x14ac:dyDescent="0.25">
      <c r="B16" s="86" t="s">
        <v>31</v>
      </c>
      <c r="C16" s="87">
        <f t="shared" si="5"/>
        <v>-171</v>
      </c>
      <c r="D16" s="91">
        <f t="shared" si="6"/>
        <v>0.10116846620322438</v>
      </c>
      <c r="E16" s="92" t="s">
        <v>66</v>
      </c>
      <c r="F16" s="92" t="s">
        <v>66</v>
      </c>
      <c r="G16" s="92" t="s">
        <v>66</v>
      </c>
      <c r="H16" s="92" t="s">
        <v>66</v>
      </c>
      <c r="I16" s="92" t="s">
        <v>66</v>
      </c>
      <c r="J16" s="92" t="s">
        <v>66</v>
      </c>
      <c r="K16" s="92" t="s">
        <v>66</v>
      </c>
      <c r="L16" s="92" t="s">
        <v>66</v>
      </c>
      <c r="M16" s="92" t="s">
        <v>66</v>
      </c>
      <c r="N16" s="92" t="s">
        <v>66</v>
      </c>
      <c r="O16" s="92">
        <v>-80</v>
      </c>
      <c r="P16" s="92" t="s">
        <v>66</v>
      </c>
      <c r="Q16" s="92" t="s">
        <v>66</v>
      </c>
      <c r="R16" s="92" t="s">
        <v>66</v>
      </c>
      <c r="S16" s="92" t="s">
        <v>66</v>
      </c>
      <c r="T16" s="92" t="s">
        <v>66</v>
      </c>
      <c r="U16" s="92" t="s">
        <v>66</v>
      </c>
      <c r="V16" s="92" t="s">
        <v>66</v>
      </c>
      <c r="W16" s="92" t="s">
        <v>66</v>
      </c>
      <c r="X16" s="92" t="s">
        <v>66</v>
      </c>
      <c r="Y16" s="92">
        <v>-4</v>
      </c>
      <c r="Z16" s="92" t="s">
        <v>66</v>
      </c>
      <c r="AA16" s="92" t="s">
        <v>66</v>
      </c>
      <c r="AB16" s="92">
        <v>-47</v>
      </c>
      <c r="AC16" s="92" t="s">
        <v>66</v>
      </c>
      <c r="AD16" s="92" t="s">
        <v>66</v>
      </c>
      <c r="AE16" s="92" t="s">
        <v>66</v>
      </c>
      <c r="AF16" s="92" t="s">
        <v>66</v>
      </c>
      <c r="AG16" s="92">
        <v>-20</v>
      </c>
      <c r="AH16" s="92" t="s">
        <v>66</v>
      </c>
      <c r="AI16" s="92">
        <v>-20</v>
      </c>
      <c r="AJ16" s="90" t="str">
        <f t="shared" si="7"/>
        <v>BU</v>
      </c>
      <c r="AK16" s="1"/>
    </row>
    <row r="17" spans="2:40" x14ac:dyDescent="0.25">
      <c r="B17" s="86" t="s">
        <v>32</v>
      </c>
      <c r="C17" s="87">
        <f t="shared" si="5"/>
        <v>0</v>
      </c>
      <c r="D17" s="93">
        <f t="shared" si="6"/>
        <v>0</v>
      </c>
      <c r="E17" s="94" t="s">
        <v>66</v>
      </c>
      <c r="F17" s="94" t="s">
        <v>66</v>
      </c>
      <c r="G17" s="94" t="s">
        <v>66</v>
      </c>
      <c r="H17" s="94" t="s">
        <v>66</v>
      </c>
      <c r="I17" s="94" t="s">
        <v>66</v>
      </c>
      <c r="J17" s="94" t="s">
        <v>66</v>
      </c>
      <c r="K17" s="94" t="s">
        <v>66</v>
      </c>
      <c r="L17" s="94" t="s">
        <v>66</v>
      </c>
      <c r="M17" s="94" t="s">
        <v>66</v>
      </c>
      <c r="N17" s="94" t="s">
        <v>66</v>
      </c>
      <c r="O17" s="94" t="s">
        <v>66</v>
      </c>
      <c r="P17" s="94" t="s">
        <v>66</v>
      </c>
      <c r="Q17" s="94" t="s">
        <v>66</v>
      </c>
      <c r="R17" s="94" t="s">
        <v>66</v>
      </c>
      <c r="S17" s="94" t="s">
        <v>66</v>
      </c>
      <c r="T17" s="94" t="s">
        <v>66</v>
      </c>
      <c r="U17" s="94" t="s">
        <v>66</v>
      </c>
      <c r="V17" s="94" t="s">
        <v>66</v>
      </c>
      <c r="W17" s="94" t="s">
        <v>66</v>
      </c>
      <c r="X17" s="94" t="s">
        <v>66</v>
      </c>
      <c r="Y17" s="94" t="s">
        <v>66</v>
      </c>
      <c r="Z17" s="94" t="s">
        <v>66</v>
      </c>
      <c r="AA17" s="94" t="s">
        <v>66</v>
      </c>
      <c r="AB17" s="94" t="s">
        <v>66</v>
      </c>
      <c r="AC17" s="94" t="s">
        <v>66</v>
      </c>
      <c r="AD17" s="94" t="s">
        <v>66</v>
      </c>
      <c r="AE17" s="94" t="s">
        <v>66</v>
      </c>
      <c r="AF17" s="94" t="s">
        <v>66</v>
      </c>
      <c r="AG17" s="94" t="s">
        <v>66</v>
      </c>
      <c r="AH17" s="94" t="s">
        <v>66</v>
      </c>
      <c r="AI17" s="94" t="s">
        <v>66</v>
      </c>
      <c r="AJ17" s="90" t="str">
        <f t="shared" si="7"/>
        <v>BOM</v>
      </c>
      <c r="AK17" s="1"/>
    </row>
    <row r="18" spans="2:40" x14ac:dyDescent="0.25">
      <c r="B18" s="86" t="s">
        <v>33</v>
      </c>
      <c r="C18" s="87">
        <f t="shared" si="5"/>
        <v>-9.1</v>
      </c>
      <c r="D18" s="91">
        <f t="shared" si="6"/>
        <v>5.383818961692057E-3</v>
      </c>
      <c r="E18" s="92" t="s">
        <v>66</v>
      </c>
      <c r="F18" s="92" t="s">
        <v>66</v>
      </c>
      <c r="G18" s="92" t="s">
        <v>66</v>
      </c>
      <c r="H18" s="92">
        <v>-9.1</v>
      </c>
      <c r="I18" s="92" t="s">
        <v>66</v>
      </c>
      <c r="J18" s="92" t="s">
        <v>66</v>
      </c>
      <c r="K18" s="92" t="s">
        <v>66</v>
      </c>
      <c r="L18" s="92" t="s">
        <v>66</v>
      </c>
      <c r="M18" s="92" t="s">
        <v>66</v>
      </c>
      <c r="N18" s="92" t="s">
        <v>66</v>
      </c>
      <c r="O18" s="92" t="s">
        <v>66</v>
      </c>
      <c r="P18" s="92" t="s">
        <v>66</v>
      </c>
      <c r="Q18" s="92" t="s">
        <v>66</v>
      </c>
      <c r="R18" s="92" t="s">
        <v>66</v>
      </c>
      <c r="S18" s="92" t="s">
        <v>66</v>
      </c>
      <c r="T18" s="92" t="s">
        <v>66</v>
      </c>
      <c r="U18" s="92" t="s">
        <v>66</v>
      </c>
      <c r="V18" s="92" t="s">
        <v>66</v>
      </c>
      <c r="W18" s="92" t="s">
        <v>66</v>
      </c>
      <c r="X18" s="92" t="s">
        <v>66</v>
      </c>
      <c r="Y18" s="92" t="s">
        <v>66</v>
      </c>
      <c r="Z18" s="92" t="s">
        <v>66</v>
      </c>
      <c r="AA18" s="92" t="s">
        <v>66</v>
      </c>
      <c r="AB18" s="92" t="s">
        <v>66</v>
      </c>
      <c r="AC18" s="92" t="s">
        <v>66</v>
      </c>
      <c r="AD18" s="92" t="s">
        <v>66</v>
      </c>
      <c r="AE18" s="92" t="s">
        <v>66</v>
      </c>
      <c r="AF18" s="92" t="s">
        <v>66</v>
      </c>
      <c r="AG18" s="92" t="s">
        <v>66</v>
      </c>
      <c r="AH18" s="92" t="s">
        <v>66</v>
      </c>
      <c r="AI18" s="92" t="s">
        <v>66</v>
      </c>
      <c r="AJ18" s="90" t="str">
        <f t="shared" si="7"/>
        <v>Uber</v>
      </c>
      <c r="AK18" s="1"/>
    </row>
    <row r="19" spans="2:40" x14ac:dyDescent="0.25">
      <c r="B19" s="86" t="s">
        <v>34</v>
      </c>
      <c r="C19" s="87">
        <f t="shared" si="5"/>
        <v>-40.9</v>
      </c>
      <c r="D19" s="93">
        <f t="shared" si="6"/>
        <v>2.4197603904747816E-2</v>
      </c>
      <c r="E19" s="94">
        <v>-40.9</v>
      </c>
      <c r="F19" s="94" t="s">
        <v>66</v>
      </c>
      <c r="G19" s="94" t="s">
        <v>66</v>
      </c>
      <c r="H19" s="94" t="s">
        <v>66</v>
      </c>
      <c r="I19" s="94" t="s">
        <v>66</v>
      </c>
      <c r="J19" s="94" t="s">
        <v>66</v>
      </c>
      <c r="K19" s="94" t="s">
        <v>66</v>
      </c>
      <c r="L19" s="94" t="s">
        <v>66</v>
      </c>
      <c r="M19" s="94" t="s">
        <v>66</v>
      </c>
      <c r="N19" s="94" t="s">
        <v>66</v>
      </c>
      <c r="O19" s="94" t="s">
        <v>66</v>
      </c>
      <c r="P19" s="94" t="s">
        <v>66</v>
      </c>
      <c r="Q19" s="94" t="s">
        <v>66</v>
      </c>
      <c r="R19" s="94" t="s">
        <v>66</v>
      </c>
      <c r="S19" s="94" t="s">
        <v>66</v>
      </c>
      <c r="T19" s="94" t="s">
        <v>66</v>
      </c>
      <c r="U19" s="94" t="s">
        <v>66</v>
      </c>
      <c r="V19" s="94" t="s">
        <v>66</v>
      </c>
      <c r="W19" s="94" t="s">
        <v>66</v>
      </c>
      <c r="X19" s="94" t="s">
        <v>66</v>
      </c>
      <c r="Y19" s="94" t="s">
        <v>66</v>
      </c>
      <c r="Z19" s="94" t="s">
        <v>66</v>
      </c>
      <c r="AA19" s="94" t="s">
        <v>66</v>
      </c>
      <c r="AB19" s="94" t="s">
        <v>66</v>
      </c>
      <c r="AC19" s="94" t="s">
        <v>66</v>
      </c>
      <c r="AD19" s="94" t="s">
        <v>66</v>
      </c>
      <c r="AE19" s="94" t="s">
        <v>66</v>
      </c>
      <c r="AF19" s="94" t="s">
        <v>66</v>
      </c>
      <c r="AG19" s="94" t="s">
        <v>66</v>
      </c>
      <c r="AH19" s="94" t="s">
        <v>66</v>
      </c>
      <c r="AI19" s="94" t="s">
        <v>66</v>
      </c>
      <c r="AJ19" s="90" t="str">
        <f t="shared" si="7"/>
        <v>Material Escolar</v>
      </c>
      <c r="AK19" s="1"/>
      <c r="AM19" s="86"/>
      <c r="AN19" s="95"/>
    </row>
    <row r="20" spans="2:40" x14ac:dyDescent="0.25">
      <c r="B20" s="86" t="s">
        <v>35</v>
      </c>
      <c r="C20" s="87">
        <f t="shared" si="5"/>
        <v>-72</v>
      </c>
      <c r="D20" s="91">
        <f t="shared" si="6"/>
        <v>4.2597248927673421E-2</v>
      </c>
      <c r="E20" s="92" t="s">
        <v>66</v>
      </c>
      <c r="F20" s="92" t="s">
        <v>66</v>
      </c>
      <c r="G20" s="92" t="s">
        <v>66</v>
      </c>
      <c r="H20" s="92" t="s">
        <v>66</v>
      </c>
      <c r="I20" s="92" t="s">
        <v>66</v>
      </c>
      <c r="J20" s="92" t="s">
        <v>66</v>
      </c>
      <c r="K20" s="92" t="s">
        <v>66</v>
      </c>
      <c r="L20" s="92" t="s">
        <v>66</v>
      </c>
      <c r="M20" s="92" t="s">
        <v>66</v>
      </c>
      <c r="N20" s="92" t="s">
        <v>66</v>
      </c>
      <c r="O20" s="92" t="s">
        <v>66</v>
      </c>
      <c r="P20" s="92" t="s">
        <v>66</v>
      </c>
      <c r="Q20" s="92" t="s">
        <v>66</v>
      </c>
      <c r="R20" s="92" t="s">
        <v>66</v>
      </c>
      <c r="S20" s="92" t="s">
        <v>66</v>
      </c>
      <c r="T20" s="92" t="s">
        <v>66</v>
      </c>
      <c r="U20" s="92">
        <v>-68</v>
      </c>
      <c r="V20" s="92" t="s">
        <v>66</v>
      </c>
      <c r="W20" s="92" t="s">
        <v>66</v>
      </c>
      <c r="X20" s="92" t="s">
        <v>66</v>
      </c>
      <c r="Y20" s="92" t="s">
        <v>66</v>
      </c>
      <c r="Z20" s="92" t="s">
        <v>66</v>
      </c>
      <c r="AA20" s="92" t="s">
        <v>66</v>
      </c>
      <c r="AB20" s="92" t="s">
        <v>66</v>
      </c>
      <c r="AC20" s="92" t="s">
        <v>66</v>
      </c>
      <c r="AD20" s="92" t="s">
        <v>66</v>
      </c>
      <c r="AE20" s="92" t="s">
        <v>66</v>
      </c>
      <c r="AF20" s="92" t="s">
        <v>66</v>
      </c>
      <c r="AG20" s="92" t="s">
        <v>66</v>
      </c>
      <c r="AH20" s="92" t="s">
        <v>66</v>
      </c>
      <c r="AI20" s="92">
        <v>-4</v>
      </c>
      <c r="AJ20" s="90" t="str">
        <f t="shared" si="7"/>
        <v>Xerox</v>
      </c>
      <c r="AK20" s="1"/>
    </row>
    <row r="21" spans="2:40" ht="15.75" customHeight="1" x14ac:dyDescent="0.25">
      <c r="B21" s="86" t="s">
        <v>36</v>
      </c>
      <c r="C21" s="87">
        <f t="shared" si="5"/>
        <v>0</v>
      </c>
      <c r="D21" s="93">
        <f t="shared" si="6"/>
        <v>0</v>
      </c>
      <c r="E21" s="94" t="s">
        <v>66</v>
      </c>
      <c r="F21" s="94" t="s">
        <v>66</v>
      </c>
      <c r="G21" s="94" t="s">
        <v>66</v>
      </c>
      <c r="H21" s="94" t="s">
        <v>66</v>
      </c>
      <c r="I21" s="94" t="s">
        <v>66</v>
      </c>
      <c r="J21" s="94" t="s">
        <v>66</v>
      </c>
      <c r="K21" s="94" t="s">
        <v>66</v>
      </c>
      <c r="L21" s="94" t="s">
        <v>66</v>
      </c>
      <c r="M21" s="94" t="s">
        <v>66</v>
      </c>
      <c r="N21" s="94" t="s">
        <v>66</v>
      </c>
      <c r="O21" s="94" t="s">
        <v>66</v>
      </c>
      <c r="P21" s="94" t="s">
        <v>66</v>
      </c>
      <c r="Q21" s="94" t="s">
        <v>66</v>
      </c>
      <c r="R21" s="94" t="s">
        <v>66</v>
      </c>
      <c r="S21" s="94" t="s">
        <v>66</v>
      </c>
      <c r="T21" s="94" t="s">
        <v>66</v>
      </c>
      <c r="U21" s="94" t="s">
        <v>66</v>
      </c>
      <c r="V21" s="94" t="s">
        <v>66</v>
      </c>
      <c r="W21" s="94" t="s">
        <v>66</v>
      </c>
      <c r="X21" s="94" t="s">
        <v>66</v>
      </c>
      <c r="Y21" s="94" t="s">
        <v>66</v>
      </c>
      <c r="Z21" s="94" t="s">
        <v>66</v>
      </c>
      <c r="AA21" s="94" t="s">
        <v>66</v>
      </c>
      <c r="AB21" s="94" t="s">
        <v>66</v>
      </c>
      <c r="AC21" s="94" t="s">
        <v>66</v>
      </c>
      <c r="AD21" s="94" t="s">
        <v>66</v>
      </c>
      <c r="AE21" s="94" t="s">
        <v>66</v>
      </c>
      <c r="AF21" s="94" t="s">
        <v>66</v>
      </c>
      <c r="AG21" s="94" t="s">
        <v>66</v>
      </c>
      <c r="AH21" s="94" t="s">
        <v>66</v>
      </c>
      <c r="AI21" s="94" t="s">
        <v>66</v>
      </c>
      <c r="AJ21" s="90" t="str">
        <f t="shared" si="7"/>
        <v>Compras</v>
      </c>
      <c r="AK21" s="1"/>
    </row>
    <row r="22" spans="2:40" ht="15.75" customHeight="1" x14ac:dyDescent="0.25">
      <c r="B22" s="86" t="s">
        <v>37</v>
      </c>
      <c r="C22" s="87">
        <f t="shared" si="5"/>
        <v>0</v>
      </c>
      <c r="D22" s="91">
        <f t="shared" si="6"/>
        <v>0</v>
      </c>
      <c r="E22" s="92" t="s">
        <v>66</v>
      </c>
      <c r="F22" s="92" t="s">
        <v>66</v>
      </c>
      <c r="G22" s="92" t="s">
        <v>66</v>
      </c>
      <c r="H22" s="92" t="s">
        <v>66</v>
      </c>
      <c r="I22" s="92" t="s">
        <v>66</v>
      </c>
      <c r="J22" s="92" t="s">
        <v>66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 t="s">
        <v>66</v>
      </c>
      <c r="Q22" s="92" t="s">
        <v>66</v>
      </c>
      <c r="R22" s="92" t="s">
        <v>66</v>
      </c>
      <c r="S22" s="92" t="s">
        <v>66</v>
      </c>
      <c r="T22" s="92" t="s">
        <v>66</v>
      </c>
      <c r="U22" s="92" t="s">
        <v>66</v>
      </c>
      <c r="V22" s="92" t="s">
        <v>66</v>
      </c>
      <c r="W22" s="92" t="s">
        <v>66</v>
      </c>
      <c r="X22" s="92" t="s">
        <v>66</v>
      </c>
      <c r="Y22" s="92" t="s">
        <v>66</v>
      </c>
      <c r="Z22" s="92" t="s">
        <v>66</v>
      </c>
      <c r="AA22" s="92" t="s">
        <v>66</v>
      </c>
      <c r="AB22" s="92" t="s">
        <v>66</v>
      </c>
      <c r="AC22" s="92" t="s">
        <v>66</v>
      </c>
      <c r="AD22" s="92" t="s">
        <v>66</v>
      </c>
      <c r="AE22" s="92" t="s">
        <v>66</v>
      </c>
      <c r="AF22" s="92" t="s">
        <v>66</v>
      </c>
      <c r="AG22" s="92" t="s">
        <v>66</v>
      </c>
      <c r="AH22" s="92" t="s">
        <v>66</v>
      </c>
      <c r="AI22" s="92" t="s">
        <v>66</v>
      </c>
      <c r="AJ22" s="90" t="str">
        <f t="shared" si="7"/>
        <v>Moradia</v>
      </c>
      <c r="AK22" s="1"/>
    </row>
    <row r="23" spans="2:40" ht="15.75" customHeight="1" x14ac:dyDescent="0.25">
      <c r="B23" s="86" t="s">
        <v>39</v>
      </c>
      <c r="C23" s="87">
        <f t="shared" si="5"/>
        <v>-25</v>
      </c>
      <c r="D23" s="93">
        <f t="shared" si="6"/>
        <v>1.4790711433219937E-2</v>
      </c>
      <c r="E23" s="94" t="s">
        <v>66</v>
      </c>
      <c r="F23" s="94" t="s">
        <v>66</v>
      </c>
      <c r="G23" s="94" t="s">
        <v>66</v>
      </c>
      <c r="H23" s="94" t="s">
        <v>66</v>
      </c>
      <c r="I23" s="94" t="s">
        <v>66</v>
      </c>
      <c r="J23" s="94" t="s">
        <v>66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 t="s">
        <v>66</v>
      </c>
      <c r="R23" s="94" t="s">
        <v>66</v>
      </c>
      <c r="S23" s="94" t="s">
        <v>66</v>
      </c>
      <c r="T23" s="94" t="s">
        <v>66</v>
      </c>
      <c r="U23" s="94" t="s">
        <v>66</v>
      </c>
      <c r="V23" s="94">
        <v>-25</v>
      </c>
      <c r="W23" s="94" t="s">
        <v>66</v>
      </c>
      <c r="X23" s="94" t="s">
        <v>66</v>
      </c>
      <c r="Y23" s="94" t="s">
        <v>66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4" t="s">
        <v>66</v>
      </c>
      <c r="AH23" s="94" t="s">
        <v>66</v>
      </c>
      <c r="AI23" s="94" t="s">
        <v>66</v>
      </c>
      <c r="AJ23" s="90" t="str">
        <f t="shared" si="7"/>
        <v>Acessórios</v>
      </c>
      <c r="AK23" s="1"/>
    </row>
    <row r="24" spans="2:40" ht="15.75" customHeight="1" x14ac:dyDescent="0.25">
      <c r="B24" s="86" t="s">
        <v>40</v>
      </c>
      <c r="C24" s="87">
        <f t="shared" si="5"/>
        <v>0</v>
      </c>
      <c r="D24" s="91">
        <f t="shared" si="6"/>
        <v>0</v>
      </c>
      <c r="E24" s="92" t="s">
        <v>66</v>
      </c>
      <c r="F24" s="92" t="s">
        <v>66</v>
      </c>
      <c r="G24" s="92" t="s">
        <v>66</v>
      </c>
      <c r="H24" s="92" t="s">
        <v>66</v>
      </c>
      <c r="I24" s="92" t="s">
        <v>66</v>
      </c>
      <c r="J24" s="92" t="s">
        <v>66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 t="s">
        <v>66</v>
      </c>
      <c r="AB24" s="92" t="s">
        <v>66</v>
      </c>
      <c r="AC24" s="92" t="s">
        <v>66</v>
      </c>
      <c r="AD24" s="92" t="s">
        <v>66</v>
      </c>
      <c r="AE24" s="92" t="s">
        <v>66</v>
      </c>
      <c r="AF24" s="92" t="s">
        <v>66</v>
      </c>
      <c r="AG24" s="92" t="s">
        <v>66</v>
      </c>
      <c r="AH24" s="92" t="s">
        <v>66</v>
      </c>
      <c r="AI24" s="92" t="s">
        <v>66</v>
      </c>
      <c r="AJ24" s="90" t="str">
        <f t="shared" si="7"/>
        <v>Livros</v>
      </c>
      <c r="AK24" s="1"/>
    </row>
    <row r="25" spans="2:40" ht="15.75" customHeight="1" x14ac:dyDescent="0.25">
      <c r="B25" s="86" t="s">
        <v>41</v>
      </c>
      <c r="C25" s="87">
        <f t="shared" si="5"/>
        <v>0</v>
      </c>
      <c r="D25" s="93">
        <f t="shared" si="6"/>
        <v>0</v>
      </c>
      <c r="E25" s="94" t="s">
        <v>66</v>
      </c>
      <c r="F25" s="94" t="s">
        <v>66</v>
      </c>
      <c r="G25" s="94" t="s">
        <v>66</v>
      </c>
      <c r="H25" s="94" t="s">
        <v>66</v>
      </c>
      <c r="I25" s="94" t="s">
        <v>66</v>
      </c>
      <c r="J25" s="94" t="s">
        <v>66</v>
      </c>
      <c r="K25" s="94" t="s">
        <v>66</v>
      </c>
      <c r="L25" s="94" t="s">
        <v>66</v>
      </c>
      <c r="M25" s="94" t="s">
        <v>66</v>
      </c>
      <c r="N25" s="94" t="s">
        <v>66</v>
      </c>
      <c r="O25" s="94" t="s">
        <v>66</v>
      </c>
      <c r="P25" s="94" t="s">
        <v>66</v>
      </c>
      <c r="Q25" s="94" t="s">
        <v>66</v>
      </c>
      <c r="R25" s="94" t="s">
        <v>66</v>
      </c>
      <c r="S25" s="94" t="s">
        <v>66</v>
      </c>
      <c r="T25" s="94" t="s">
        <v>66</v>
      </c>
      <c r="U25" s="94" t="s">
        <v>66</v>
      </c>
      <c r="V25" s="94" t="s">
        <v>66</v>
      </c>
      <c r="W25" s="94" t="s">
        <v>66</v>
      </c>
      <c r="X25" s="94" t="s">
        <v>66</v>
      </c>
      <c r="Y25" s="94" t="s">
        <v>66</v>
      </c>
      <c r="Z25" s="94" t="s">
        <v>66</v>
      </c>
      <c r="AA25" s="94" t="s">
        <v>66</v>
      </c>
      <c r="AB25" s="94" t="s">
        <v>66</v>
      </c>
      <c r="AC25" s="94" t="s">
        <v>66</v>
      </c>
      <c r="AD25" s="94" t="s">
        <v>66</v>
      </c>
      <c r="AE25" s="94" t="s">
        <v>66</v>
      </c>
      <c r="AF25" s="94" t="s">
        <v>66</v>
      </c>
      <c r="AG25" s="94" t="s">
        <v>66</v>
      </c>
      <c r="AH25" s="94" t="s">
        <v>66</v>
      </c>
      <c r="AI25" s="94" t="s">
        <v>66</v>
      </c>
      <c r="AJ25" s="90" t="str">
        <f t="shared" si="7"/>
        <v>Roupas</v>
      </c>
      <c r="AK25" s="1"/>
    </row>
    <row r="26" spans="2:40" ht="15.75" customHeight="1" x14ac:dyDescent="0.25">
      <c r="B26" s="86" t="s">
        <v>72</v>
      </c>
      <c r="C26" s="87">
        <f t="shared" si="5"/>
        <v>-600</v>
      </c>
      <c r="D26" s="91">
        <f t="shared" si="6"/>
        <v>0.35497707439727849</v>
      </c>
      <c r="E26" s="92" t="s">
        <v>66</v>
      </c>
      <c r="F26" s="92" t="s">
        <v>66</v>
      </c>
      <c r="G26" s="92" t="s">
        <v>66</v>
      </c>
      <c r="H26" s="92" t="s">
        <v>66</v>
      </c>
      <c r="I26" s="92" t="s">
        <v>66</v>
      </c>
      <c r="J26" s="92" t="s">
        <v>66</v>
      </c>
      <c r="K26" s="92" t="s">
        <v>66</v>
      </c>
      <c r="L26" s="92" t="s">
        <v>66</v>
      </c>
      <c r="M26" s="92" t="s">
        <v>66</v>
      </c>
      <c r="N26" s="92" t="s">
        <v>66</v>
      </c>
      <c r="O26" s="92" t="s">
        <v>66</v>
      </c>
      <c r="P26" s="92" t="s">
        <v>66</v>
      </c>
      <c r="Q26" s="92" t="s">
        <v>66</v>
      </c>
      <c r="R26" s="92" t="s">
        <v>66</v>
      </c>
      <c r="S26" s="92" t="s">
        <v>66</v>
      </c>
      <c r="T26" s="92" t="s">
        <v>66</v>
      </c>
      <c r="U26" s="92" t="s">
        <v>66</v>
      </c>
      <c r="V26" s="92" t="s">
        <v>66</v>
      </c>
      <c r="W26" s="92" t="s">
        <v>66</v>
      </c>
      <c r="X26" s="92" t="s">
        <v>66</v>
      </c>
      <c r="Y26" s="92" t="s">
        <v>66</v>
      </c>
      <c r="Z26" s="92" t="s">
        <v>66</v>
      </c>
      <c r="AA26" s="92" t="s">
        <v>66</v>
      </c>
      <c r="AB26" s="92">
        <v>-600</v>
      </c>
      <c r="AC26" s="92" t="s">
        <v>66</v>
      </c>
      <c r="AD26" s="92" t="s">
        <v>66</v>
      </c>
      <c r="AE26" s="92" t="s">
        <v>66</v>
      </c>
      <c r="AF26" s="92" t="s">
        <v>66</v>
      </c>
      <c r="AG26" s="92" t="s">
        <v>66</v>
      </c>
      <c r="AH26" s="92" t="s">
        <v>66</v>
      </c>
      <c r="AI26" s="92" t="s">
        <v>66</v>
      </c>
      <c r="AJ26" s="90" t="str">
        <f t="shared" si="7"/>
        <v>Casa</v>
      </c>
      <c r="AK26" s="1"/>
    </row>
    <row r="27" spans="2:40" ht="15.75" customHeight="1" x14ac:dyDescent="0.25">
      <c r="B27" s="86" t="s">
        <v>42</v>
      </c>
      <c r="C27" s="98">
        <f t="shared" si="5"/>
        <v>0</v>
      </c>
      <c r="D27" s="93">
        <f t="shared" si="6"/>
        <v>0</v>
      </c>
      <c r="E27" s="94" t="s">
        <v>66</v>
      </c>
      <c r="F27" s="94" t="s">
        <v>66</v>
      </c>
      <c r="G27" s="94" t="s">
        <v>66</v>
      </c>
      <c r="H27" s="94" t="s">
        <v>66</v>
      </c>
      <c r="I27" s="94" t="s">
        <v>66</v>
      </c>
      <c r="J27" s="94" t="s">
        <v>66</v>
      </c>
      <c r="K27" s="94" t="s">
        <v>66</v>
      </c>
      <c r="L27" s="94" t="s">
        <v>66</v>
      </c>
      <c r="M27" s="94" t="s">
        <v>66</v>
      </c>
      <c r="N27" s="94" t="s">
        <v>66</v>
      </c>
      <c r="O27" s="94" t="s">
        <v>66</v>
      </c>
      <c r="P27" s="94" t="s">
        <v>66</v>
      </c>
      <c r="Q27" s="94" t="s">
        <v>66</v>
      </c>
      <c r="R27" s="94" t="s">
        <v>66</v>
      </c>
      <c r="S27" s="94" t="s">
        <v>66</v>
      </c>
      <c r="T27" s="94" t="s">
        <v>66</v>
      </c>
      <c r="U27" s="94" t="s">
        <v>66</v>
      </c>
      <c r="V27" s="94" t="s">
        <v>66</v>
      </c>
      <c r="W27" s="94" t="s">
        <v>66</v>
      </c>
      <c r="X27" s="94" t="s">
        <v>66</v>
      </c>
      <c r="Y27" s="94" t="s">
        <v>66</v>
      </c>
      <c r="Z27" s="94" t="s">
        <v>66</v>
      </c>
      <c r="AA27" s="94" t="s">
        <v>66</v>
      </c>
      <c r="AB27" s="94" t="s">
        <v>66</v>
      </c>
      <c r="AC27" s="94" t="s">
        <v>66</v>
      </c>
      <c r="AD27" s="94" t="s">
        <v>66</v>
      </c>
      <c r="AE27" s="94" t="s">
        <v>66</v>
      </c>
      <c r="AF27" s="94" t="s">
        <v>66</v>
      </c>
      <c r="AG27" s="94" t="s">
        <v>66</v>
      </c>
      <c r="AH27" s="94" t="s">
        <v>66</v>
      </c>
      <c r="AI27" s="94" t="s">
        <v>66</v>
      </c>
      <c r="AJ27" s="90" t="str">
        <f t="shared" si="7"/>
        <v>Cuidados Pessoais</v>
      </c>
      <c r="AK27" s="1"/>
    </row>
    <row r="28" spans="2:40" ht="15.75" customHeight="1" x14ac:dyDescent="0.25">
      <c r="B28" s="99" t="s">
        <v>44</v>
      </c>
      <c r="C28" s="100">
        <f t="shared" si="5"/>
        <v>1710.69</v>
      </c>
      <c r="D28" s="101"/>
      <c r="E28" s="103"/>
      <c r="F28" s="103"/>
      <c r="G28" s="103"/>
      <c r="H28" s="103"/>
      <c r="I28" s="103"/>
      <c r="J28" s="103"/>
      <c r="K28" s="103"/>
      <c r="L28" s="103"/>
      <c r="M28" s="103">
        <v>527.55999999999995</v>
      </c>
      <c r="N28" s="103"/>
      <c r="O28" s="103"/>
      <c r="P28" s="103"/>
      <c r="Q28" s="103"/>
      <c r="R28" s="103"/>
      <c r="S28" s="103"/>
      <c r="T28" s="103"/>
      <c r="U28" s="103"/>
      <c r="V28" s="103"/>
      <c r="W28" s="103">
        <v>100</v>
      </c>
      <c r="X28" s="103"/>
      <c r="Y28" s="103">
        <v>400</v>
      </c>
      <c r="Z28" s="103"/>
      <c r="AA28" s="103"/>
      <c r="AB28" s="103"/>
      <c r="AC28" s="103"/>
      <c r="AD28" s="103"/>
      <c r="AE28" s="103"/>
      <c r="AF28" s="103"/>
      <c r="AG28" s="103"/>
      <c r="AH28" s="103">
        <v>60</v>
      </c>
      <c r="AI28" s="103">
        <v>623.13</v>
      </c>
      <c r="AJ28" s="1"/>
      <c r="AK28" s="1"/>
    </row>
    <row r="29" spans="2:40" ht="15.75" customHeight="1" x14ac:dyDescent="0.25">
      <c r="B29" s="83"/>
      <c r="C29" s="12"/>
      <c r="D29" s="106"/>
      <c r="E29" s="107">
        <f t="shared" ref="E29:Y29" si="8">E5</f>
        <v>43313</v>
      </c>
      <c r="F29" s="107">
        <f t="shared" si="8"/>
        <v>43314</v>
      </c>
      <c r="G29" s="107">
        <f t="shared" si="8"/>
        <v>43315</v>
      </c>
      <c r="H29" s="107">
        <f t="shared" si="8"/>
        <v>43316</v>
      </c>
      <c r="I29" s="107">
        <f t="shared" si="8"/>
        <v>43317</v>
      </c>
      <c r="J29" s="107">
        <f t="shared" si="8"/>
        <v>43318</v>
      </c>
      <c r="K29" s="107">
        <f t="shared" si="8"/>
        <v>43319</v>
      </c>
      <c r="L29" s="107">
        <f t="shared" si="8"/>
        <v>43320</v>
      </c>
      <c r="M29" s="107">
        <f t="shared" si="8"/>
        <v>43321</v>
      </c>
      <c r="N29" s="107">
        <f t="shared" si="8"/>
        <v>43322</v>
      </c>
      <c r="O29" s="107">
        <f t="shared" si="8"/>
        <v>43323</v>
      </c>
      <c r="P29" s="107">
        <f t="shared" si="8"/>
        <v>43324</v>
      </c>
      <c r="Q29" s="107">
        <f t="shared" si="8"/>
        <v>43325</v>
      </c>
      <c r="R29" s="107">
        <f t="shared" si="8"/>
        <v>43326</v>
      </c>
      <c r="S29" s="107">
        <f t="shared" si="8"/>
        <v>43327</v>
      </c>
      <c r="T29" s="107">
        <f t="shared" si="8"/>
        <v>43328</v>
      </c>
      <c r="U29" s="107">
        <f t="shared" si="8"/>
        <v>43329</v>
      </c>
      <c r="V29" s="107">
        <f t="shared" si="8"/>
        <v>43330</v>
      </c>
      <c r="W29" s="107">
        <f t="shared" si="8"/>
        <v>43331</v>
      </c>
      <c r="X29" s="107">
        <f t="shared" si="8"/>
        <v>43332</v>
      </c>
      <c r="Y29" s="107">
        <f t="shared" si="8"/>
        <v>43333</v>
      </c>
      <c r="Z29" s="107"/>
      <c r="AA29" s="107">
        <f t="shared" ref="AA29:AE29" si="9">AA5</f>
        <v>43335</v>
      </c>
      <c r="AB29" s="107">
        <f t="shared" si="9"/>
        <v>43336</v>
      </c>
      <c r="AC29" s="107">
        <f t="shared" si="9"/>
        <v>43337</v>
      </c>
      <c r="AD29" s="107">
        <f t="shared" si="9"/>
        <v>43338</v>
      </c>
      <c r="AE29" s="107">
        <f t="shared" si="9"/>
        <v>43339</v>
      </c>
      <c r="AF29" s="107" t="s">
        <v>78</v>
      </c>
      <c r="AG29" s="107">
        <f t="shared" ref="AG29:AI29" si="10">AG5</f>
        <v>43341</v>
      </c>
      <c r="AH29" s="107">
        <f t="shared" si="10"/>
        <v>43342</v>
      </c>
      <c r="AI29" s="107">
        <f t="shared" si="10"/>
        <v>43343</v>
      </c>
      <c r="AJ29" s="1"/>
      <c r="AK29" s="1"/>
    </row>
    <row r="30" spans="2:40" ht="15.75" customHeight="1" x14ac:dyDescent="0.25">
      <c r="B30" s="110" t="s">
        <v>79</v>
      </c>
      <c r="C30" s="58"/>
      <c r="D30" s="66"/>
      <c r="E30" s="112">
        <f t="shared" ref="E30:AI30" si="11">SUM($E$6:E6)</f>
        <v>-100.69999999999999</v>
      </c>
      <c r="F30" s="112">
        <f t="shared" si="11"/>
        <v>-105.69999999999999</v>
      </c>
      <c r="G30" s="112">
        <f t="shared" si="11"/>
        <v>-130.69999999999999</v>
      </c>
      <c r="H30" s="112">
        <f t="shared" si="11"/>
        <v>-173.7</v>
      </c>
      <c r="I30" s="112">
        <f t="shared" si="11"/>
        <v>-210.93</v>
      </c>
      <c r="J30" s="112">
        <f t="shared" si="11"/>
        <v>-214.93</v>
      </c>
      <c r="K30" s="112">
        <f t="shared" si="11"/>
        <v>-222.43</v>
      </c>
      <c r="L30" s="112">
        <f t="shared" si="11"/>
        <v>-249.93</v>
      </c>
      <c r="M30" s="112">
        <f t="shared" si="11"/>
        <v>-249.93</v>
      </c>
      <c r="N30" s="112">
        <f t="shared" si="11"/>
        <v>-279.93</v>
      </c>
      <c r="O30" s="112">
        <f t="shared" si="11"/>
        <v>-381.93</v>
      </c>
      <c r="P30" s="112">
        <f t="shared" si="11"/>
        <v>-381.93</v>
      </c>
      <c r="Q30" s="112">
        <f t="shared" si="11"/>
        <v>-399.25</v>
      </c>
      <c r="R30" s="112">
        <f t="shared" si="11"/>
        <v>-420.25</v>
      </c>
      <c r="S30" s="112">
        <f t="shared" si="11"/>
        <v>-474.95</v>
      </c>
      <c r="T30" s="112">
        <f t="shared" si="11"/>
        <v>-474.95</v>
      </c>
      <c r="U30" s="112">
        <f t="shared" si="11"/>
        <v>-576.95000000000005</v>
      </c>
      <c r="V30" s="112">
        <f t="shared" si="11"/>
        <v>-603.95000000000005</v>
      </c>
      <c r="W30" s="112">
        <f t="shared" si="11"/>
        <v>-617.20000000000005</v>
      </c>
      <c r="X30" s="112">
        <f t="shared" si="11"/>
        <v>-617.20000000000005</v>
      </c>
      <c r="Y30" s="112">
        <f t="shared" si="11"/>
        <v>-641.07000000000005</v>
      </c>
      <c r="Z30" s="112">
        <f t="shared" si="11"/>
        <v>-641.07000000000005</v>
      </c>
      <c r="AA30" s="112">
        <f t="shared" si="11"/>
        <v>-643.07000000000005</v>
      </c>
      <c r="AB30" s="112">
        <f t="shared" si="11"/>
        <v>-1352.75</v>
      </c>
      <c r="AC30" s="112">
        <f t="shared" si="11"/>
        <v>-1352.75</v>
      </c>
      <c r="AD30" s="112">
        <f t="shared" si="11"/>
        <v>-1390</v>
      </c>
      <c r="AE30" s="112">
        <f t="shared" si="11"/>
        <v>-1390</v>
      </c>
      <c r="AF30" s="112">
        <f t="shared" si="11"/>
        <v>-1442.11</v>
      </c>
      <c r="AG30" s="112">
        <f t="shared" si="11"/>
        <v>-1484.11</v>
      </c>
      <c r="AH30" s="112">
        <f t="shared" si="11"/>
        <v>-1613.1</v>
      </c>
      <c r="AI30" s="112">
        <f t="shared" si="11"/>
        <v>-1690.25</v>
      </c>
      <c r="AJ30" s="1"/>
      <c r="AK30" s="1"/>
    </row>
    <row r="31" spans="2:40" ht="15.75" customHeight="1" x14ac:dyDescent="0.25">
      <c r="B31" s="99" t="s">
        <v>69</v>
      </c>
      <c r="C31" s="44"/>
      <c r="D31" s="115">
        <f>'Jul2018'!AJ38-D6+D28</f>
        <v>1786.9</v>
      </c>
      <c r="E31" s="73">
        <f t="shared" ref="E31:AI31" si="12">D37+E6+E28</f>
        <v>1686.2</v>
      </c>
      <c r="F31" s="73">
        <f t="shared" si="12"/>
        <v>1681.2</v>
      </c>
      <c r="G31" s="73">
        <f t="shared" si="12"/>
        <v>1656.2</v>
      </c>
      <c r="H31" s="73">
        <f t="shared" si="12"/>
        <v>1613.2</v>
      </c>
      <c r="I31" s="73">
        <f t="shared" si="12"/>
        <v>1575.97</v>
      </c>
      <c r="J31" s="73">
        <f t="shared" si="12"/>
        <v>1571.97</v>
      </c>
      <c r="K31" s="73">
        <f t="shared" si="12"/>
        <v>1564.47</v>
      </c>
      <c r="L31" s="73">
        <f t="shared" si="12"/>
        <v>1536.97</v>
      </c>
      <c r="M31" s="73">
        <f t="shared" si="12"/>
        <v>2064.5299999999997</v>
      </c>
      <c r="N31" s="73">
        <f t="shared" si="12"/>
        <v>2034.5299999999997</v>
      </c>
      <c r="O31" s="73">
        <f t="shared" si="12"/>
        <v>1932.5299999999997</v>
      </c>
      <c r="P31" s="73">
        <f t="shared" si="12"/>
        <v>1932.5299999999997</v>
      </c>
      <c r="Q31" s="73">
        <f t="shared" si="12"/>
        <v>1915.2099999999998</v>
      </c>
      <c r="R31" s="73">
        <f t="shared" si="12"/>
        <v>1894.2099999999998</v>
      </c>
      <c r="S31" s="73">
        <f t="shared" si="12"/>
        <v>1839.5099999999998</v>
      </c>
      <c r="T31" s="73">
        <f t="shared" si="12"/>
        <v>1839.5099999999998</v>
      </c>
      <c r="U31" s="73">
        <f t="shared" si="12"/>
        <v>1737.5099999999998</v>
      </c>
      <c r="V31" s="73">
        <f t="shared" si="12"/>
        <v>1710.5099999999998</v>
      </c>
      <c r="W31" s="73">
        <f t="shared" si="12"/>
        <v>1797.2599999999998</v>
      </c>
      <c r="X31" s="73">
        <f t="shared" si="12"/>
        <v>1797.2599999999998</v>
      </c>
      <c r="Y31" s="73">
        <f t="shared" si="12"/>
        <v>2173.39</v>
      </c>
      <c r="Z31" s="73">
        <f t="shared" si="12"/>
        <v>2173.39</v>
      </c>
      <c r="AA31" s="73">
        <f t="shared" si="12"/>
        <v>2171.39</v>
      </c>
      <c r="AB31" s="73">
        <f t="shared" si="12"/>
        <v>1461.7099999999998</v>
      </c>
      <c r="AC31" s="73">
        <f t="shared" si="12"/>
        <v>1461.7099999999998</v>
      </c>
      <c r="AD31" s="73">
        <f t="shared" si="12"/>
        <v>1424.4599999999998</v>
      </c>
      <c r="AE31" s="73">
        <f t="shared" si="12"/>
        <v>1424.4599999999998</v>
      </c>
      <c r="AF31" s="73">
        <f t="shared" si="12"/>
        <v>1372.35</v>
      </c>
      <c r="AG31" s="73">
        <f t="shared" si="12"/>
        <v>1330.35</v>
      </c>
      <c r="AH31" s="73">
        <f t="shared" si="12"/>
        <v>1261.3599999999999</v>
      </c>
      <c r="AI31" s="73">
        <f t="shared" si="12"/>
        <v>1807.3399999999997</v>
      </c>
      <c r="AJ31" s="1"/>
      <c r="AK31" s="1"/>
    </row>
    <row r="32" spans="2:40" ht="15.75" customHeight="1" x14ac:dyDescent="0.25">
      <c r="B32" s="83" t="s">
        <v>61</v>
      </c>
      <c r="C32" s="12"/>
      <c r="D32" s="12"/>
      <c r="E32" s="1"/>
      <c r="F32" s="1">
        <f>25+18</f>
        <v>43</v>
      </c>
      <c r="G32" s="1"/>
      <c r="H32" s="1"/>
      <c r="I32" s="1">
        <v>60</v>
      </c>
      <c r="J32" s="1"/>
      <c r="K32" s="1"/>
      <c r="L32" s="1"/>
      <c r="M32" s="1"/>
      <c r="N32" s="1"/>
      <c r="O32" s="1">
        <v>20</v>
      </c>
      <c r="P32" s="1"/>
      <c r="Q32" s="1"/>
      <c r="R32" s="1"/>
      <c r="S32" s="1"/>
      <c r="T32" s="1"/>
      <c r="U32" s="1">
        <v>63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>
        <v>24</v>
      </c>
      <c r="AI32" s="1"/>
      <c r="AJ32" s="1"/>
      <c r="AK32" s="1"/>
    </row>
    <row r="33" spans="2:37" ht="15.75" customHeight="1" x14ac:dyDescent="0.25">
      <c r="B33" s="83" t="s">
        <v>70</v>
      </c>
      <c r="C33" s="12"/>
      <c r="D33" s="12"/>
      <c r="E33" s="1"/>
      <c r="F33" s="1">
        <v>215.88</v>
      </c>
      <c r="G33" s="1"/>
      <c r="H33" s="1"/>
      <c r="I33" s="1">
        <v>262.61</v>
      </c>
      <c r="J33" s="1"/>
      <c r="K33" s="1"/>
      <c r="L33" s="1"/>
      <c r="M33" s="1"/>
      <c r="N33" s="1"/>
      <c r="O33" s="1">
        <v>289.11</v>
      </c>
      <c r="P33" s="1"/>
      <c r="Q33" s="1"/>
      <c r="R33" s="1"/>
      <c r="S33" s="1"/>
      <c r="T33" s="1"/>
      <c r="U33" s="1">
        <v>92.9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411.34</v>
      </c>
      <c r="AI33" s="1"/>
      <c r="AJ33" s="1"/>
      <c r="AK33" s="1"/>
    </row>
    <row r="34" spans="2:37" ht="15.75" customHeight="1" x14ac:dyDescent="0.25">
      <c r="B34" s="83" t="s">
        <v>71</v>
      </c>
      <c r="C34" s="12"/>
      <c r="D34" s="12"/>
      <c r="E34" s="1"/>
      <c r="F34" s="1">
        <v>572.94000000000005</v>
      </c>
      <c r="G34" s="1"/>
      <c r="H34" s="1"/>
      <c r="I34" s="1">
        <v>477.95</v>
      </c>
      <c r="J34" s="1"/>
      <c r="K34" s="1"/>
      <c r="L34" s="1"/>
      <c r="M34" s="1"/>
      <c r="N34" s="1"/>
      <c r="O34" s="1">
        <v>999.71</v>
      </c>
      <c r="P34" s="1"/>
      <c r="Q34" s="1"/>
      <c r="R34" s="1"/>
      <c r="S34" s="1"/>
      <c r="T34" s="1"/>
      <c r="U34" s="1">
        <v>567.03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284.47000000000003</v>
      </c>
      <c r="AI34" s="1"/>
      <c r="AJ34" s="1"/>
      <c r="AK34" s="1"/>
    </row>
    <row r="35" spans="2:37" ht="15.75" customHeight="1" x14ac:dyDescent="0.25">
      <c r="B35" s="83" t="s">
        <v>73</v>
      </c>
      <c r="C35" s="12"/>
      <c r="D35" s="12"/>
      <c r="E35" s="1"/>
      <c r="F35" s="1">
        <v>400</v>
      </c>
      <c r="G35" s="1"/>
      <c r="H35" s="1"/>
      <c r="I35" s="1">
        <v>400</v>
      </c>
      <c r="J35" s="1"/>
      <c r="K35" s="1"/>
      <c r="L35" s="1"/>
      <c r="M35" s="1"/>
      <c r="N35" s="1"/>
      <c r="O35" s="1">
        <v>400</v>
      </c>
      <c r="P35" s="1"/>
      <c r="Q35" s="1"/>
      <c r="R35" s="1"/>
      <c r="S35" s="1"/>
      <c r="T35" s="1"/>
      <c r="U35" s="1">
        <v>400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400</v>
      </c>
      <c r="AI35" s="1"/>
      <c r="AJ35" s="1"/>
      <c r="AK35" s="1"/>
    </row>
    <row r="36" spans="2:37" ht="15.75" customHeight="1" x14ac:dyDescent="0.25">
      <c r="B36" s="116" t="s">
        <v>63</v>
      </c>
      <c r="C36" s="68"/>
      <c r="D36" s="68"/>
      <c r="E36" s="44"/>
      <c r="F36" s="44">
        <v>875.84</v>
      </c>
      <c r="G36" s="44"/>
      <c r="H36" s="44"/>
      <c r="I36" s="44">
        <v>875.84</v>
      </c>
      <c r="J36" s="44"/>
      <c r="K36" s="44"/>
      <c r="L36" s="44"/>
      <c r="M36" s="44"/>
      <c r="N36" s="44"/>
      <c r="O36" s="44">
        <v>876.55</v>
      </c>
      <c r="P36" s="44"/>
      <c r="Q36" s="44"/>
      <c r="R36" s="44"/>
      <c r="S36" s="44"/>
      <c r="T36" s="44"/>
      <c r="U36" s="44">
        <v>876.55</v>
      </c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>
        <v>879.11</v>
      </c>
      <c r="AI36" s="44"/>
      <c r="AJ36" s="1"/>
      <c r="AK36" s="1"/>
    </row>
    <row r="37" spans="2:37" ht="15.75" customHeight="1" x14ac:dyDescent="0.25">
      <c r="B37" s="86" t="s">
        <v>80</v>
      </c>
      <c r="C37" s="12"/>
      <c r="D37" s="50">
        <f t="shared" ref="D37:AI37" si="13">D31</f>
        <v>1786.9</v>
      </c>
      <c r="E37" s="50">
        <f t="shared" si="13"/>
        <v>1686.2</v>
      </c>
      <c r="F37" s="50">
        <f t="shared" si="13"/>
        <v>1681.2</v>
      </c>
      <c r="G37" s="50">
        <f t="shared" si="13"/>
        <v>1656.2</v>
      </c>
      <c r="H37" s="50">
        <f t="shared" si="13"/>
        <v>1613.2</v>
      </c>
      <c r="I37" s="50">
        <f t="shared" si="13"/>
        <v>1575.97</v>
      </c>
      <c r="J37" s="50">
        <f t="shared" si="13"/>
        <v>1571.97</v>
      </c>
      <c r="K37" s="50">
        <f t="shared" si="13"/>
        <v>1564.47</v>
      </c>
      <c r="L37" s="50">
        <f t="shared" si="13"/>
        <v>1536.97</v>
      </c>
      <c r="M37" s="50">
        <f t="shared" si="13"/>
        <v>2064.5299999999997</v>
      </c>
      <c r="N37" s="50">
        <f t="shared" si="13"/>
        <v>2034.5299999999997</v>
      </c>
      <c r="O37" s="50">
        <f t="shared" si="13"/>
        <v>1932.5299999999997</v>
      </c>
      <c r="P37" s="50">
        <f t="shared" si="13"/>
        <v>1932.5299999999997</v>
      </c>
      <c r="Q37" s="50">
        <f t="shared" si="13"/>
        <v>1915.2099999999998</v>
      </c>
      <c r="R37" s="50">
        <f t="shared" si="13"/>
        <v>1894.2099999999998</v>
      </c>
      <c r="S37" s="50">
        <f t="shared" si="13"/>
        <v>1839.5099999999998</v>
      </c>
      <c r="T37" s="50">
        <f t="shared" si="13"/>
        <v>1839.5099999999998</v>
      </c>
      <c r="U37" s="50">
        <f t="shared" si="13"/>
        <v>1737.5099999999998</v>
      </c>
      <c r="V37" s="50">
        <f t="shared" si="13"/>
        <v>1710.5099999999998</v>
      </c>
      <c r="W37" s="50">
        <f t="shared" si="13"/>
        <v>1797.2599999999998</v>
      </c>
      <c r="X37" s="50">
        <f t="shared" si="13"/>
        <v>1797.2599999999998</v>
      </c>
      <c r="Y37" s="50">
        <f t="shared" si="13"/>
        <v>2173.39</v>
      </c>
      <c r="Z37" s="50">
        <f t="shared" si="13"/>
        <v>2173.39</v>
      </c>
      <c r="AA37" s="73">
        <f t="shared" si="13"/>
        <v>2171.39</v>
      </c>
      <c r="AB37" s="50">
        <f t="shared" si="13"/>
        <v>1461.7099999999998</v>
      </c>
      <c r="AC37" s="50">
        <f t="shared" si="13"/>
        <v>1461.7099999999998</v>
      </c>
      <c r="AD37" s="50">
        <f t="shared" si="13"/>
        <v>1424.4599999999998</v>
      </c>
      <c r="AE37" s="50">
        <f t="shared" si="13"/>
        <v>1424.4599999999998</v>
      </c>
      <c r="AF37" s="50">
        <f t="shared" si="13"/>
        <v>1372.35</v>
      </c>
      <c r="AG37" s="50">
        <f t="shared" si="13"/>
        <v>1330.35</v>
      </c>
      <c r="AH37" s="50">
        <f t="shared" si="13"/>
        <v>1261.3599999999999</v>
      </c>
      <c r="AI37" s="73">
        <f t="shared" si="13"/>
        <v>1807.3399999999997</v>
      </c>
      <c r="AJ37" s="1"/>
      <c r="AK37" s="1"/>
    </row>
    <row r="38" spans="2:37" ht="15.75" customHeight="1" x14ac:dyDescent="0.25">
      <c r="B38" s="117" t="s">
        <v>74</v>
      </c>
      <c r="C38" s="70"/>
      <c r="D38" s="70"/>
      <c r="E38" s="69"/>
      <c r="F38" s="69">
        <f>F32-F33+SUM(F34:F36)</f>
        <v>1675.9</v>
      </c>
      <c r="G38" s="69"/>
      <c r="H38" s="69"/>
      <c r="I38" s="69">
        <f>I32-I33+SUM(I34:I36)</f>
        <v>1551.1799999999998</v>
      </c>
      <c r="J38" s="69"/>
      <c r="K38" s="69"/>
      <c r="L38" s="69"/>
      <c r="M38" s="69"/>
      <c r="N38" s="69"/>
      <c r="O38" s="69">
        <f>O32-O33+SUM(O34:O36)</f>
        <v>2007.15</v>
      </c>
      <c r="P38" s="71"/>
      <c r="Q38" s="71"/>
      <c r="R38" s="71"/>
      <c r="S38" s="71"/>
      <c r="T38" s="71"/>
      <c r="U38" s="69">
        <f>U32-U33+SUM(U34:U36)</f>
        <v>1813.6799999999998</v>
      </c>
      <c r="V38" s="71"/>
      <c r="W38" s="71"/>
      <c r="X38" s="71"/>
      <c r="Y38" s="71"/>
      <c r="Z38" s="71"/>
      <c r="AA38" s="1"/>
      <c r="AB38" s="71"/>
      <c r="AC38" s="71"/>
      <c r="AD38" s="71"/>
      <c r="AE38" s="71"/>
      <c r="AF38" s="71"/>
      <c r="AG38" s="71"/>
      <c r="AH38" s="69">
        <f>AH32-AH33+SUM(AH34:AH36)</f>
        <v>1176.24</v>
      </c>
      <c r="AI38" s="1"/>
      <c r="AJ38" s="1"/>
      <c r="AK38" s="1"/>
    </row>
    <row r="39" spans="2:37" ht="15.75" customHeight="1" x14ac:dyDescent="0.25">
      <c r="B39" s="1"/>
      <c r="C39" s="12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f>U38-68</f>
        <v>1745.6799999999998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2:37" ht="15.7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f>U39-40</f>
        <v>1705.6799999999998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2:37" ht="15.75" customHeight="1" x14ac:dyDescent="0.25">
      <c r="B41" s="1"/>
      <c r="C41" s="1"/>
      <c r="D41" s="1"/>
      <c r="E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1"/>
    </row>
    <row r="42" spans="2:37" ht="15.75" customHeight="1" x14ac:dyDescent="0.25">
      <c r="B42" s="1"/>
      <c r="C42" s="1"/>
      <c r="D42" s="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1"/>
    </row>
    <row r="43" spans="2:37" ht="15.75" customHeight="1" x14ac:dyDescent="0.25">
      <c r="B43" s="1"/>
      <c r="C43" s="1"/>
      <c r="D43" s="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1"/>
    </row>
    <row r="44" spans="2:37" ht="15.75" customHeight="1" x14ac:dyDescent="0.25">
      <c r="B44" s="1"/>
      <c r="C44" s="1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"/>
    </row>
    <row r="45" spans="2:37" ht="15.75" customHeight="1" x14ac:dyDescent="0.25">
      <c r="B45" s="1"/>
      <c r="C45" s="1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"/>
    </row>
    <row r="46" spans="2:37" ht="15.75" customHeight="1" x14ac:dyDescent="0.25">
      <c r="C46" s="15"/>
      <c r="D46" s="1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2:37" ht="15.75" customHeight="1" x14ac:dyDescent="0.25">
      <c r="I47" s="1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"/>
    </row>
    <row r="48" spans="2:37" ht="15.75" customHeight="1" x14ac:dyDescent="0.25">
      <c r="AJ48" s="1"/>
    </row>
    <row r="49" spans="2:36" ht="15.75" customHeight="1" x14ac:dyDescent="0.25">
      <c r="AJ49" s="1"/>
    </row>
    <row r="50" spans="2:36" ht="15.7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2:36" ht="15.7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2:36" ht="15.7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2:36" ht="15.7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2:36" ht="15.7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2:36" ht="15.7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2:36" ht="15.7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2:36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2:36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2:36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2:36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2:36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2:36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2:36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2:36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2:36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2:36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2:36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2:36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2:36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2:36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2:36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2:36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2:36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2:36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2:36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2:36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2:36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2:36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2:36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2:36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2:36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2:36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2:36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2:36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2:36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2:36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2:36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2:36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2:36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2:36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2:36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2:36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2:36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2:36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2:36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2:36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2:36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2:36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2:36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2:36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2:36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2:36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2:36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2:36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2:36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2:36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2:36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2:36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2:36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2:36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2:36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2:36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2:36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2:36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2:36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2:36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2:36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2:36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2:36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2:36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2:36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2:36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2:36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2:36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2:36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2:36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2:36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2:36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2:36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2:36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2:36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2:36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2:36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2:36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2:36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2:36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2:36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2:36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2:36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2:36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2:36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2:36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2:36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2:36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2:36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2:36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2:36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2:36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2:36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2:36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2:36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2:36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2:36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2:36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2:36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2:36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2:36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2:36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2:36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2:36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2:36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2:36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2:36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2:36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2:36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2:36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2:36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2:36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2:36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2:36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2:36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2:36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2:36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2:36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2:36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2:36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2:36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2:36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2:36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2:36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2:36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2:36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2:36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2:36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2:36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2:36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2:36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2:36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2:36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2:36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2:36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2:36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2:36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2:36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2:36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2:36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2:36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2:36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2:36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2:36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2:36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2:36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2:36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2:36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2:36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2:36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2:36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2:36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2:36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2:36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2:36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2:36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2:36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2:36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2:36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2:36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2:36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2:36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2:36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2:36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2:36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2:36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2:36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2:36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2:36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2:36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2:36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2:36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2:36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2:36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2:36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2:36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2:36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2:36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2:36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2:36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2:36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2:36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2:36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4">
    <cfRule type="cellIs" dxfId="151" priority="1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000"/>
  <sheetViews>
    <sheetView showGridLines="0" workbookViewId="0">
      <selection activeCell="C23" sqref="C23"/>
    </sheetView>
  </sheetViews>
  <sheetFormatPr defaultColWidth="14.42578125" defaultRowHeight="15" customHeight="1" x14ac:dyDescent="0.25"/>
  <cols>
    <col min="1" max="1" width="1.7109375" customWidth="1"/>
    <col min="2" max="2" width="18.85546875" customWidth="1"/>
    <col min="3" max="3" width="12.42578125" customWidth="1"/>
    <col min="4" max="4" width="7.140625" customWidth="1"/>
    <col min="5" max="7" width="7.42578125" customWidth="1"/>
    <col min="8" max="9" width="8.5703125" customWidth="1"/>
    <col min="10" max="10" width="8.7109375" customWidth="1"/>
    <col min="11" max="23" width="8.5703125" customWidth="1"/>
    <col min="24" max="34" width="10.140625" customWidth="1"/>
    <col min="35" max="35" width="3" customWidth="1"/>
    <col min="37" max="37" width="20.85546875" customWidth="1"/>
  </cols>
  <sheetData>
    <row r="1" spans="1:38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</row>
    <row r="2" spans="1:38" x14ac:dyDescent="0.25">
      <c r="A2" s="96"/>
      <c r="B2" s="74" t="s">
        <v>45</v>
      </c>
      <c r="C2" s="75">
        <f>SUM(C7:C26)</f>
        <v>-1580.99</v>
      </c>
      <c r="D2" s="12"/>
      <c r="E2" s="48">
        <f t="shared" ref="E2:AH2" si="0">E6/$C$2</f>
        <v>2.536385429382855E-2</v>
      </c>
      <c r="F2" s="48">
        <f t="shared" si="0"/>
        <v>0</v>
      </c>
      <c r="G2" s="48">
        <f t="shared" si="0"/>
        <v>1.2359344461381792E-2</v>
      </c>
      <c r="H2" s="48">
        <f t="shared" si="0"/>
        <v>8.2226959057299542E-2</v>
      </c>
      <c r="I2" s="48">
        <f t="shared" si="0"/>
        <v>1.8975452090146047E-2</v>
      </c>
      <c r="J2" s="48">
        <f t="shared" si="0"/>
        <v>0</v>
      </c>
      <c r="K2" s="48">
        <f t="shared" si="0"/>
        <v>1.612913427662414E-2</v>
      </c>
      <c r="L2" s="48">
        <f t="shared" si="0"/>
        <v>5.1227395492697621E-2</v>
      </c>
      <c r="M2" s="48">
        <f t="shared" si="0"/>
        <v>2.3086800043011023E-2</v>
      </c>
      <c r="N2" s="48">
        <f t="shared" si="0"/>
        <v>5.7369116819208218E-3</v>
      </c>
      <c r="O2" s="48">
        <f t="shared" si="0"/>
        <v>3.1625753483576748E-2</v>
      </c>
      <c r="P2" s="48">
        <f t="shared" si="0"/>
        <v>6.3251506967153487E-4</v>
      </c>
      <c r="Q2" s="48">
        <f t="shared" si="0"/>
        <v>1.7729397402893126E-2</v>
      </c>
      <c r="R2" s="48">
        <f t="shared" si="0"/>
        <v>3.3839556227427119E-2</v>
      </c>
      <c r="S2" s="48">
        <f t="shared" si="0"/>
        <v>1.2650301393430699E-2</v>
      </c>
      <c r="T2" s="48">
        <f t="shared" si="0"/>
        <v>0</v>
      </c>
      <c r="U2" s="48">
        <f t="shared" si="0"/>
        <v>7.5712053839682731E-3</v>
      </c>
      <c r="V2" s="48">
        <f t="shared" si="0"/>
        <v>1.5812876741788373E-3</v>
      </c>
      <c r="W2" s="48">
        <f t="shared" si="0"/>
        <v>2.6439129912270157E-2</v>
      </c>
      <c r="X2" s="48">
        <f t="shared" si="0"/>
        <v>0.39329787032176039</v>
      </c>
      <c r="Y2" s="48">
        <f t="shared" si="0"/>
        <v>3.3207041157755586E-2</v>
      </c>
      <c r="Z2" s="48">
        <f t="shared" si="0"/>
        <v>2.43138792781738E-2</v>
      </c>
      <c r="AA2" s="48">
        <f t="shared" si="0"/>
        <v>0</v>
      </c>
      <c r="AB2" s="48">
        <f t="shared" si="0"/>
        <v>5.1840935110278999E-2</v>
      </c>
      <c r="AC2" s="48">
        <f t="shared" si="0"/>
        <v>8.5389534405657212E-3</v>
      </c>
      <c r="AD2" s="48">
        <f t="shared" si="0"/>
        <v>6.3251506967153487E-4</v>
      </c>
      <c r="AE2" s="48">
        <f t="shared" si="0"/>
        <v>6.8311627524525777E-3</v>
      </c>
      <c r="AF2" s="48">
        <f t="shared" si="0"/>
        <v>3.19356858677158E-2</v>
      </c>
      <c r="AG2" s="48">
        <f t="shared" si="0"/>
        <v>8.2226959057299542E-2</v>
      </c>
      <c r="AH2" s="48">
        <f t="shared" si="0"/>
        <v>0</v>
      </c>
      <c r="AI2" s="97"/>
    </row>
    <row r="3" spans="1:38" hidden="1" x14ac:dyDescent="0.25">
      <c r="A3" s="96"/>
      <c r="B3" s="76"/>
      <c r="C3" s="77"/>
      <c r="D3" s="1"/>
      <c r="E3" s="55" t="str">
        <f t="shared" ref="E3:AH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96"/>
      <c r="AK3" s="78" t="s">
        <v>0</v>
      </c>
      <c r="AL3" s="1" t="s">
        <v>64</v>
      </c>
    </row>
    <row r="4" spans="1:38" x14ac:dyDescent="0.25">
      <c r="A4" s="96"/>
      <c r="B4" s="79" t="s">
        <v>47</v>
      </c>
      <c r="C4" s="102">
        <f>C27+C2</f>
        <v>-553.43000000000006</v>
      </c>
      <c r="D4" s="104" t="s">
        <v>7</v>
      </c>
      <c r="E4" s="105" t="str">
        <f t="shared" ref="E4:AH4" si="2">TEXT(E5,"ddd")</f>
        <v>Sat</v>
      </c>
      <c r="F4" s="105" t="str">
        <f t="shared" si="2"/>
        <v>Sun</v>
      </c>
      <c r="G4" s="105" t="str">
        <f t="shared" si="2"/>
        <v>Mon</v>
      </c>
      <c r="H4" s="105" t="str">
        <f t="shared" si="2"/>
        <v>Tue</v>
      </c>
      <c r="I4" s="105" t="str">
        <f t="shared" si="2"/>
        <v>Wed</v>
      </c>
      <c r="J4" s="105" t="str">
        <f t="shared" si="2"/>
        <v>Thu</v>
      </c>
      <c r="K4" s="105" t="str">
        <f t="shared" si="2"/>
        <v>Fri</v>
      </c>
      <c r="L4" s="105" t="str">
        <f t="shared" si="2"/>
        <v>Sat</v>
      </c>
      <c r="M4" s="105" t="str">
        <f t="shared" si="2"/>
        <v>Sun</v>
      </c>
      <c r="N4" s="105" t="str">
        <f t="shared" si="2"/>
        <v>Mon</v>
      </c>
      <c r="O4" s="105" t="str">
        <f t="shared" si="2"/>
        <v>Tue</v>
      </c>
      <c r="P4" s="105" t="str">
        <f t="shared" si="2"/>
        <v>Wed</v>
      </c>
      <c r="Q4" s="105" t="str">
        <f t="shared" si="2"/>
        <v>Thu</v>
      </c>
      <c r="R4" s="105" t="str">
        <f t="shared" si="2"/>
        <v>Fri</v>
      </c>
      <c r="S4" s="105" t="str">
        <f t="shared" si="2"/>
        <v>Sat</v>
      </c>
      <c r="T4" s="105" t="str">
        <f t="shared" si="2"/>
        <v>Sun</v>
      </c>
      <c r="U4" s="105" t="str">
        <f t="shared" si="2"/>
        <v>Mon</v>
      </c>
      <c r="V4" s="105" t="str">
        <f t="shared" si="2"/>
        <v>Tue</v>
      </c>
      <c r="W4" s="105" t="str">
        <f t="shared" si="2"/>
        <v>Wed</v>
      </c>
      <c r="X4" s="105" t="str">
        <f t="shared" si="2"/>
        <v>Thu</v>
      </c>
      <c r="Y4" s="105" t="str">
        <f t="shared" si="2"/>
        <v>Fri</v>
      </c>
      <c r="Z4" s="105" t="str">
        <f t="shared" si="2"/>
        <v>Sat</v>
      </c>
      <c r="AA4" s="105" t="str">
        <f t="shared" si="2"/>
        <v>Sun</v>
      </c>
      <c r="AB4" s="105" t="str">
        <f t="shared" si="2"/>
        <v>Mon</v>
      </c>
      <c r="AC4" s="105" t="str">
        <f t="shared" si="2"/>
        <v>Tue</v>
      </c>
      <c r="AD4" s="105" t="str">
        <f t="shared" si="2"/>
        <v>Wed</v>
      </c>
      <c r="AE4" s="105" t="str">
        <f t="shared" si="2"/>
        <v>Thu</v>
      </c>
      <c r="AF4" s="105" t="str">
        <f t="shared" si="2"/>
        <v>Fri</v>
      </c>
      <c r="AG4" s="105" t="str">
        <f t="shared" si="2"/>
        <v>Sat</v>
      </c>
      <c r="AH4" s="105" t="str">
        <f t="shared" si="2"/>
        <v>Sun</v>
      </c>
      <c r="AI4" s="96"/>
      <c r="AK4" s="78">
        <v>2018</v>
      </c>
      <c r="AL4" s="56">
        <f ca="1">TODAY()</f>
        <v>43926</v>
      </c>
    </row>
    <row r="5" spans="1:38" x14ac:dyDescent="0.25">
      <c r="A5" s="96"/>
      <c r="B5" s="81" t="s">
        <v>51</v>
      </c>
      <c r="C5" s="108">
        <f>C4/C27</f>
        <v>-0.53858655455642501</v>
      </c>
      <c r="D5" s="109"/>
      <c r="E5" s="111">
        <f>DATE($AK$4,$AK$6,1)</f>
        <v>43344</v>
      </c>
      <c r="F5" s="111">
        <f t="shared" ref="F5:AH5" si="3">E5+1</f>
        <v>43345</v>
      </c>
      <c r="G5" s="111">
        <f t="shared" si="3"/>
        <v>43346</v>
      </c>
      <c r="H5" s="111">
        <f t="shared" si="3"/>
        <v>43347</v>
      </c>
      <c r="I5" s="111">
        <f t="shared" si="3"/>
        <v>43348</v>
      </c>
      <c r="J5" s="111">
        <f t="shared" si="3"/>
        <v>43349</v>
      </c>
      <c r="K5" s="111">
        <f t="shared" si="3"/>
        <v>43350</v>
      </c>
      <c r="L5" s="111">
        <f t="shared" si="3"/>
        <v>43351</v>
      </c>
      <c r="M5" s="111">
        <f t="shared" si="3"/>
        <v>43352</v>
      </c>
      <c r="N5" s="111">
        <f t="shared" si="3"/>
        <v>43353</v>
      </c>
      <c r="O5" s="111">
        <f t="shared" si="3"/>
        <v>43354</v>
      </c>
      <c r="P5" s="111">
        <f t="shared" si="3"/>
        <v>43355</v>
      </c>
      <c r="Q5" s="111">
        <f t="shared" si="3"/>
        <v>43356</v>
      </c>
      <c r="R5" s="111">
        <f t="shared" si="3"/>
        <v>43357</v>
      </c>
      <c r="S5" s="111">
        <f t="shared" si="3"/>
        <v>43358</v>
      </c>
      <c r="T5" s="111">
        <f t="shared" si="3"/>
        <v>43359</v>
      </c>
      <c r="U5" s="111">
        <f t="shared" si="3"/>
        <v>43360</v>
      </c>
      <c r="V5" s="111">
        <f t="shared" si="3"/>
        <v>43361</v>
      </c>
      <c r="W5" s="111">
        <f t="shared" si="3"/>
        <v>43362</v>
      </c>
      <c r="X5" s="111">
        <f t="shared" si="3"/>
        <v>43363</v>
      </c>
      <c r="Y5" s="111">
        <f t="shared" si="3"/>
        <v>43364</v>
      </c>
      <c r="Z5" s="111">
        <f t="shared" si="3"/>
        <v>43365</v>
      </c>
      <c r="AA5" s="111">
        <f t="shared" si="3"/>
        <v>43366</v>
      </c>
      <c r="AB5" s="111">
        <f t="shared" si="3"/>
        <v>43367</v>
      </c>
      <c r="AC5" s="111">
        <f t="shared" si="3"/>
        <v>43368</v>
      </c>
      <c r="AD5" s="111">
        <f t="shared" si="3"/>
        <v>43369</v>
      </c>
      <c r="AE5" s="111">
        <f t="shared" si="3"/>
        <v>43370</v>
      </c>
      <c r="AF5" s="111">
        <f t="shared" si="3"/>
        <v>43371</v>
      </c>
      <c r="AG5" s="111">
        <f t="shared" si="3"/>
        <v>43372</v>
      </c>
      <c r="AH5" s="111">
        <f t="shared" si="3"/>
        <v>43373</v>
      </c>
      <c r="AI5" s="96"/>
      <c r="AK5" s="78" t="s">
        <v>1</v>
      </c>
      <c r="AL5" s="1" t="str">
        <f ca="1">IF(V5=AL4,"sim","não")</f>
        <v>não</v>
      </c>
    </row>
    <row r="6" spans="1:38" x14ac:dyDescent="0.25">
      <c r="A6" s="96"/>
      <c r="B6" s="83"/>
      <c r="C6" s="15" t="s">
        <v>62</v>
      </c>
      <c r="D6" s="113">
        <f t="shared" ref="D6:AH6" si="4">SUM(D7:D26)</f>
        <v>1</v>
      </c>
      <c r="E6" s="114">
        <f t="shared" si="4"/>
        <v>-40.1</v>
      </c>
      <c r="F6" s="114">
        <f t="shared" si="4"/>
        <v>0</v>
      </c>
      <c r="G6" s="114">
        <f t="shared" si="4"/>
        <v>-19.54</v>
      </c>
      <c r="H6" s="114">
        <f t="shared" si="4"/>
        <v>-130</v>
      </c>
      <c r="I6" s="114">
        <f t="shared" si="4"/>
        <v>-30</v>
      </c>
      <c r="J6" s="114">
        <f t="shared" si="4"/>
        <v>0</v>
      </c>
      <c r="K6" s="114">
        <f t="shared" si="4"/>
        <v>-25.5</v>
      </c>
      <c r="L6" s="114">
        <f t="shared" si="4"/>
        <v>-80.990000000000009</v>
      </c>
      <c r="M6" s="114">
        <f t="shared" si="4"/>
        <v>-36.5</v>
      </c>
      <c r="N6" s="114">
        <f t="shared" si="4"/>
        <v>-9.07</v>
      </c>
      <c r="O6" s="114">
        <f t="shared" si="4"/>
        <v>-50</v>
      </c>
      <c r="P6" s="114">
        <f t="shared" si="4"/>
        <v>-1</v>
      </c>
      <c r="Q6" s="114">
        <f t="shared" si="4"/>
        <v>-28.03</v>
      </c>
      <c r="R6" s="114">
        <f t="shared" si="4"/>
        <v>-53.5</v>
      </c>
      <c r="S6" s="114">
        <f t="shared" si="4"/>
        <v>-20</v>
      </c>
      <c r="T6" s="114">
        <f t="shared" si="4"/>
        <v>0</v>
      </c>
      <c r="U6" s="114">
        <f t="shared" si="4"/>
        <v>-11.97</v>
      </c>
      <c r="V6" s="114">
        <f t="shared" si="4"/>
        <v>-2.5</v>
      </c>
      <c r="W6" s="114">
        <f t="shared" si="4"/>
        <v>-41.8</v>
      </c>
      <c r="X6" s="114">
        <f t="shared" si="4"/>
        <v>-621.79999999999995</v>
      </c>
      <c r="Y6" s="114">
        <f t="shared" si="4"/>
        <v>-52.5</v>
      </c>
      <c r="Z6" s="114">
        <f t="shared" si="4"/>
        <v>-38.44</v>
      </c>
      <c r="AA6" s="114">
        <f t="shared" si="4"/>
        <v>0</v>
      </c>
      <c r="AB6" s="114">
        <f t="shared" si="4"/>
        <v>-81.96</v>
      </c>
      <c r="AC6" s="114">
        <f t="shared" si="4"/>
        <v>-13.5</v>
      </c>
      <c r="AD6" s="114">
        <f t="shared" si="4"/>
        <v>-1</v>
      </c>
      <c r="AE6" s="114">
        <f t="shared" si="4"/>
        <v>-10.8</v>
      </c>
      <c r="AF6" s="114">
        <f t="shared" si="4"/>
        <v>-50.49</v>
      </c>
      <c r="AG6" s="114">
        <f t="shared" si="4"/>
        <v>-130</v>
      </c>
      <c r="AH6" s="114">
        <f t="shared" si="4"/>
        <v>0</v>
      </c>
      <c r="AI6" s="96"/>
      <c r="AK6" s="78">
        <v>9</v>
      </c>
      <c r="AL6" s="1"/>
    </row>
    <row r="7" spans="1:38" x14ac:dyDescent="0.25">
      <c r="A7" s="96"/>
      <c r="B7" s="86" t="s">
        <v>20</v>
      </c>
      <c r="C7" s="87">
        <f t="shared" ref="C7:C27" si="5">SUM(E7:AH7)</f>
        <v>-146.32999999999998</v>
      </c>
      <c r="D7" s="88">
        <f t="shared" ref="D7:D26" si="6">C7/$C$2</f>
        <v>9.25559301450357E-2</v>
      </c>
      <c r="E7" s="89">
        <f>-8-3.8</f>
        <v>-11.8</v>
      </c>
      <c r="F7" s="89" t="s">
        <v>66</v>
      </c>
      <c r="G7" s="89" t="s">
        <v>66</v>
      </c>
      <c r="H7" s="89" t="s">
        <v>66</v>
      </c>
      <c r="I7" s="89" t="s">
        <v>66</v>
      </c>
      <c r="J7" s="89" t="s">
        <v>66</v>
      </c>
      <c r="K7" s="89" t="s">
        <v>66</v>
      </c>
      <c r="L7" s="89">
        <f>-8.9-13.9</f>
        <v>-22.8</v>
      </c>
      <c r="M7" s="89" t="s">
        <v>66</v>
      </c>
      <c r="N7" s="89" t="s">
        <v>66</v>
      </c>
      <c r="O7" s="89" t="s">
        <v>66</v>
      </c>
      <c r="P7" s="89" t="s">
        <v>66</v>
      </c>
      <c r="Q7" s="89">
        <v>-28.03</v>
      </c>
      <c r="R7" s="89">
        <f>-(22+1.5)</f>
        <v>-23.5</v>
      </c>
      <c r="S7" s="89" t="s">
        <v>66</v>
      </c>
      <c r="T7" s="89" t="s">
        <v>66</v>
      </c>
      <c r="U7" s="89" t="s">
        <v>66</v>
      </c>
      <c r="V7" s="89" t="s">
        <v>66</v>
      </c>
      <c r="W7" s="89" t="s">
        <v>66</v>
      </c>
      <c r="X7" s="89" t="s">
        <v>66</v>
      </c>
      <c r="Y7" s="89" t="s">
        <v>66</v>
      </c>
      <c r="Z7" s="89">
        <f>-8.5-7.3</f>
        <v>-15.8</v>
      </c>
      <c r="AA7" s="89" t="s">
        <v>66</v>
      </c>
      <c r="AB7" s="89" t="s">
        <v>66</v>
      </c>
      <c r="AC7" s="89" t="s">
        <v>66</v>
      </c>
      <c r="AD7" s="89" t="s">
        <v>66</v>
      </c>
      <c r="AE7" s="89">
        <f>-2.8-8</f>
        <v>-10.8</v>
      </c>
      <c r="AF7" s="89">
        <v>-5.5</v>
      </c>
      <c r="AG7" s="89">
        <f>-5.3-22.8</f>
        <v>-28.1</v>
      </c>
      <c r="AH7" s="89" t="s">
        <v>66</v>
      </c>
      <c r="AI7" s="97"/>
    </row>
    <row r="8" spans="1:38" x14ac:dyDescent="0.25">
      <c r="A8" s="96"/>
      <c r="B8" s="86" t="s">
        <v>21</v>
      </c>
      <c r="C8" s="87">
        <f t="shared" si="5"/>
        <v>-16.899999999999999</v>
      </c>
      <c r="D8" s="91">
        <f t="shared" si="6"/>
        <v>1.068950467744894E-2</v>
      </c>
      <c r="E8" s="92">
        <v>-16.899999999999999</v>
      </c>
      <c r="F8" s="92" t="s">
        <v>66</v>
      </c>
      <c r="G8" s="92" t="s">
        <v>66</v>
      </c>
      <c r="H8" s="92" t="s">
        <v>66</v>
      </c>
      <c r="I8" s="92" t="s">
        <v>66</v>
      </c>
      <c r="J8" s="92" t="s">
        <v>66</v>
      </c>
      <c r="K8" s="92" t="s">
        <v>66</v>
      </c>
      <c r="L8" s="92" t="s">
        <v>66</v>
      </c>
      <c r="M8" s="92" t="s">
        <v>66</v>
      </c>
      <c r="N8" s="92" t="s">
        <v>66</v>
      </c>
      <c r="O8" s="92" t="s">
        <v>66</v>
      </c>
      <c r="P8" s="92" t="s">
        <v>66</v>
      </c>
      <c r="Q8" s="92" t="s">
        <v>66</v>
      </c>
      <c r="R8" s="92" t="s">
        <v>66</v>
      </c>
      <c r="S8" s="92" t="s">
        <v>66</v>
      </c>
      <c r="T8" s="92" t="s">
        <v>66</v>
      </c>
      <c r="U8" s="92" t="s">
        <v>66</v>
      </c>
      <c r="V8" s="92" t="s">
        <v>66</v>
      </c>
      <c r="W8" s="92" t="s">
        <v>66</v>
      </c>
      <c r="X8" s="92" t="s">
        <v>66</v>
      </c>
      <c r="Y8" s="92" t="s">
        <v>66</v>
      </c>
      <c r="Z8" s="92" t="s">
        <v>66</v>
      </c>
      <c r="AA8" s="92" t="s">
        <v>66</v>
      </c>
      <c r="AB8" s="92" t="s">
        <v>66</v>
      </c>
      <c r="AC8" s="92" t="s">
        <v>66</v>
      </c>
      <c r="AD8" s="92" t="s">
        <v>66</v>
      </c>
      <c r="AE8" s="92" t="s">
        <v>66</v>
      </c>
      <c r="AF8" s="92" t="s">
        <v>66</v>
      </c>
      <c r="AG8" s="92" t="s">
        <v>66</v>
      </c>
      <c r="AH8" s="92" t="s">
        <v>66</v>
      </c>
      <c r="AI8" s="97"/>
      <c r="AK8" s="54"/>
    </row>
    <row r="9" spans="1:38" x14ac:dyDescent="0.25">
      <c r="A9" s="96"/>
      <c r="B9" s="86" t="s">
        <v>22</v>
      </c>
      <c r="C9" s="87">
        <f t="shared" si="5"/>
        <v>-14.5</v>
      </c>
      <c r="D9" s="93">
        <f t="shared" si="6"/>
        <v>9.1714685102372556E-3</v>
      </c>
      <c r="E9" s="94" t="s">
        <v>66</v>
      </c>
      <c r="F9" s="94" t="s">
        <v>66</v>
      </c>
      <c r="G9" s="94" t="s">
        <v>66</v>
      </c>
      <c r="H9" s="94" t="s">
        <v>66</v>
      </c>
      <c r="I9" s="94" t="s">
        <v>66</v>
      </c>
      <c r="J9" s="94" t="s">
        <v>66</v>
      </c>
      <c r="K9" s="94">
        <f>-5-3</f>
        <v>-8</v>
      </c>
      <c r="L9" s="94" t="s">
        <v>66</v>
      </c>
      <c r="M9" s="94">
        <v>-6.5</v>
      </c>
      <c r="N9" s="94" t="s">
        <v>66</v>
      </c>
      <c r="O9" s="94" t="s">
        <v>66</v>
      </c>
      <c r="P9" s="94" t="s">
        <v>66</v>
      </c>
      <c r="Q9" s="94" t="s">
        <v>66</v>
      </c>
      <c r="R9" s="94" t="s">
        <v>66</v>
      </c>
      <c r="S9" s="94" t="s">
        <v>66</v>
      </c>
      <c r="T9" s="94" t="s">
        <v>66</v>
      </c>
      <c r="U9" s="94" t="s">
        <v>66</v>
      </c>
      <c r="V9" s="94" t="s">
        <v>66</v>
      </c>
      <c r="W9" s="94" t="s">
        <v>66</v>
      </c>
      <c r="X9" s="94" t="s">
        <v>66</v>
      </c>
      <c r="Y9" s="94" t="s">
        <v>66</v>
      </c>
      <c r="Z9" s="94" t="s">
        <v>66</v>
      </c>
      <c r="AA9" s="94" t="s">
        <v>66</v>
      </c>
      <c r="AB9" s="94" t="s">
        <v>66</v>
      </c>
      <c r="AC9" s="94" t="s">
        <v>66</v>
      </c>
      <c r="AD9" s="94" t="s">
        <v>66</v>
      </c>
      <c r="AE9" s="94" t="s">
        <v>66</v>
      </c>
      <c r="AF9" s="94" t="s">
        <v>66</v>
      </c>
      <c r="AG9" s="94" t="s">
        <v>66</v>
      </c>
      <c r="AH9" s="94" t="s">
        <v>66</v>
      </c>
      <c r="AI9" s="97"/>
      <c r="AK9" s="54"/>
    </row>
    <row r="10" spans="1:38" x14ac:dyDescent="0.25">
      <c r="A10" s="96"/>
      <c r="B10" s="86" t="s">
        <v>23</v>
      </c>
      <c r="C10" s="87">
        <f t="shared" si="5"/>
        <v>-18.3</v>
      </c>
      <c r="D10" s="91">
        <f t="shared" si="6"/>
        <v>1.1575025774989089E-2</v>
      </c>
      <c r="E10" s="92">
        <v>-2.5</v>
      </c>
      <c r="F10" s="92" t="s">
        <v>66</v>
      </c>
      <c r="G10" s="92" t="s">
        <v>66</v>
      </c>
      <c r="H10" s="92" t="s">
        <v>66</v>
      </c>
      <c r="I10" s="92" t="s">
        <v>66</v>
      </c>
      <c r="J10" s="92" t="s">
        <v>66</v>
      </c>
      <c r="K10" s="92">
        <f>-2.5-5</f>
        <v>-7.5</v>
      </c>
      <c r="L10" s="92" t="s">
        <v>66</v>
      </c>
      <c r="M10" s="92" t="s">
        <v>66</v>
      </c>
      <c r="N10" s="92" t="s">
        <v>66</v>
      </c>
      <c r="O10" s="92" t="s">
        <v>66</v>
      </c>
      <c r="P10" s="92" t="s">
        <v>66</v>
      </c>
      <c r="Q10" s="92" t="s">
        <v>66</v>
      </c>
      <c r="R10" s="92" t="s">
        <v>66</v>
      </c>
      <c r="S10" s="92" t="s">
        <v>66</v>
      </c>
      <c r="T10" s="92" t="s">
        <v>66</v>
      </c>
      <c r="U10" s="92" t="s">
        <v>66</v>
      </c>
      <c r="V10" s="92">
        <v>-2.5</v>
      </c>
      <c r="W10" s="92" t="s">
        <v>66</v>
      </c>
      <c r="X10" s="92">
        <v>-5.8</v>
      </c>
      <c r="Y10" s="92" t="s">
        <v>66</v>
      </c>
      <c r="Z10" s="92" t="s">
        <v>66</v>
      </c>
      <c r="AA10" s="92" t="s">
        <v>66</v>
      </c>
      <c r="AB10" s="92" t="s">
        <v>66</v>
      </c>
      <c r="AC10" s="92" t="s">
        <v>66</v>
      </c>
      <c r="AD10" s="92" t="s">
        <v>66</v>
      </c>
      <c r="AE10" s="92" t="s">
        <v>66</v>
      </c>
      <c r="AF10" s="92" t="s">
        <v>66</v>
      </c>
      <c r="AG10" s="92" t="s">
        <v>66</v>
      </c>
      <c r="AH10" s="92" t="s">
        <v>66</v>
      </c>
      <c r="AI10" s="97"/>
    </row>
    <row r="11" spans="1:38" x14ac:dyDescent="0.25">
      <c r="A11" s="96"/>
      <c r="B11" s="86" t="s">
        <v>81</v>
      </c>
      <c r="C11" s="87">
        <f t="shared" si="5"/>
        <v>-40</v>
      </c>
      <c r="D11" s="93">
        <f t="shared" si="6"/>
        <v>2.5300602786861397E-2</v>
      </c>
      <c r="E11" s="94" t="s">
        <v>66</v>
      </c>
      <c r="F11" s="94" t="s">
        <v>66</v>
      </c>
      <c r="G11" s="94" t="s">
        <v>66</v>
      </c>
      <c r="H11" s="94">
        <v>-20</v>
      </c>
      <c r="I11" s="94" t="s">
        <v>66</v>
      </c>
      <c r="J11" s="94" t="s">
        <v>66</v>
      </c>
      <c r="K11" s="94" t="s">
        <v>66</v>
      </c>
      <c r="L11" s="94" t="s">
        <v>66</v>
      </c>
      <c r="M11" s="94" t="s">
        <v>66</v>
      </c>
      <c r="N11" s="94" t="s">
        <v>66</v>
      </c>
      <c r="O11" s="94" t="s">
        <v>66</v>
      </c>
      <c r="P11" s="94" t="s">
        <v>66</v>
      </c>
      <c r="Q11" s="94" t="s">
        <v>66</v>
      </c>
      <c r="R11" s="94" t="s">
        <v>66</v>
      </c>
      <c r="S11" s="94">
        <v>-20</v>
      </c>
      <c r="T11" s="94" t="s">
        <v>66</v>
      </c>
      <c r="U11" s="94" t="s">
        <v>66</v>
      </c>
      <c r="V11" s="94" t="s">
        <v>66</v>
      </c>
      <c r="W11" s="94" t="s">
        <v>66</v>
      </c>
      <c r="X11" s="94" t="s">
        <v>66</v>
      </c>
      <c r="Y11" s="94" t="s">
        <v>66</v>
      </c>
      <c r="Z11" s="94" t="s">
        <v>66</v>
      </c>
      <c r="AA11" s="94" t="s">
        <v>66</v>
      </c>
      <c r="AB11" s="94" t="s">
        <v>66</v>
      </c>
      <c r="AC11" s="94" t="s">
        <v>66</v>
      </c>
      <c r="AD11" s="94" t="s">
        <v>66</v>
      </c>
      <c r="AE11" s="94" t="s">
        <v>66</v>
      </c>
      <c r="AF11" s="94" t="s">
        <v>66</v>
      </c>
      <c r="AG11" s="94" t="s">
        <v>66</v>
      </c>
      <c r="AH11" s="94" t="s">
        <v>66</v>
      </c>
      <c r="AI11" s="97"/>
      <c r="AK11" s="15">
        <f>SUM(AE6:AG6)</f>
        <v>-191.29000000000002</v>
      </c>
    </row>
    <row r="12" spans="1:38" x14ac:dyDescent="0.25">
      <c r="A12" s="96"/>
      <c r="B12" s="86" t="s">
        <v>24</v>
      </c>
      <c r="C12" s="87">
        <f t="shared" si="5"/>
        <v>-69.05</v>
      </c>
      <c r="D12" s="91">
        <f t="shared" si="6"/>
        <v>4.3675165560819483E-2</v>
      </c>
      <c r="E12" s="92">
        <v>-10.9</v>
      </c>
      <c r="F12" s="92" t="s">
        <v>66</v>
      </c>
      <c r="G12" s="92">
        <v>-19.54</v>
      </c>
      <c r="H12" s="92" t="s">
        <v>66</v>
      </c>
      <c r="I12" s="92" t="s">
        <v>66</v>
      </c>
      <c r="J12" s="92" t="s">
        <v>66</v>
      </c>
      <c r="K12" s="92" t="s">
        <v>66</v>
      </c>
      <c r="L12" s="92" t="s">
        <v>66</v>
      </c>
      <c r="M12" s="92" t="s">
        <v>66</v>
      </c>
      <c r="N12" s="92">
        <f>-9.07</f>
        <v>-9.07</v>
      </c>
      <c r="O12" s="92" t="s">
        <v>66</v>
      </c>
      <c r="P12" s="92">
        <v>-1</v>
      </c>
      <c r="Q12" s="92" t="s">
        <v>66</v>
      </c>
      <c r="R12" s="92" t="s">
        <v>66</v>
      </c>
      <c r="S12" s="92" t="s">
        <v>66</v>
      </c>
      <c r="T12" s="92" t="s">
        <v>66</v>
      </c>
      <c r="U12" s="92">
        <v>-11.97</v>
      </c>
      <c r="V12" s="92" t="s">
        <v>66</v>
      </c>
      <c r="W12" s="92">
        <v>-1</v>
      </c>
      <c r="X12" s="92" t="s">
        <v>66</v>
      </c>
      <c r="Y12" s="92">
        <v>-2.5</v>
      </c>
      <c r="Z12" s="92" t="s">
        <v>66</v>
      </c>
      <c r="AA12" s="92" t="s">
        <v>66</v>
      </c>
      <c r="AB12" s="92">
        <v>-12.07</v>
      </c>
      <c r="AC12" s="92" t="s">
        <v>66</v>
      </c>
      <c r="AD12" s="92">
        <v>-1</v>
      </c>
      <c r="AE12" s="92" t="s">
        <v>66</v>
      </c>
      <c r="AF12" s="92" t="s">
        <v>66</v>
      </c>
      <c r="AG12" s="92" t="s">
        <v>66</v>
      </c>
      <c r="AH12" s="92" t="s">
        <v>66</v>
      </c>
      <c r="AI12" s="97"/>
      <c r="AK12" s="118">
        <f>SUM('Out2018'!E6:I6)</f>
        <v>-97.75</v>
      </c>
    </row>
    <row r="13" spans="1:38" x14ac:dyDescent="0.25">
      <c r="A13" s="96"/>
      <c r="B13" s="86" t="s">
        <v>27</v>
      </c>
      <c r="C13" s="87">
        <f t="shared" si="5"/>
        <v>-160</v>
      </c>
      <c r="D13" s="93">
        <f t="shared" si="6"/>
        <v>0.10120241114744559</v>
      </c>
      <c r="E13" s="94" t="s">
        <v>66</v>
      </c>
      <c r="F13" s="94" t="s">
        <v>66</v>
      </c>
      <c r="G13" s="94" t="s">
        <v>66</v>
      </c>
      <c r="H13" s="94">
        <f>-110</f>
        <v>-110</v>
      </c>
      <c r="I13" s="94" t="s">
        <v>66</v>
      </c>
      <c r="J13" s="94" t="s">
        <v>66</v>
      </c>
      <c r="K13" s="94" t="s">
        <v>66</v>
      </c>
      <c r="L13" s="94" t="s">
        <v>66</v>
      </c>
      <c r="M13" s="94" t="s">
        <v>66</v>
      </c>
      <c r="N13" s="94" t="s">
        <v>66</v>
      </c>
      <c r="O13" s="94">
        <v>-50</v>
      </c>
      <c r="P13" s="94" t="s">
        <v>66</v>
      </c>
      <c r="Q13" s="94" t="s">
        <v>66</v>
      </c>
      <c r="R13" s="94" t="s">
        <v>66</v>
      </c>
      <c r="S13" s="94" t="s">
        <v>66</v>
      </c>
      <c r="T13" s="94" t="s">
        <v>66</v>
      </c>
      <c r="U13" s="94" t="s">
        <v>66</v>
      </c>
      <c r="V13" s="94" t="s">
        <v>67</v>
      </c>
      <c r="W13" s="94" t="s">
        <v>66</v>
      </c>
      <c r="X13" s="94" t="s">
        <v>66</v>
      </c>
      <c r="Y13" s="94" t="s">
        <v>66</v>
      </c>
      <c r="Z13" s="94" t="s">
        <v>66</v>
      </c>
      <c r="AA13" s="94" t="s">
        <v>66</v>
      </c>
      <c r="AB13" s="94" t="s">
        <v>66</v>
      </c>
      <c r="AC13" s="94" t="s">
        <v>67</v>
      </c>
      <c r="AD13" s="94" t="s">
        <v>66</v>
      </c>
      <c r="AE13" s="94" t="s">
        <v>66</v>
      </c>
      <c r="AF13" s="94" t="s">
        <v>66</v>
      </c>
      <c r="AG13" s="94" t="s">
        <v>66</v>
      </c>
      <c r="AH13" s="94" t="s">
        <v>66</v>
      </c>
      <c r="AI13" s="97"/>
      <c r="AK13" s="28">
        <f>SUM(AK11:AK12)</f>
        <v>-289.04000000000002</v>
      </c>
    </row>
    <row r="14" spans="1:38" x14ac:dyDescent="0.25">
      <c r="A14" s="96"/>
      <c r="B14" s="86" t="s">
        <v>28</v>
      </c>
      <c r="C14" s="87">
        <f t="shared" si="5"/>
        <v>-10</v>
      </c>
      <c r="D14" s="91">
        <f t="shared" si="6"/>
        <v>6.3251506967153493E-3</v>
      </c>
      <c r="E14" s="92"/>
      <c r="F14" s="92" t="s">
        <v>66</v>
      </c>
      <c r="G14" s="92" t="s">
        <v>66</v>
      </c>
      <c r="H14" s="92" t="s">
        <v>66</v>
      </c>
      <c r="I14" s="92" t="s">
        <v>66</v>
      </c>
      <c r="J14" s="92" t="s">
        <v>66</v>
      </c>
      <c r="K14" s="92">
        <v>-10</v>
      </c>
      <c r="L14" s="92" t="s">
        <v>66</v>
      </c>
      <c r="M14" s="92" t="s">
        <v>66</v>
      </c>
      <c r="N14" s="92" t="s">
        <v>66</v>
      </c>
      <c r="O14" s="92" t="s">
        <v>66</v>
      </c>
      <c r="P14" s="92" t="s">
        <v>66</v>
      </c>
      <c r="Q14" s="92" t="s">
        <v>66</v>
      </c>
      <c r="R14" s="92" t="s">
        <v>66</v>
      </c>
      <c r="S14" s="92" t="s">
        <v>66</v>
      </c>
      <c r="T14" s="92" t="s">
        <v>66</v>
      </c>
      <c r="U14" s="92" t="s">
        <v>66</v>
      </c>
      <c r="V14" s="92" t="s">
        <v>66</v>
      </c>
      <c r="W14" s="92" t="s">
        <v>66</v>
      </c>
      <c r="X14" s="92" t="s">
        <v>66</v>
      </c>
      <c r="Y14" s="92" t="s">
        <v>66</v>
      </c>
      <c r="Z14" s="92" t="s">
        <v>66</v>
      </c>
      <c r="AA14" s="92" t="s">
        <v>66</v>
      </c>
      <c r="AB14" s="92" t="s">
        <v>66</v>
      </c>
      <c r="AC14" s="92" t="s">
        <v>66</v>
      </c>
      <c r="AD14" s="92" t="s">
        <v>66</v>
      </c>
      <c r="AE14" s="92" t="s">
        <v>66</v>
      </c>
      <c r="AF14" s="92" t="s">
        <v>66</v>
      </c>
      <c r="AG14" s="92" t="s">
        <v>66</v>
      </c>
      <c r="AH14" s="92" t="s">
        <v>66</v>
      </c>
      <c r="AI14" s="97"/>
    </row>
    <row r="15" spans="1:38" x14ac:dyDescent="0.25">
      <c r="A15" s="96"/>
      <c r="B15" s="86" t="s">
        <v>29</v>
      </c>
      <c r="C15" s="87">
        <f t="shared" si="5"/>
        <v>-71.89</v>
      </c>
      <c r="D15" s="93">
        <f t="shared" si="6"/>
        <v>4.5471508358686644E-2</v>
      </c>
      <c r="E15" s="94" t="s">
        <v>66</v>
      </c>
      <c r="F15" s="94" t="s">
        <v>66</v>
      </c>
      <c r="G15" s="94" t="s">
        <v>66</v>
      </c>
      <c r="H15" s="94" t="s">
        <v>66</v>
      </c>
      <c r="I15" s="94" t="s">
        <v>66</v>
      </c>
      <c r="J15" s="94" t="s">
        <v>66</v>
      </c>
      <c r="K15" s="94" t="s">
        <v>66</v>
      </c>
      <c r="L15" s="94">
        <v>-26.9</v>
      </c>
      <c r="M15" s="94" t="s">
        <v>66</v>
      </c>
      <c r="N15" s="94" t="s">
        <v>66</v>
      </c>
      <c r="O15" s="94" t="s">
        <v>66</v>
      </c>
      <c r="P15" s="94" t="s">
        <v>66</v>
      </c>
      <c r="Q15" s="94" t="s">
        <v>66</v>
      </c>
      <c r="R15" s="94" t="s">
        <v>66</v>
      </c>
      <c r="S15" s="94" t="s">
        <v>66</v>
      </c>
      <c r="T15" s="94" t="s">
        <v>66</v>
      </c>
      <c r="U15" s="94" t="s">
        <v>66</v>
      </c>
      <c r="V15" s="94" t="s">
        <v>66</v>
      </c>
      <c r="W15" s="94" t="s">
        <v>66</v>
      </c>
      <c r="X15" s="94" t="s">
        <v>66</v>
      </c>
      <c r="Y15" s="94" t="s">
        <v>66</v>
      </c>
      <c r="Z15" s="94" t="s">
        <v>66</v>
      </c>
      <c r="AA15" s="94" t="s">
        <v>66</v>
      </c>
      <c r="AB15" s="94" t="s">
        <v>66</v>
      </c>
      <c r="AC15" s="94" t="s">
        <v>66</v>
      </c>
      <c r="AD15" s="94" t="s">
        <v>66</v>
      </c>
      <c r="AE15" s="94" t="s">
        <v>66</v>
      </c>
      <c r="AF15" s="94">
        <v>-44.99</v>
      </c>
      <c r="AG15" s="94" t="s">
        <v>66</v>
      </c>
      <c r="AH15" s="94" t="s">
        <v>66</v>
      </c>
      <c r="AI15" s="97"/>
      <c r="AK15" s="121">
        <f>-AF15</f>
        <v>44.99</v>
      </c>
    </row>
    <row r="16" spans="1:38" x14ac:dyDescent="0.25">
      <c r="A16" s="96"/>
      <c r="B16" s="86" t="s">
        <v>31</v>
      </c>
      <c r="C16" s="87">
        <f t="shared" si="5"/>
        <v>-192</v>
      </c>
      <c r="D16" s="91">
        <f t="shared" si="6"/>
        <v>0.1214428933769347</v>
      </c>
      <c r="E16" s="92" t="s">
        <v>66</v>
      </c>
      <c r="F16" s="92" t="s">
        <v>66</v>
      </c>
      <c r="G16" s="92" t="s">
        <v>66</v>
      </c>
      <c r="H16" s="92" t="s">
        <v>66</v>
      </c>
      <c r="I16" s="92">
        <v>-30</v>
      </c>
      <c r="J16" s="92" t="s">
        <v>66</v>
      </c>
      <c r="K16" s="92" t="s">
        <v>66</v>
      </c>
      <c r="L16" s="92" t="s">
        <v>66</v>
      </c>
      <c r="M16" s="92">
        <v>-30</v>
      </c>
      <c r="N16" s="92" t="s">
        <v>66</v>
      </c>
      <c r="O16" s="92" t="s">
        <v>66</v>
      </c>
      <c r="P16" s="92" t="s">
        <v>66</v>
      </c>
      <c r="Q16" s="92" t="s">
        <v>66</v>
      </c>
      <c r="R16" s="92">
        <v>-30</v>
      </c>
      <c r="S16" s="92" t="s">
        <v>66</v>
      </c>
      <c r="T16" s="92" t="s">
        <v>66</v>
      </c>
      <c r="U16" s="92" t="s">
        <v>66</v>
      </c>
      <c r="V16" s="92" t="s">
        <v>66</v>
      </c>
      <c r="W16" s="92" t="s">
        <v>66</v>
      </c>
      <c r="X16" s="92" t="s">
        <v>66</v>
      </c>
      <c r="Y16" s="92">
        <v>-50</v>
      </c>
      <c r="Z16" s="92" t="s">
        <v>66</v>
      </c>
      <c r="AA16" s="92" t="s">
        <v>66</v>
      </c>
      <c r="AB16" s="92" t="s">
        <v>66</v>
      </c>
      <c r="AC16" s="92" t="s">
        <v>66</v>
      </c>
      <c r="AD16" s="92" t="s">
        <v>66</v>
      </c>
      <c r="AE16" s="92" t="s">
        <v>66</v>
      </c>
      <c r="AF16" s="92" t="s">
        <v>66</v>
      </c>
      <c r="AG16" s="92">
        <v>-52</v>
      </c>
      <c r="AH16" s="92" t="s">
        <v>66</v>
      </c>
      <c r="AI16" s="97"/>
      <c r="AK16" s="28">
        <f>SUM(AK13:AK15)</f>
        <v>-244.05</v>
      </c>
    </row>
    <row r="17" spans="1:38" x14ac:dyDescent="0.25">
      <c r="A17" s="96"/>
      <c r="B17" s="86" t="s">
        <v>32</v>
      </c>
      <c r="C17" s="87">
        <f t="shared" si="5"/>
        <v>0</v>
      </c>
      <c r="D17" s="93">
        <f t="shared" si="6"/>
        <v>0</v>
      </c>
      <c r="E17" s="94" t="s">
        <v>66</v>
      </c>
      <c r="F17" s="94" t="s">
        <v>66</v>
      </c>
      <c r="G17" s="94" t="s">
        <v>66</v>
      </c>
      <c r="H17" s="94" t="s">
        <v>66</v>
      </c>
      <c r="I17" s="94" t="s">
        <v>66</v>
      </c>
      <c r="J17" s="94" t="s">
        <v>66</v>
      </c>
      <c r="K17" s="94" t="s">
        <v>66</v>
      </c>
      <c r="L17" s="94" t="s">
        <v>66</v>
      </c>
      <c r="M17" s="94" t="s">
        <v>66</v>
      </c>
      <c r="N17" s="94" t="s">
        <v>66</v>
      </c>
      <c r="O17" s="94" t="s">
        <v>66</v>
      </c>
      <c r="P17" s="94" t="s">
        <v>66</v>
      </c>
      <c r="Q17" s="94" t="s">
        <v>66</v>
      </c>
      <c r="R17" s="94" t="s">
        <v>66</v>
      </c>
      <c r="S17" s="94" t="s">
        <v>66</v>
      </c>
      <c r="T17" s="94" t="s">
        <v>66</v>
      </c>
      <c r="U17" s="94" t="s">
        <v>66</v>
      </c>
      <c r="V17" s="94" t="s">
        <v>66</v>
      </c>
      <c r="W17" s="94" t="s">
        <v>66</v>
      </c>
      <c r="X17" s="94" t="s">
        <v>66</v>
      </c>
      <c r="Y17" s="94" t="s">
        <v>66</v>
      </c>
      <c r="Z17" s="94" t="s">
        <v>66</v>
      </c>
      <c r="AA17" s="94" t="s">
        <v>66</v>
      </c>
      <c r="AB17" s="94" t="s">
        <v>66</v>
      </c>
      <c r="AC17" s="94" t="s">
        <v>66</v>
      </c>
      <c r="AD17" s="94" t="s">
        <v>66</v>
      </c>
      <c r="AE17" s="94" t="s">
        <v>66</v>
      </c>
      <c r="AF17" s="94" t="s">
        <v>66</v>
      </c>
      <c r="AG17" s="94" t="s">
        <v>66</v>
      </c>
      <c r="AH17" s="94" t="s">
        <v>66</v>
      </c>
      <c r="AI17" s="97"/>
    </row>
    <row r="18" spans="1:38" x14ac:dyDescent="0.25">
      <c r="A18" s="96"/>
      <c r="B18" s="86" t="s">
        <v>33</v>
      </c>
      <c r="C18" s="87">
        <f t="shared" si="5"/>
        <v>-35.950000000000003</v>
      </c>
      <c r="D18" s="91">
        <f t="shared" si="6"/>
        <v>2.2738916754691682E-2</v>
      </c>
      <c r="E18" s="92">
        <f>10-8</f>
        <v>2</v>
      </c>
      <c r="F18" s="92" t="s">
        <v>66</v>
      </c>
      <c r="G18" s="92" t="s">
        <v>66</v>
      </c>
      <c r="H18" s="92" t="s">
        <v>66</v>
      </c>
      <c r="I18" s="92" t="s">
        <v>66</v>
      </c>
      <c r="J18" s="92" t="s">
        <v>66</v>
      </c>
      <c r="K18" s="92" t="s">
        <v>66</v>
      </c>
      <c r="L18" s="92">
        <f>-7-8.31</f>
        <v>-15.31</v>
      </c>
      <c r="M18" s="92" t="s">
        <v>66</v>
      </c>
      <c r="N18" s="92" t="s">
        <v>66</v>
      </c>
      <c r="O18" s="92" t="s">
        <v>66</v>
      </c>
      <c r="P18" s="92" t="s">
        <v>66</v>
      </c>
      <c r="Q18" s="92" t="s">
        <v>66</v>
      </c>
      <c r="R18" s="92" t="s">
        <v>66</v>
      </c>
      <c r="S18" s="92" t="s">
        <v>66</v>
      </c>
      <c r="T18" s="92" t="s">
        <v>66</v>
      </c>
      <c r="U18" s="92" t="s">
        <v>66</v>
      </c>
      <c r="V18" s="92" t="s">
        <v>66</v>
      </c>
      <c r="W18" s="92" t="s">
        <v>66</v>
      </c>
      <c r="X18" s="92" t="s">
        <v>66</v>
      </c>
      <c r="Y18" s="92" t="s">
        <v>66</v>
      </c>
      <c r="Z18" s="92">
        <v>-22.64</v>
      </c>
      <c r="AA18" s="92" t="s">
        <v>66</v>
      </c>
      <c r="AB18" s="92" t="s">
        <v>66</v>
      </c>
      <c r="AC18" s="92" t="s">
        <v>66</v>
      </c>
      <c r="AD18" s="92" t="s">
        <v>66</v>
      </c>
      <c r="AE18" s="92" t="s">
        <v>66</v>
      </c>
      <c r="AF18" s="92" t="s">
        <v>66</v>
      </c>
      <c r="AG18" s="92" t="s">
        <v>66</v>
      </c>
      <c r="AH18" s="92" t="s">
        <v>66</v>
      </c>
      <c r="AI18" s="97"/>
    </row>
    <row r="19" spans="1:38" x14ac:dyDescent="0.25">
      <c r="A19" s="96"/>
      <c r="B19" s="86" t="s">
        <v>34</v>
      </c>
      <c r="C19" s="87">
        <f t="shared" si="5"/>
        <v>0</v>
      </c>
      <c r="D19" s="93">
        <f t="shared" si="6"/>
        <v>0</v>
      </c>
      <c r="E19" s="94"/>
      <c r="F19" s="94" t="s">
        <v>66</v>
      </c>
      <c r="G19" s="94" t="s">
        <v>66</v>
      </c>
      <c r="H19" s="94" t="s">
        <v>66</v>
      </c>
      <c r="I19" s="94" t="s">
        <v>66</v>
      </c>
      <c r="J19" s="94" t="s">
        <v>66</v>
      </c>
      <c r="K19" s="94" t="s">
        <v>66</v>
      </c>
      <c r="L19" s="94" t="s">
        <v>66</v>
      </c>
      <c r="M19" s="94" t="s">
        <v>66</v>
      </c>
      <c r="N19" s="94" t="s">
        <v>66</v>
      </c>
      <c r="O19" s="94" t="s">
        <v>66</v>
      </c>
      <c r="P19" s="94" t="s">
        <v>66</v>
      </c>
      <c r="Q19" s="94" t="s">
        <v>66</v>
      </c>
      <c r="R19" s="94" t="s">
        <v>66</v>
      </c>
      <c r="S19" s="94" t="s">
        <v>66</v>
      </c>
      <c r="T19" s="94" t="s">
        <v>66</v>
      </c>
      <c r="U19" s="94" t="s">
        <v>66</v>
      </c>
      <c r="V19" s="94" t="s">
        <v>66</v>
      </c>
      <c r="W19" s="94" t="s">
        <v>66</v>
      </c>
      <c r="X19" s="94" t="s">
        <v>66</v>
      </c>
      <c r="Y19" s="94" t="s">
        <v>66</v>
      </c>
      <c r="Z19" s="94" t="s">
        <v>66</v>
      </c>
      <c r="AA19" s="94" t="s">
        <v>66</v>
      </c>
      <c r="AB19" s="94" t="s">
        <v>66</v>
      </c>
      <c r="AC19" s="94" t="s">
        <v>66</v>
      </c>
      <c r="AD19" s="94" t="s">
        <v>66</v>
      </c>
      <c r="AE19" s="94" t="s">
        <v>66</v>
      </c>
      <c r="AF19" s="94" t="s">
        <v>66</v>
      </c>
      <c r="AG19" s="94" t="s">
        <v>66</v>
      </c>
      <c r="AH19" s="94" t="s">
        <v>66</v>
      </c>
      <c r="AI19" s="97"/>
      <c r="AK19" s="86"/>
      <c r="AL19" s="95"/>
    </row>
    <row r="20" spans="1:38" x14ac:dyDescent="0.25">
      <c r="A20" s="96"/>
      <c r="B20" s="86" t="s">
        <v>35</v>
      </c>
      <c r="C20" s="87">
        <f t="shared" si="5"/>
        <v>0</v>
      </c>
      <c r="D20" s="91">
        <f t="shared" si="6"/>
        <v>0</v>
      </c>
      <c r="E20" s="92" t="s">
        <v>66</v>
      </c>
      <c r="F20" s="92" t="s">
        <v>66</v>
      </c>
      <c r="G20" s="92" t="s">
        <v>66</v>
      </c>
      <c r="H20" s="92" t="s">
        <v>66</v>
      </c>
      <c r="I20" s="92" t="s">
        <v>66</v>
      </c>
      <c r="J20" s="92" t="s">
        <v>66</v>
      </c>
      <c r="K20" s="92" t="s">
        <v>66</v>
      </c>
      <c r="L20" s="92" t="s">
        <v>66</v>
      </c>
      <c r="M20" s="92" t="s">
        <v>66</v>
      </c>
      <c r="N20" s="92" t="s">
        <v>66</v>
      </c>
      <c r="O20" s="92" t="s">
        <v>66</v>
      </c>
      <c r="P20" s="92" t="s">
        <v>66</v>
      </c>
      <c r="Q20" s="92" t="s">
        <v>66</v>
      </c>
      <c r="R20" s="92" t="s">
        <v>66</v>
      </c>
      <c r="S20" s="92" t="s">
        <v>66</v>
      </c>
      <c r="T20" s="92" t="s">
        <v>66</v>
      </c>
      <c r="U20" s="92" t="s">
        <v>66</v>
      </c>
      <c r="V20" s="92" t="s">
        <v>66</v>
      </c>
      <c r="W20" s="92" t="s">
        <v>66</v>
      </c>
      <c r="X20" s="92" t="s">
        <v>66</v>
      </c>
      <c r="Y20" s="92" t="s">
        <v>66</v>
      </c>
      <c r="Z20" s="92" t="s">
        <v>66</v>
      </c>
      <c r="AA20" s="92" t="s">
        <v>66</v>
      </c>
      <c r="AB20" s="92" t="s">
        <v>66</v>
      </c>
      <c r="AC20" s="92" t="s">
        <v>66</v>
      </c>
      <c r="AD20" s="92" t="s">
        <v>66</v>
      </c>
      <c r="AE20" s="92" t="s">
        <v>66</v>
      </c>
      <c r="AF20" s="92" t="s">
        <v>66</v>
      </c>
      <c r="AG20" s="92" t="s">
        <v>66</v>
      </c>
      <c r="AH20" s="92" t="s">
        <v>66</v>
      </c>
      <c r="AI20" s="97"/>
    </row>
    <row r="21" spans="1:38" ht="15.75" customHeight="1" x14ac:dyDescent="0.25">
      <c r="A21" s="96"/>
      <c r="B21" s="86" t="s">
        <v>36</v>
      </c>
      <c r="C21" s="87">
        <f t="shared" si="5"/>
        <v>0</v>
      </c>
      <c r="D21" s="122">
        <f t="shared" si="6"/>
        <v>0</v>
      </c>
      <c r="E21" s="94" t="s">
        <v>66</v>
      </c>
      <c r="F21" s="94" t="s">
        <v>66</v>
      </c>
      <c r="G21" s="94" t="s">
        <v>66</v>
      </c>
      <c r="H21" s="94" t="s">
        <v>66</v>
      </c>
      <c r="I21" s="94" t="s">
        <v>66</v>
      </c>
      <c r="J21" s="94" t="s">
        <v>66</v>
      </c>
      <c r="K21" s="94" t="s">
        <v>66</v>
      </c>
      <c r="L21" s="94" t="s">
        <v>66</v>
      </c>
      <c r="M21" s="94" t="s">
        <v>66</v>
      </c>
      <c r="N21" s="94" t="s">
        <v>66</v>
      </c>
      <c r="O21" s="94" t="s">
        <v>66</v>
      </c>
      <c r="P21" s="94" t="s">
        <v>66</v>
      </c>
      <c r="Q21" s="94" t="s">
        <v>66</v>
      </c>
      <c r="R21" s="94" t="s">
        <v>66</v>
      </c>
      <c r="S21" s="94" t="s">
        <v>66</v>
      </c>
      <c r="T21" s="94" t="s">
        <v>66</v>
      </c>
      <c r="U21" s="94" t="s">
        <v>66</v>
      </c>
      <c r="V21" s="94" t="s">
        <v>66</v>
      </c>
      <c r="W21" s="94" t="s">
        <v>66</v>
      </c>
      <c r="X21" s="94" t="s">
        <v>66</v>
      </c>
      <c r="Y21" s="94" t="s">
        <v>66</v>
      </c>
      <c r="Z21" s="94" t="s">
        <v>66</v>
      </c>
      <c r="AA21" s="94" t="s">
        <v>66</v>
      </c>
      <c r="AB21" s="94" t="s">
        <v>66</v>
      </c>
      <c r="AC21" s="94" t="s">
        <v>66</v>
      </c>
      <c r="AD21" s="94" t="s">
        <v>66</v>
      </c>
      <c r="AE21" s="94" t="s">
        <v>66</v>
      </c>
      <c r="AF21" s="94" t="s">
        <v>66</v>
      </c>
      <c r="AG21" s="94" t="s">
        <v>66</v>
      </c>
      <c r="AH21" s="94" t="s">
        <v>66</v>
      </c>
      <c r="AI21" s="97"/>
    </row>
    <row r="22" spans="1:38" ht="15.75" customHeight="1" x14ac:dyDescent="0.25">
      <c r="A22" s="96"/>
      <c r="B22" s="86" t="s">
        <v>39</v>
      </c>
      <c r="C22" s="87">
        <f t="shared" si="5"/>
        <v>-71.88</v>
      </c>
      <c r="D22" s="123">
        <f t="shared" si="6"/>
        <v>4.546518320798993E-2</v>
      </c>
      <c r="E22" s="92" t="s">
        <v>66</v>
      </c>
      <c r="F22" s="92" t="s">
        <v>66</v>
      </c>
      <c r="G22" s="92" t="s">
        <v>66</v>
      </c>
      <c r="H22" s="92" t="s">
        <v>66</v>
      </c>
      <c r="I22" s="92" t="s">
        <v>66</v>
      </c>
      <c r="J22" s="92" t="s">
        <v>66</v>
      </c>
      <c r="K22" s="92" t="s">
        <v>66</v>
      </c>
      <c r="L22" s="92">
        <v>-15.98</v>
      </c>
      <c r="M22" s="92" t="s">
        <v>66</v>
      </c>
      <c r="N22" s="92" t="s">
        <v>66</v>
      </c>
      <c r="O22" s="92" t="s">
        <v>66</v>
      </c>
      <c r="P22" s="92" t="s">
        <v>66</v>
      </c>
      <c r="Q22" s="92" t="s">
        <v>66</v>
      </c>
      <c r="R22" s="92" t="s">
        <v>66</v>
      </c>
      <c r="S22" s="92" t="s">
        <v>66</v>
      </c>
      <c r="T22" s="92" t="s">
        <v>66</v>
      </c>
      <c r="U22" s="92" t="s">
        <v>66</v>
      </c>
      <c r="V22" s="92" t="s">
        <v>66</v>
      </c>
      <c r="W22" s="92" t="s">
        <v>66</v>
      </c>
      <c r="X22" s="92">
        <v>-16</v>
      </c>
      <c r="Y22" s="92" t="s">
        <v>66</v>
      </c>
      <c r="Z22" s="92" t="s">
        <v>66</v>
      </c>
      <c r="AA22" s="92" t="s">
        <v>66</v>
      </c>
      <c r="AB22" s="92">
        <v>-39.9</v>
      </c>
      <c r="AC22" s="92" t="s">
        <v>66</v>
      </c>
      <c r="AD22" s="92" t="s">
        <v>66</v>
      </c>
      <c r="AE22" s="92" t="s">
        <v>66</v>
      </c>
      <c r="AF22" s="92" t="s">
        <v>66</v>
      </c>
      <c r="AG22" s="92" t="s">
        <v>66</v>
      </c>
      <c r="AH22" s="92" t="s">
        <v>66</v>
      </c>
      <c r="AI22" s="97"/>
    </row>
    <row r="23" spans="1:38" ht="15.75" customHeight="1" x14ac:dyDescent="0.25">
      <c r="A23" s="96"/>
      <c r="B23" s="86" t="s">
        <v>40</v>
      </c>
      <c r="C23" s="87">
        <f t="shared" si="5"/>
        <v>-40.799999999999997</v>
      </c>
      <c r="D23" s="122">
        <f t="shared" si="6"/>
        <v>2.5806614842598621E-2</v>
      </c>
      <c r="E23" s="94" t="s">
        <v>66</v>
      </c>
      <c r="F23" s="94" t="s">
        <v>66</v>
      </c>
      <c r="G23" s="94" t="s">
        <v>66</v>
      </c>
      <c r="H23" s="94" t="s">
        <v>66</v>
      </c>
      <c r="I23" s="94" t="s">
        <v>66</v>
      </c>
      <c r="J23" s="94" t="s">
        <v>66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 t="s">
        <v>66</v>
      </c>
      <c r="R23" s="94" t="s">
        <v>66</v>
      </c>
      <c r="S23" s="94" t="s">
        <v>66</v>
      </c>
      <c r="T23" s="94" t="s">
        <v>66</v>
      </c>
      <c r="U23" s="94" t="s">
        <v>66</v>
      </c>
      <c r="V23" s="94" t="s">
        <v>66</v>
      </c>
      <c r="W23" s="94">
        <v>-40.799999999999997</v>
      </c>
      <c r="X23" s="94" t="s">
        <v>66</v>
      </c>
      <c r="Y23" s="94" t="s">
        <v>66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4" t="s">
        <v>66</v>
      </c>
      <c r="AH23" s="94" t="s">
        <v>66</v>
      </c>
      <c r="AI23" s="97"/>
    </row>
    <row r="24" spans="1:38" ht="15.75" customHeight="1" x14ac:dyDescent="0.25">
      <c r="A24" s="96"/>
      <c r="B24" s="86" t="s">
        <v>41</v>
      </c>
      <c r="C24" s="87">
        <f t="shared" si="5"/>
        <v>-79.89</v>
      </c>
      <c r="D24" s="123">
        <f t="shared" si="6"/>
        <v>5.0531628916058925E-2</v>
      </c>
      <c r="E24" s="92" t="s">
        <v>66</v>
      </c>
      <c r="F24" s="92" t="s">
        <v>66</v>
      </c>
      <c r="G24" s="92" t="s">
        <v>66</v>
      </c>
      <c r="H24" s="92" t="s">
        <v>66</v>
      </c>
      <c r="I24" s="92" t="s">
        <v>66</v>
      </c>
      <c r="J24" s="92" t="s">
        <v>66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 t="s">
        <v>66</v>
      </c>
      <c r="AB24" s="92">
        <f>-29.99</f>
        <v>-29.99</v>
      </c>
      <c r="AC24" s="92" t="s">
        <v>66</v>
      </c>
      <c r="AD24" s="92" t="s">
        <v>66</v>
      </c>
      <c r="AE24" s="92" t="s">
        <v>66</v>
      </c>
      <c r="AF24" s="92" t="s">
        <v>66</v>
      </c>
      <c r="AG24" s="92">
        <f>-49.9</f>
        <v>-49.9</v>
      </c>
      <c r="AH24" s="92" t="s">
        <v>66</v>
      </c>
      <c r="AI24" s="97"/>
    </row>
    <row r="25" spans="1:38" ht="15.75" customHeight="1" x14ac:dyDescent="0.25">
      <c r="A25" s="96"/>
      <c r="B25" s="86" t="s">
        <v>72</v>
      </c>
      <c r="C25" s="87">
        <f t="shared" si="5"/>
        <v>-600</v>
      </c>
      <c r="D25" s="122">
        <f t="shared" si="6"/>
        <v>0.37950904180292094</v>
      </c>
      <c r="E25" s="94" t="s">
        <v>66</v>
      </c>
      <c r="F25" s="94" t="s">
        <v>66</v>
      </c>
      <c r="G25" s="94" t="s">
        <v>66</v>
      </c>
      <c r="H25" s="94" t="s">
        <v>66</v>
      </c>
      <c r="I25" s="94" t="s">
        <v>66</v>
      </c>
      <c r="J25" s="94" t="s">
        <v>66</v>
      </c>
      <c r="K25" s="94" t="s">
        <v>66</v>
      </c>
      <c r="L25" s="94" t="s">
        <v>66</v>
      </c>
      <c r="M25" s="94" t="s">
        <v>66</v>
      </c>
      <c r="N25" s="94" t="s">
        <v>66</v>
      </c>
      <c r="O25" s="94" t="s">
        <v>66</v>
      </c>
      <c r="P25" s="94" t="s">
        <v>66</v>
      </c>
      <c r="Q25" s="94" t="s">
        <v>66</v>
      </c>
      <c r="R25" s="94" t="s">
        <v>66</v>
      </c>
      <c r="S25" s="94" t="s">
        <v>66</v>
      </c>
      <c r="T25" s="94" t="s">
        <v>66</v>
      </c>
      <c r="U25" s="94" t="s">
        <v>66</v>
      </c>
      <c r="V25" s="94" t="s">
        <v>66</v>
      </c>
      <c r="W25" s="94" t="s">
        <v>66</v>
      </c>
      <c r="X25" s="94">
        <v>-600</v>
      </c>
      <c r="Y25" s="94" t="s">
        <v>66</v>
      </c>
      <c r="Z25" s="94" t="s">
        <v>66</v>
      </c>
      <c r="AA25" s="94" t="s">
        <v>66</v>
      </c>
      <c r="AB25" s="94" t="s">
        <v>66</v>
      </c>
      <c r="AC25" s="94" t="s">
        <v>66</v>
      </c>
      <c r="AD25" s="94" t="s">
        <v>66</v>
      </c>
      <c r="AE25" s="94" t="s">
        <v>66</v>
      </c>
      <c r="AF25" s="94" t="s">
        <v>66</v>
      </c>
      <c r="AG25" s="94" t="s">
        <v>66</v>
      </c>
      <c r="AH25" s="94" t="s">
        <v>66</v>
      </c>
      <c r="AI25" s="97"/>
    </row>
    <row r="26" spans="1:38" ht="15.75" customHeight="1" x14ac:dyDescent="0.25">
      <c r="A26" s="96"/>
      <c r="B26" s="86" t="s">
        <v>42</v>
      </c>
      <c r="C26" s="98">
        <f t="shared" si="5"/>
        <v>-13.5</v>
      </c>
      <c r="D26" s="123">
        <f t="shared" si="6"/>
        <v>8.5389534405657212E-3</v>
      </c>
      <c r="E26" s="92" t="s">
        <v>66</v>
      </c>
      <c r="F26" s="92" t="s">
        <v>66</v>
      </c>
      <c r="G26" s="92" t="s">
        <v>66</v>
      </c>
      <c r="H26" s="92" t="s">
        <v>66</v>
      </c>
      <c r="I26" s="92" t="s">
        <v>66</v>
      </c>
      <c r="J26" s="92" t="s">
        <v>66</v>
      </c>
      <c r="K26" s="92" t="s">
        <v>66</v>
      </c>
      <c r="L26" s="92" t="s">
        <v>66</v>
      </c>
      <c r="M26" s="92" t="s">
        <v>66</v>
      </c>
      <c r="N26" s="92" t="s">
        <v>66</v>
      </c>
      <c r="O26" s="92" t="s">
        <v>66</v>
      </c>
      <c r="P26" s="92" t="s">
        <v>66</v>
      </c>
      <c r="Q26" s="92" t="s">
        <v>66</v>
      </c>
      <c r="R26" s="92" t="s">
        <v>66</v>
      </c>
      <c r="S26" s="92" t="s">
        <v>66</v>
      </c>
      <c r="T26" s="92" t="s">
        <v>66</v>
      </c>
      <c r="U26" s="92" t="s">
        <v>66</v>
      </c>
      <c r="V26" s="92" t="s">
        <v>66</v>
      </c>
      <c r="W26" s="92" t="s">
        <v>66</v>
      </c>
      <c r="X26" s="92" t="s">
        <v>66</v>
      </c>
      <c r="Y26" s="92" t="s">
        <v>66</v>
      </c>
      <c r="Z26" s="92" t="s">
        <v>66</v>
      </c>
      <c r="AA26" s="92" t="s">
        <v>66</v>
      </c>
      <c r="AB26" s="92" t="s">
        <v>66</v>
      </c>
      <c r="AC26" s="92">
        <v>-13.5</v>
      </c>
      <c r="AD26" s="92" t="s">
        <v>66</v>
      </c>
      <c r="AE26" s="92" t="s">
        <v>66</v>
      </c>
      <c r="AF26" s="92" t="s">
        <v>66</v>
      </c>
      <c r="AG26" s="92" t="s">
        <v>66</v>
      </c>
      <c r="AH26" s="92" t="s">
        <v>66</v>
      </c>
      <c r="AI26" s="97"/>
    </row>
    <row r="27" spans="1:38" ht="15.75" customHeight="1" x14ac:dyDescent="0.25">
      <c r="A27" s="96"/>
      <c r="B27" s="99" t="s">
        <v>44</v>
      </c>
      <c r="C27" s="124">
        <f t="shared" si="5"/>
        <v>1027.56</v>
      </c>
      <c r="D27" s="125"/>
      <c r="E27" s="126"/>
      <c r="F27" s="126"/>
      <c r="G27" s="126"/>
      <c r="H27" s="126"/>
      <c r="I27" s="126"/>
      <c r="J27" s="126"/>
      <c r="K27" s="126"/>
      <c r="L27" s="126"/>
      <c r="M27" s="126"/>
      <c r="N27" s="126">
        <v>527.55999999999995</v>
      </c>
      <c r="O27" s="126"/>
      <c r="P27" s="126"/>
      <c r="Q27" s="126"/>
      <c r="R27" s="126"/>
      <c r="S27" s="126"/>
      <c r="T27" s="126"/>
      <c r="U27" s="126"/>
      <c r="V27" s="126"/>
      <c r="W27" s="126"/>
      <c r="X27" s="126">
        <v>400</v>
      </c>
      <c r="Y27" s="126"/>
      <c r="Z27" s="126"/>
      <c r="AA27" s="126"/>
      <c r="AB27" s="126"/>
      <c r="AC27" s="126"/>
      <c r="AD27" s="126"/>
      <c r="AE27" s="126">
        <v>100</v>
      </c>
      <c r="AF27" s="126"/>
      <c r="AG27" s="126"/>
      <c r="AH27" s="126"/>
      <c r="AI27" s="97"/>
    </row>
    <row r="28" spans="1:38" ht="15.75" customHeight="1" x14ac:dyDescent="0.25">
      <c r="A28" s="96"/>
      <c r="B28" s="83"/>
      <c r="C28" s="12"/>
      <c r="D28" s="106"/>
      <c r="E28" s="107">
        <f t="shared" ref="E28:AF28" si="7">E5</f>
        <v>43344</v>
      </c>
      <c r="F28" s="107">
        <f t="shared" si="7"/>
        <v>43345</v>
      </c>
      <c r="G28" s="107">
        <f t="shared" si="7"/>
        <v>43346</v>
      </c>
      <c r="H28" s="107">
        <f t="shared" si="7"/>
        <v>43347</v>
      </c>
      <c r="I28" s="107">
        <f t="shared" si="7"/>
        <v>43348</v>
      </c>
      <c r="J28" s="107">
        <f t="shared" si="7"/>
        <v>43349</v>
      </c>
      <c r="K28" s="107">
        <f t="shared" si="7"/>
        <v>43350</v>
      </c>
      <c r="L28" s="107">
        <f t="shared" si="7"/>
        <v>43351</v>
      </c>
      <c r="M28" s="107">
        <f t="shared" si="7"/>
        <v>43352</v>
      </c>
      <c r="N28" s="107">
        <f t="shared" si="7"/>
        <v>43353</v>
      </c>
      <c r="O28" s="107">
        <f t="shared" si="7"/>
        <v>43354</v>
      </c>
      <c r="P28" s="107">
        <f t="shared" si="7"/>
        <v>43355</v>
      </c>
      <c r="Q28" s="107">
        <f t="shared" si="7"/>
        <v>43356</v>
      </c>
      <c r="R28" s="107">
        <f t="shared" si="7"/>
        <v>43357</v>
      </c>
      <c r="S28" s="107">
        <f t="shared" si="7"/>
        <v>43358</v>
      </c>
      <c r="T28" s="107">
        <f t="shared" si="7"/>
        <v>43359</v>
      </c>
      <c r="U28" s="107">
        <f t="shared" si="7"/>
        <v>43360</v>
      </c>
      <c r="V28" s="107">
        <f t="shared" si="7"/>
        <v>43361</v>
      </c>
      <c r="W28" s="107">
        <f t="shared" si="7"/>
        <v>43362</v>
      </c>
      <c r="X28" s="107">
        <f t="shared" si="7"/>
        <v>43363</v>
      </c>
      <c r="Y28" s="107">
        <f t="shared" si="7"/>
        <v>43364</v>
      </c>
      <c r="Z28" s="107">
        <f t="shared" si="7"/>
        <v>43365</v>
      </c>
      <c r="AA28" s="107">
        <f t="shared" si="7"/>
        <v>43366</v>
      </c>
      <c r="AB28" s="107">
        <f t="shared" si="7"/>
        <v>43367</v>
      </c>
      <c r="AC28" s="107">
        <f t="shared" si="7"/>
        <v>43368</v>
      </c>
      <c r="AD28" s="107">
        <f t="shared" si="7"/>
        <v>43369</v>
      </c>
      <c r="AE28" s="107">
        <f t="shared" si="7"/>
        <v>43370</v>
      </c>
      <c r="AF28" s="107">
        <f t="shared" si="7"/>
        <v>43371</v>
      </c>
      <c r="AG28" s="107" t="e">
        <f>soma</f>
        <v>#NAME?</v>
      </c>
      <c r="AH28" s="107">
        <f>AH5</f>
        <v>43373</v>
      </c>
      <c r="AI28" s="97"/>
    </row>
    <row r="29" spans="1:38" ht="15.75" customHeight="1" x14ac:dyDescent="0.25">
      <c r="A29" s="96"/>
      <c r="B29" s="110" t="s">
        <v>84</v>
      </c>
      <c r="C29" s="58"/>
      <c r="D29" s="66"/>
      <c r="E29" s="112">
        <f t="shared" ref="E29:AH29" si="8">SUM($E$6:E6)</f>
        <v>-40.1</v>
      </c>
      <c r="F29" s="112">
        <f t="shared" si="8"/>
        <v>-40.1</v>
      </c>
      <c r="G29" s="112">
        <f t="shared" si="8"/>
        <v>-59.64</v>
      </c>
      <c r="H29" s="112">
        <f t="shared" si="8"/>
        <v>-189.64</v>
      </c>
      <c r="I29" s="112">
        <f t="shared" si="8"/>
        <v>-219.64</v>
      </c>
      <c r="J29" s="112">
        <f t="shared" si="8"/>
        <v>-219.64</v>
      </c>
      <c r="K29" s="112">
        <f t="shared" si="8"/>
        <v>-245.14</v>
      </c>
      <c r="L29" s="112">
        <f t="shared" si="8"/>
        <v>-326.13</v>
      </c>
      <c r="M29" s="112">
        <f t="shared" si="8"/>
        <v>-362.63</v>
      </c>
      <c r="N29" s="112">
        <f t="shared" si="8"/>
        <v>-371.7</v>
      </c>
      <c r="O29" s="112">
        <f t="shared" si="8"/>
        <v>-421.7</v>
      </c>
      <c r="P29" s="112">
        <f t="shared" si="8"/>
        <v>-422.7</v>
      </c>
      <c r="Q29" s="112">
        <f t="shared" si="8"/>
        <v>-450.73</v>
      </c>
      <c r="R29" s="112">
        <f t="shared" si="8"/>
        <v>-504.23</v>
      </c>
      <c r="S29" s="112">
        <f t="shared" si="8"/>
        <v>-524.23</v>
      </c>
      <c r="T29" s="112">
        <f t="shared" si="8"/>
        <v>-524.23</v>
      </c>
      <c r="U29" s="112">
        <f t="shared" si="8"/>
        <v>-536.20000000000005</v>
      </c>
      <c r="V29" s="112">
        <f t="shared" si="8"/>
        <v>-538.70000000000005</v>
      </c>
      <c r="W29" s="112">
        <f t="shared" si="8"/>
        <v>-580.5</v>
      </c>
      <c r="X29" s="112">
        <f t="shared" si="8"/>
        <v>-1202.3</v>
      </c>
      <c r="Y29" s="112">
        <f t="shared" si="8"/>
        <v>-1254.8</v>
      </c>
      <c r="Z29" s="112">
        <f t="shared" si="8"/>
        <v>-1293.24</v>
      </c>
      <c r="AA29" s="112">
        <f t="shared" si="8"/>
        <v>-1293.24</v>
      </c>
      <c r="AB29" s="112">
        <f t="shared" si="8"/>
        <v>-1375.2</v>
      </c>
      <c r="AC29" s="112">
        <f t="shared" si="8"/>
        <v>-1388.7</v>
      </c>
      <c r="AD29" s="112">
        <f t="shared" si="8"/>
        <v>-1389.7</v>
      </c>
      <c r="AE29" s="112">
        <f t="shared" si="8"/>
        <v>-1400.5</v>
      </c>
      <c r="AF29" s="112">
        <f t="shared" si="8"/>
        <v>-1450.99</v>
      </c>
      <c r="AG29" s="112">
        <f t="shared" si="8"/>
        <v>-1580.99</v>
      </c>
      <c r="AH29" s="112">
        <f t="shared" si="8"/>
        <v>-1580.99</v>
      </c>
      <c r="AI29" s="97"/>
    </row>
    <row r="30" spans="1:38" ht="15.75" customHeight="1" x14ac:dyDescent="0.25">
      <c r="A30" s="96"/>
      <c r="B30" s="99" t="s">
        <v>69</v>
      </c>
      <c r="C30" s="44"/>
      <c r="D30" s="115">
        <f>'Ago2018'!AI31</f>
        <v>1807.3399999999997</v>
      </c>
      <c r="E30" s="73">
        <f t="shared" ref="E30:AH30" si="9">D36+E6+E27</f>
        <v>1767.2399999999998</v>
      </c>
      <c r="F30" s="73">
        <f t="shared" si="9"/>
        <v>1767.2399999999998</v>
      </c>
      <c r="G30" s="73">
        <f t="shared" si="9"/>
        <v>1747.6999999999998</v>
      </c>
      <c r="H30" s="73">
        <f t="shared" si="9"/>
        <v>1617.6999999999998</v>
      </c>
      <c r="I30" s="73">
        <f t="shared" si="9"/>
        <v>1587.6999999999998</v>
      </c>
      <c r="J30" s="73">
        <f t="shared" si="9"/>
        <v>1587.6999999999998</v>
      </c>
      <c r="K30" s="73">
        <f t="shared" si="9"/>
        <v>1562.1999999999998</v>
      </c>
      <c r="L30" s="73">
        <f t="shared" si="9"/>
        <v>1481.2099999999998</v>
      </c>
      <c r="M30" s="73">
        <f t="shared" si="9"/>
        <v>1444.7099999999998</v>
      </c>
      <c r="N30" s="73">
        <f t="shared" si="9"/>
        <v>1963.1999999999998</v>
      </c>
      <c r="O30" s="73">
        <f t="shared" si="9"/>
        <v>1913.1999999999998</v>
      </c>
      <c r="P30" s="73">
        <f t="shared" si="9"/>
        <v>1912.1999999999998</v>
      </c>
      <c r="Q30" s="73">
        <f t="shared" si="9"/>
        <v>1884.1699999999998</v>
      </c>
      <c r="R30" s="73">
        <f t="shared" si="9"/>
        <v>1830.6699999999998</v>
      </c>
      <c r="S30" s="73">
        <f t="shared" si="9"/>
        <v>1810.6699999999998</v>
      </c>
      <c r="T30" s="73">
        <f t="shared" si="9"/>
        <v>1810.6699999999998</v>
      </c>
      <c r="U30" s="73">
        <f t="shared" si="9"/>
        <v>1798.6999999999998</v>
      </c>
      <c r="V30" s="73">
        <f t="shared" si="9"/>
        <v>1796.1999999999998</v>
      </c>
      <c r="W30" s="73">
        <f t="shared" si="9"/>
        <v>1754.3999999999999</v>
      </c>
      <c r="X30" s="73">
        <f t="shared" si="9"/>
        <v>1532.6</v>
      </c>
      <c r="Y30" s="73">
        <f t="shared" si="9"/>
        <v>1480.1</v>
      </c>
      <c r="Z30" s="73">
        <f t="shared" si="9"/>
        <v>1441.6599999999999</v>
      </c>
      <c r="AA30" s="73">
        <f t="shared" si="9"/>
        <v>1441.6599999999999</v>
      </c>
      <c r="AB30" s="73">
        <f t="shared" si="9"/>
        <v>1359.6999999999998</v>
      </c>
      <c r="AC30" s="73">
        <f t="shared" si="9"/>
        <v>1346.1999999999998</v>
      </c>
      <c r="AD30" s="73">
        <f t="shared" si="9"/>
        <v>1345.1999999999998</v>
      </c>
      <c r="AE30" s="73">
        <f t="shared" si="9"/>
        <v>1434.3999999999999</v>
      </c>
      <c r="AF30" s="73">
        <f t="shared" si="9"/>
        <v>1383.9099999999999</v>
      </c>
      <c r="AG30" s="73">
        <f t="shared" si="9"/>
        <v>1253.9099999999999</v>
      </c>
      <c r="AH30" s="73">
        <f t="shared" si="9"/>
        <v>1253.9099999999999</v>
      </c>
      <c r="AI30" s="97"/>
    </row>
    <row r="31" spans="1:38" ht="15.75" customHeight="1" x14ac:dyDescent="0.25">
      <c r="A31" s="96"/>
      <c r="B31" s="83" t="s">
        <v>61</v>
      </c>
      <c r="C31" s="12"/>
      <c r="D31" s="12"/>
      <c r="E31" s="1"/>
      <c r="F31" s="1"/>
      <c r="G31" s="1"/>
      <c r="H31" s="1"/>
      <c r="I31" s="1"/>
      <c r="J31" s="1">
        <v>70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97"/>
    </row>
    <row r="32" spans="1:38" ht="15.75" customHeight="1" x14ac:dyDescent="0.25">
      <c r="A32" s="96"/>
      <c r="B32" s="83" t="s">
        <v>70</v>
      </c>
      <c r="C32" s="12"/>
      <c r="D32" s="12"/>
      <c r="E32" s="1"/>
      <c r="F32" s="1"/>
      <c r="G32" s="1"/>
      <c r="H32" s="1"/>
      <c r="I32" s="1"/>
      <c r="J32" s="1">
        <v>528.58000000000004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97"/>
    </row>
    <row r="33" spans="1:35" ht="15.75" customHeight="1" x14ac:dyDescent="0.25">
      <c r="A33" s="96"/>
      <c r="B33" s="83" t="s">
        <v>71</v>
      </c>
      <c r="C33" s="12"/>
      <c r="D33" s="12"/>
      <c r="E33" s="1"/>
      <c r="F33" s="1"/>
      <c r="G33" s="1"/>
      <c r="H33" s="1"/>
      <c r="I33" s="1"/>
      <c r="J33" s="1">
        <v>747.15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97"/>
    </row>
    <row r="34" spans="1:35" ht="15.75" customHeight="1" x14ac:dyDescent="0.25">
      <c r="A34" s="96"/>
      <c r="B34" s="83" t="s">
        <v>73</v>
      </c>
      <c r="C34" s="12"/>
      <c r="D34" s="12"/>
      <c r="E34" s="1"/>
      <c r="F34" s="1"/>
      <c r="G34" s="1"/>
      <c r="H34" s="1"/>
      <c r="I34" s="1"/>
      <c r="J34" s="1">
        <v>400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97"/>
    </row>
    <row r="35" spans="1:35" ht="15.75" customHeight="1" x14ac:dyDescent="0.25">
      <c r="A35" s="96"/>
      <c r="B35" s="116" t="s">
        <v>63</v>
      </c>
      <c r="C35" s="68"/>
      <c r="D35" s="68"/>
      <c r="E35" s="44"/>
      <c r="F35" s="44"/>
      <c r="G35" s="44"/>
      <c r="H35" s="44"/>
      <c r="I35" s="44"/>
      <c r="J35" s="44">
        <v>879.11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97"/>
    </row>
    <row r="36" spans="1:35" ht="15.75" customHeight="1" x14ac:dyDescent="0.25">
      <c r="A36" s="96"/>
      <c r="B36" s="86" t="s">
        <v>80</v>
      </c>
      <c r="C36" s="12"/>
      <c r="D36" s="50">
        <f t="shared" ref="D36:AH36" si="10">D30</f>
        <v>1807.3399999999997</v>
      </c>
      <c r="E36" s="50">
        <f t="shared" si="10"/>
        <v>1767.2399999999998</v>
      </c>
      <c r="F36" s="50">
        <f t="shared" si="10"/>
        <v>1767.2399999999998</v>
      </c>
      <c r="G36" s="50">
        <f t="shared" si="10"/>
        <v>1747.6999999999998</v>
      </c>
      <c r="H36" s="50">
        <f t="shared" si="10"/>
        <v>1617.6999999999998</v>
      </c>
      <c r="I36" s="50">
        <f t="shared" si="10"/>
        <v>1587.6999999999998</v>
      </c>
      <c r="J36" s="50">
        <f t="shared" si="10"/>
        <v>1587.6999999999998</v>
      </c>
      <c r="K36" s="50">
        <f t="shared" si="10"/>
        <v>1562.1999999999998</v>
      </c>
      <c r="L36" s="50">
        <f t="shared" si="10"/>
        <v>1481.2099999999998</v>
      </c>
      <c r="M36" s="50">
        <f t="shared" si="10"/>
        <v>1444.7099999999998</v>
      </c>
      <c r="N36" s="50">
        <f t="shared" si="10"/>
        <v>1963.1999999999998</v>
      </c>
      <c r="O36" s="50">
        <f t="shared" si="10"/>
        <v>1913.1999999999998</v>
      </c>
      <c r="P36" s="50">
        <f t="shared" si="10"/>
        <v>1912.1999999999998</v>
      </c>
      <c r="Q36" s="50">
        <f t="shared" si="10"/>
        <v>1884.1699999999998</v>
      </c>
      <c r="R36" s="50">
        <f t="shared" si="10"/>
        <v>1830.6699999999998</v>
      </c>
      <c r="S36" s="50">
        <f t="shared" si="10"/>
        <v>1810.6699999999998</v>
      </c>
      <c r="T36" s="50">
        <f t="shared" si="10"/>
        <v>1810.6699999999998</v>
      </c>
      <c r="U36" s="50">
        <f t="shared" si="10"/>
        <v>1798.6999999999998</v>
      </c>
      <c r="V36" s="50">
        <f t="shared" si="10"/>
        <v>1796.1999999999998</v>
      </c>
      <c r="W36" s="50">
        <f t="shared" si="10"/>
        <v>1754.3999999999999</v>
      </c>
      <c r="X36" s="50">
        <f t="shared" si="10"/>
        <v>1532.6</v>
      </c>
      <c r="Y36" s="50">
        <f t="shared" si="10"/>
        <v>1480.1</v>
      </c>
      <c r="Z36" s="50">
        <f t="shared" si="10"/>
        <v>1441.6599999999999</v>
      </c>
      <c r="AA36" s="73">
        <f t="shared" si="10"/>
        <v>1441.6599999999999</v>
      </c>
      <c r="AB36" s="50">
        <f t="shared" si="10"/>
        <v>1359.6999999999998</v>
      </c>
      <c r="AC36" s="50">
        <f t="shared" si="10"/>
        <v>1346.1999999999998</v>
      </c>
      <c r="AD36" s="50">
        <f t="shared" si="10"/>
        <v>1345.1999999999998</v>
      </c>
      <c r="AE36" s="50">
        <f t="shared" si="10"/>
        <v>1434.3999999999999</v>
      </c>
      <c r="AF36" s="50">
        <f t="shared" si="10"/>
        <v>1383.9099999999999</v>
      </c>
      <c r="AG36" s="50">
        <f t="shared" si="10"/>
        <v>1253.9099999999999</v>
      </c>
      <c r="AH36" s="50">
        <f t="shared" si="10"/>
        <v>1253.9099999999999</v>
      </c>
      <c r="AI36" s="97"/>
    </row>
    <row r="37" spans="1:35" ht="15.75" customHeight="1" x14ac:dyDescent="0.25">
      <c r="A37" s="96"/>
      <c r="B37" s="117" t="s">
        <v>74</v>
      </c>
      <c r="C37" s="70"/>
      <c r="D37" s="70"/>
      <c r="E37" s="69"/>
      <c r="F37" s="69"/>
      <c r="G37" s="69"/>
      <c r="H37" s="69"/>
      <c r="I37" s="69"/>
      <c r="J37" s="69">
        <f>J31-J32+J33+J34+J35</f>
        <v>1567.6799999999998</v>
      </c>
      <c r="K37" s="69"/>
      <c r="L37" s="69"/>
      <c r="M37" s="69"/>
      <c r="N37" s="69"/>
      <c r="O37" s="69"/>
      <c r="P37" s="71"/>
      <c r="Q37" s="71"/>
      <c r="R37" s="71"/>
      <c r="S37" s="71"/>
      <c r="T37" s="71"/>
      <c r="U37" s="69"/>
      <c r="V37" s="71"/>
      <c r="W37" s="71"/>
      <c r="X37" s="71"/>
      <c r="Y37" s="71"/>
      <c r="Z37" s="71"/>
      <c r="AA37" s="1"/>
      <c r="AB37" s="71"/>
      <c r="AC37" s="71"/>
      <c r="AD37" s="71"/>
      <c r="AE37" s="71"/>
      <c r="AF37" s="71"/>
      <c r="AG37" s="71"/>
      <c r="AH37" s="69"/>
      <c r="AI37" s="97"/>
    </row>
    <row r="38" spans="1:35" ht="9" customHeight="1" x14ac:dyDescent="0.25">
      <c r="A38" s="96"/>
      <c r="B38" s="97"/>
      <c r="C38" s="127"/>
      <c r="D38" s="12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6"/>
    </row>
    <row r="39" spans="1:35" ht="15.7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5" ht="15.75" customHeight="1" x14ac:dyDescent="0.25">
      <c r="D40" s="1"/>
      <c r="K40" s="5"/>
      <c r="L40" s="5"/>
      <c r="Q40" s="5"/>
      <c r="R40" s="128"/>
      <c r="S40" s="5"/>
      <c r="T40" s="5"/>
      <c r="U40" s="5"/>
      <c r="V40" s="5"/>
      <c r="W40" s="5"/>
      <c r="X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5" ht="15.75" customHeight="1" x14ac:dyDescent="0.25">
      <c r="D41" s="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5" ht="15.75" customHeight="1" x14ac:dyDescent="0.25">
      <c r="D42" s="1"/>
      <c r="E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5" ht="15.75" customHeight="1" x14ac:dyDescent="0.25"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</row>
    <row r="44" spans="1:35" ht="15.75" customHeight="1" x14ac:dyDescent="0.25"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</row>
    <row r="45" spans="1:35" ht="15.75" customHeight="1" x14ac:dyDescent="0.25"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5" ht="15.75" customHeight="1" x14ac:dyDescent="0.25">
      <c r="I46" s="1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</row>
    <row r="47" spans="1:35" ht="15.75" customHeight="1" x14ac:dyDescent="0.25"/>
    <row r="48" spans="1:35" ht="15.75" customHeight="1" x14ac:dyDescent="0.25"/>
    <row r="49" spans="2:34" ht="15.7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2:34" ht="15.7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2:34" ht="15.7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2:34" ht="15.7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2:34" ht="15.7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2:34" ht="15.7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2:34" ht="15.7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2:34" ht="15.7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2:34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2:34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2:34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2:34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2:34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2:34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2:34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2:34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2:34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2:34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2:34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2:34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2:34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2:34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2:34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2:34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2:34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2:34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2:34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2:34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2:34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2:34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2:34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2:34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2:34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2:34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2:34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2:34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2:34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2:34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2:34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2:34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2:34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2:34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2:34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2:34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2:34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2:34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2:34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2:34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2:34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2:34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2:34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2:34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2:34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2:34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2:34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2:34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2:34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2:34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2:34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2:34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2:34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2:34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2:34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2:34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2:34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2:34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2:34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2:34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2:34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2:34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2:34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2:34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2:34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2:34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2:34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2:34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2:34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2:34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2:34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2:34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2:34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2:34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2:34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2:34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2:34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2:34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2:34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2:34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2:34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2:34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2:34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2:34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2:34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2:34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2:34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2:34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2:34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2:34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2:34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2:34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2:34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2:34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2:34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2:34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2:34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2:34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2:34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2:34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2:34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2:34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2:34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2:34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2:34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2:34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2:34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2:34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2:34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2:34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2:34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2:34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2:34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2:34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2:34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2:34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2:34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2:34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2:34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2:34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2:34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2:34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2:34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2:34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2:34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2:34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2:34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2:34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2:34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2:34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2:34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2:34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2:34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2:34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2:34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2:34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2:34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2:34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2:34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2:34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2:34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2:34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2:34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2:34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2:34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2:34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2:34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2:34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2:34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2:34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2:34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2:34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2:34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2:34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2:34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2:34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2:34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2:34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2:34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2:34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2:34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2:34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2:34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2:34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2:34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2:34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2:34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2:34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2:34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2:34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2:34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2:34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2:34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2:34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2:34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2:34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2:34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2:34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2:34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2:34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2:34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2:34" ht="15.75" customHeight="1" x14ac:dyDescent="0.25"/>
    <row r="239" spans="2:34" ht="15.75" customHeight="1" x14ac:dyDescent="0.25"/>
    <row r="240" spans="2:3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4">
    <cfRule type="cellIs" dxfId="150" priority="1" operator="lessThan">
      <formula>0</formula>
    </cfRule>
  </conditionalFormatting>
  <conditionalFormatting sqref="C4">
    <cfRule type="cellIs" dxfId="149" priority="2" operator="greaterThan">
      <formula>0</formula>
    </cfRule>
  </conditionalFormatting>
  <conditionalFormatting sqref="C4">
    <cfRule type="cellIs" dxfId="148" priority="3" operator="lessThan">
      <formula>0</formula>
    </cfRule>
  </conditionalFormatting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1001"/>
  <sheetViews>
    <sheetView showGridLines="0" workbookViewId="0">
      <selection activeCell="D25" sqref="D25"/>
    </sheetView>
  </sheetViews>
  <sheetFormatPr defaultColWidth="14.42578125" defaultRowHeight="15" customHeight="1" x14ac:dyDescent="0.25"/>
  <cols>
    <col min="1" max="1" width="1.7109375" customWidth="1"/>
    <col min="2" max="2" width="18.85546875" customWidth="1"/>
    <col min="3" max="3" width="10.140625" customWidth="1"/>
    <col min="4" max="4" width="7.140625" customWidth="1"/>
    <col min="5" max="5" width="7.42578125" customWidth="1"/>
    <col min="6" max="6" width="8.140625" customWidth="1"/>
    <col min="7" max="8" width="7.42578125" customWidth="1"/>
    <col min="9" max="9" width="8.7109375" customWidth="1"/>
    <col min="10" max="14" width="8.5703125" customWidth="1"/>
    <col min="15" max="15" width="8.7109375" customWidth="1"/>
    <col min="16" max="21" width="8.5703125" customWidth="1"/>
    <col min="22" max="22" width="8.7109375" customWidth="1"/>
    <col min="23" max="34" width="10.140625" customWidth="1"/>
    <col min="35" max="35" width="12.42578125" customWidth="1"/>
    <col min="36" max="36" width="3" customWidth="1"/>
    <col min="38" max="38" width="20.85546875" customWidth="1"/>
  </cols>
  <sheetData>
    <row r="1" spans="1:39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</row>
    <row r="2" spans="1:39" x14ac:dyDescent="0.25">
      <c r="A2" s="96"/>
      <c r="B2" s="74" t="s">
        <v>45</v>
      </c>
      <c r="C2" s="75">
        <f>SUM(C7:C27)</f>
        <v>-1694.54</v>
      </c>
      <c r="D2" s="12"/>
      <c r="E2" s="48">
        <f t="shared" ref="E2:AI2" si="0">E6/$C$2</f>
        <v>9.1824329906641331E-3</v>
      </c>
      <c r="F2" s="48">
        <f t="shared" si="0"/>
        <v>2.655587947171504E-3</v>
      </c>
      <c r="G2" s="48">
        <f t="shared" si="0"/>
        <v>1.1802613098540016E-2</v>
      </c>
      <c r="H2" s="48">
        <f t="shared" si="0"/>
        <v>4.6974400132189266E-3</v>
      </c>
      <c r="I2" s="48">
        <f t="shared" si="0"/>
        <v>2.9347197469519751E-2</v>
      </c>
      <c r="J2" s="48">
        <f t="shared" si="0"/>
        <v>5.8422934837773083E-3</v>
      </c>
      <c r="K2" s="48">
        <f t="shared" si="0"/>
        <v>0</v>
      </c>
      <c r="L2" s="48">
        <f t="shared" si="0"/>
        <v>1.5874514617536323E-2</v>
      </c>
      <c r="M2" s="48">
        <f t="shared" si="0"/>
        <v>9.7914478265487978E-2</v>
      </c>
      <c r="N2" s="48">
        <f t="shared" si="0"/>
        <v>9.117518618622162E-3</v>
      </c>
      <c r="O2" s="48">
        <f t="shared" si="0"/>
        <v>4.1309145844890061E-3</v>
      </c>
      <c r="P2" s="48">
        <f t="shared" si="0"/>
        <v>1.0327286461222515E-2</v>
      </c>
      <c r="Q2" s="48">
        <f t="shared" si="0"/>
        <v>4.2495308461293332E-2</v>
      </c>
      <c r="R2" s="48">
        <f t="shared" si="0"/>
        <v>1.2268816315932346E-2</v>
      </c>
      <c r="S2" s="48">
        <f t="shared" si="0"/>
        <v>0</v>
      </c>
      <c r="T2" s="48">
        <f t="shared" si="0"/>
        <v>0</v>
      </c>
      <c r="U2" s="48">
        <f t="shared" si="0"/>
        <v>0</v>
      </c>
      <c r="V2" s="48">
        <f t="shared" si="0"/>
        <v>3.2398172955492347E-3</v>
      </c>
      <c r="W2" s="48">
        <f t="shared" si="0"/>
        <v>0.35938956885054352</v>
      </c>
      <c r="X2" s="48">
        <f t="shared" si="0"/>
        <v>0.12676006467831979</v>
      </c>
      <c r="Y2" s="48">
        <f t="shared" si="0"/>
        <v>1.3673327274658611E-2</v>
      </c>
      <c r="Z2" s="48">
        <f t="shared" si="0"/>
        <v>0</v>
      </c>
      <c r="AA2" s="48">
        <f t="shared" si="0"/>
        <v>0</v>
      </c>
      <c r="AB2" s="48">
        <f t="shared" si="0"/>
        <v>0</v>
      </c>
      <c r="AC2" s="48">
        <f t="shared" si="0"/>
        <v>1.8825167892171327E-2</v>
      </c>
      <c r="AD2" s="48">
        <f t="shared" si="0"/>
        <v>1.0976430181642217E-2</v>
      </c>
      <c r="AE2" s="48">
        <f t="shared" si="0"/>
        <v>2.0005429202025329E-2</v>
      </c>
      <c r="AF2" s="48">
        <f t="shared" si="0"/>
        <v>3.4699682509707647E-2</v>
      </c>
      <c r="AG2" s="48">
        <f t="shared" si="0"/>
        <v>2.6549978165165768E-2</v>
      </c>
      <c r="AH2" s="48">
        <f t="shared" si="0"/>
        <v>2.754139766544313E-2</v>
      </c>
      <c r="AI2" s="48">
        <f t="shared" si="0"/>
        <v>0</v>
      </c>
      <c r="AJ2" s="97"/>
    </row>
    <row r="3" spans="1:39" hidden="1" x14ac:dyDescent="0.25">
      <c r="A3" s="96"/>
      <c r="B3" s="76"/>
      <c r="C3" s="77"/>
      <c r="D3" s="1"/>
      <c r="E3" s="55" t="str">
        <f t="shared" ref="E3:AI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96"/>
      <c r="AL3" s="78" t="s">
        <v>0</v>
      </c>
      <c r="AM3" s="1" t="s">
        <v>64</v>
      </c>
    </row>
    <row r="4" spans="1:39" x14ac:dyDescent="0.25">
      <c r="A4" s="96"/>
      <c r="B4" s="79" t="s">
        <v>47</v>
      </c>
      <c r="C4" s="102">
        <f>C28+C2</f>
        <v>385.46000000000004</v>
      </c>
      <c r="D4" s="104" t="s">
        <v>7</v>
      </c>
      <c r="E4" s="105" t="str">
        <f t="shared" ref="E4:AI4" si="2">TEXT(E5,"ddd")</f>
        <v>Mon</v>
      </c>
      <c r="F4" s="105" t="str">
        <f t="shared" si="2"/>
        <v>Tue</v>
      </c>
      <c r="G4" s="105" t="str">
        <f t="shared" si="2"/>
        <v>Wed</v>
      </c>
      <c r="H4" s="105" t="str">
        <f t="shared" si="2"/>
        <v>Thu</v>
      </c>
      <c r="I4" s="105" t="str">
        <f t="shared" si="2"/>
        <v>Fri</v>
      </c>
      <c r="J4" s="105" t="str">
        <f t="shared" si="2"/>
        <v>Sat</v>
      </c>
      <c r="K4" s="105" t="str">
        <f t="shared" si="2"/>
        <v>Sun</v>
      </c>
      <c r="L4" s="105" t="str">
        <f t="shared" si="2"/>
        <v>Mon</v>
      </c>
      <c r="M4" s="105" t="str">
        <f t="shared" si="2"/>
        <v>Tue</v>
      </c>
      <c r="N4" s="105" t="str">
        <f t="shared" si="2"/>
        <v>Wed</v>
      </c>
      <c r="O4" s="105" t="str">
        <f t="shared" si="2"/>
        <v>Thu</v>
      </c>
      <c r="P4" s="105" t="str">
        <f t="shared" si="2"/>
        <v>Fri</v>
      </c>
      <c r="Q4" s="105" t="str">
        <f t="shared" si="2"/>
        <v>Sat</v>
      </c>
      <c r="R4" s="105" t="str">
        <f t="shared" si="2"/>
        <v>Sun</v>
      </c>
      <c r="S4" s="105" t="str">
        <f t="shared" si="2"/>
        <v>Mon</v>
      </c>
      <c r="T4" s="105" t="str">
        <f t="shared" si="2"/>
        <v>Tue</v>
      </c>
      <c r="U4" s="105" t="str">
        <f t="shared" si="2"/>
        <v>Wed</v>
      </c>
      <c r="V4" s="105" t="str">
        <f t="shared" si="2"/>
        <v>Thu</v>
      </c>
      <c r="W4" s="105" t="str">
        <f t="shared" si="2"/>
        <v>Fri</v>
      </c>
      <c r="X4" s="105" t="str">
        <f t="shared" si="2"/>
        <v>Sat</v>
      </c>
      <c r="Y4" s="105" t="str">
        <f t="shared" si="2"/>
        <v>Sun</v>
      </c>
      <c r="Z4" s="105" t="str">
        <f t="shared" si="2"/>
        <v>Mon</v>
      </c>
      <c r="AA4" s="105" t="str">
        <f t="shared" si="2"/>
        <v>Tue</v>
      </c>
      <c r="AB4" s="105" t="str">
        <f t="shared" si="2"/>
        <v>Wed</v>
      </c>
      <c r="AC4" s="105" t="str">
        <f t="shared" si="2"/>
        <v>Thu</v>
      </c>
      <c r="AD4" s="105" t="str">
        <f t="shared" si="2"/>
        <v>Fri</v>
      </c>
      <c r="AE4" s="105" t="str">
        <f t="shared" si="2"/>
        <v>Sat</v>
      </c>
      <c r="AF4" s="105" t="str">
        <f t="shared" si="2"/>
        <v>Sun</v>
      </c>
      <c r="AG4" s="105" t="str">
        <f t="shared" si="2"/>
        <v>Mon</v>
      </c>
      <c r="AH4" s="105" t="str">
        <f t="shared" si="2"/>
        <v>Tue</v>
      </c>
      <c r="AI4" s="105" t="str">
        <f t="shared" si="2"/>
        <v>Wed</v>
      </c>
      <c r="AJ4" s="96"/>
      <c r="AL4" s="78">
        <v>2018</v>
      </c>
      <c r="AM4" s="56">
        <f ca="1">TODAY()</f>
        <v>43926</v>
      </c>
    </row>
    <row r="5" spans="1:39" x14ac:dyDescent="0.25">
      <c r="A5" s="96"/>
      <c r="B5" s="81" t="s">
        <v>51</v>
      </c>
      <c r="C5" s="108">
        <f>C4/C28</f>
        <v>0.1853173076923077</v>
      </c>
      <c r="D5" s="109"/>
      <c r="E5" s="111">
        <f>DATE($AL$4,$AL$6,1)</f>
        <v>43374</v>
      </c>
      <c r="F5" s="111">
        <f t="shared" ref="F5:AI5" si="3">E5+1</f>
        <v>43375</v>
      </c>
      <c r="G5" s="111">
        <f t="shared" si="3"/>
        <v>43376</v>
      </c>
      <c r="H5" s="111">
        <f t="shared" si="3"/>
        <v>43377</v>
      </c>
      <c r="I5" s="111">
        <f t="shared" si="3"/>
        <v>43378</v>
      </c>
      <c r="J5" s="111">
        <f t="shared" si="3"/>
        <v>43379</v>
      </c>
      <c r="K5" s="111">
        <f t="shared" si="3"/>
        <v>43380</v>
      </c>
      <c r="L5" s="111">
        <f t="shared" si="3"/>
        <v>43381</v>
      </c>
      <c r="M5" s="111">
        <f t="shared" si="3"/>
        <v>43382</v>
      </c>
      <c r="N5" s="111">
        <f t="shared" si="3"/>
        <v>43383</v>
      </c>
      <c r="O5" s="111">
        <f t="shared" si="3"/>
        <v>43384</v>
      </c>
      <c r="P5" s="111">
        <f t="shared" si="3"/>
        <v>43385</v>
      </c>
      <c r="Q5" s="111">
        <f t="shared" si="3"/>
        <v>43386</v>
      </c>
      <c r="R5" s="111">
        <f t="shared" si="3"/>
        <v>43387</v>
      </c>
      <c r="S5" s="111">
        <f t="shared" si="3"/>
        <v>43388</v>
      </c>
      <c r="T5" s="111">
        <f t="shared" si="3"/>
        <v>43389</v>
      </c>
      <c r="U5" s="111">
        <f t="shared" si="3"/>
        <v>43390</v>
      </c>
      <c r="V5" s="111">
        <f t="shared" si="3"/>
        <v>43391</v>
      </c>
      <c r="W5" s="111">
        <f t="shared" si="3"/>
        <v>43392</v>
      </c>
      <c r="X5" s="111">
        <f t="shared" si="3"/>
        <v>43393</v>
      </c>
      <c r="Y5" s="111">
        <f t="shared" si="3"/>
        <v>43394</v>
      </c>
      <c r="Z5" s="111">
        <f t="shared" si="3"/>
        <v>43395</v>
      </c>
      <c r="AA5" s="111">
        <f t="shared" si="3"/>
        <v>43396</v>
      </c>
      <c r="AB5" s="111">
        <f t="shared" si="3"/>
        <v>43397</v>
      </c>
      <c r="AC5" s="111">
        <f t="shared" si="3"/>
        <v>43398</v>
      </c>
      <c r="AD5" s="111">
        <f t="shared" si="3"/>
        <v>43399</v>
      </c>
      <c r="AE5" s="111">
        <f t="shared" si="3"/>
        <v>43400</v>
      </c>
      <c r="AF5" s="111">
        <f t="shared" si="3"/>
        <v>43401</v>
      </c>
      <c r="AG5" s="111">
        <f t="shared" si="3"/>
        <v>43402</v>
      </c>
      <c r="AH5" s="111">
        <f t="shared" si="3"/>
        <v>43403</v>
      </c>
      <c r="AI5" s="111">
        <f t="shared" si="3"/>
        <v>43404</v>
      </c>
      <c r="AJ5" s="96"/>
      <c r="AL5" s="78" t="s">
        <v>1</v>
      </c>
      <c r="AM5" s="1" t="str">
        <f ca="1">IF(V5=AM4,"sim","não")</f>
        <v>não</v>
      </c>
    </row>
    <row r="6" spans="1:39" x14ac:dyDescent="0.25">
      <c r="A6" s="96"/>
      <c r="B6" s="83"/>
      <c r="C6" s="15" t="s">
        <v>62</v>
      </c>
      <c r="D6" s="113">
        <f t="shared" ref="D6:AI6" si="4">SUM(D7:D27)</f>
        <v>1</v>
      </c>
      <c r="E6" s="114">
        <f t="shared" si="4"/>
        <v>-15.56</v>
      </c>
      <c r="F6" s="114">
        <f t="shared" si="4"/>
        <v>-4.5</v>
      </c>
      <c r="G6" s="114">
        <f t="shared" si="4"/>
        <v>-20</v>
      </c>
      <c r="H6" s="114">
        <f t="shared" si="4"/>
        <v>-7.96</v>
      </c>
      <c r="I6" s="114">
        <f t="shared" si="4"/>
        <v>-49.73</v>
      </c>
      <c r="J6" s="114">
        <f t="shared" si="4"/>
        <v>-9.9</v>
      </c>
      <c r="K6" s="114">
        <f t="shared" si="4"/>
        <v>0</v>
      </c>
      <c r="L6" s="114">
        <f t="shared" si="4"/>
        <v>-26.9</v>
      </c>
      <c r="M6" s="114">
        <f t="shared" si="4"/>
        <v>-165.92</v>
      </c>
      <c r="N6" s="114">
        <f t="shared" si="4"/>
        <v>-15.45</v>
      </c>
      <c r="O6" s="114">
        <f t="shared" si="4"/>
        <v>-7</v>
      </c>
      <c r="P6" s="114">
        <f t="shared" si="4"/>
        <v>-17.5</v>
      </c>
      <c r="Q6" s="114">
        <f t="shared" si="4"/>
        <v>-72.010000000000005</v>
      </c>
      <c r="R6" s="114">
        <f t="shared" si="4"/>
        <v>-20.79</v>
      </c>
      <c r="S6" s="114">
        <f t="shared" si="4"/>
        <v>0</v>
      </c>
      <c r="T6" s="114">
        <f t="shared" si="4"/>
        <v>0</v>
      </c>
      <c r="U6" s="114">
        <f t="shared" si="4"/>
        <v>0</v>
      </c>
      <c r="V6" s="114">
        <f t="shared" si="4"/>
        <v>-5.49</v>
      </c>
      <c r="W6" s="114">
        <f t="shared" si="4"/>
        <v>-609</v>
      </c>
      <c r="X6" s="114">
        <f t="shared" si="4"/>
        <v>-214.8</v>
      </c>
      <c r="Y6" s="114">
        <f t="shared" si="4"/>
        <v>-23.17</v>
      </c>
      <c r="Z6" s="114">
        <f t="shared" si="4"/>
        <v>0</v>
      </c>
      <c r="AA6" s="114">
        <f t="shared" si="4"/>
        <v>0</v>
      </c>
      <c r="AB6" s="114">
        <f t="shared" si="4"/>
        <v>0</v>
      </c>
      <c r="AC6" s="114">
        <f t="shared" si="4"/>
        <v>-31.9</v>
      </c>
      <c r="AD6" s="114">
        <f t="shared" si="4"/>
        <v>-18.600000000000001</v>
      </c>
      <c r="AE6" s="114">
        <f t="shared" si="4"/>
        <v>-33.9</v>
      </c>
      <c r="AF6" s="114">
        <f t="shared" si="4"/>
        <v>-58.8</v>
      </c>
      <c r="AG6" s="114">
        <f t="shared" si="4"/>
        <v>-44.99</v>
      </c>
      <c r="AH6" s="114">
        <f t="shared" si="4"/>
        <v>-46.67</v>
      </c>
      <c r="AI6" s="114">
        <f t="shared" si="4"/>
        <v>0</v>
      </c>
      <c r="AJ6" s="96"/>
      <c r="AL6" s="78">
        <v>10</v>
      </c>
      <c r="AM6" s="1"/>
    </row>
    <row r="7" spans="1:39" x14ac:dyDescent="0.25">
      <c r="A7" s="96"/>
      <c r="B7" s="86" t="s">
        <v>20</v>
      </c>
      <c r="C7" s="87">
        <f t="shared" ref="C7:C27" si="5">SUM(E7:AI7)</f>
        <v>-127.72</v>
      </c>
      <c r="D7" s="88">
        <f t="shared" ref="D7:D27" si="6">C7/$C$2</f>
        <v>7.5371487247276547E-2</v>
      </c>
      <c r="E7" s="89" t="s">
        <v>66</v>
      </c>
      <c r="F7" s="89">
        <v>-4.5</v>
      </c>
      <c r="G7" s="89" t="s">
        <v>66</v>
      </c>
      <c r="H7" s="89" t="s">
        <v>66</v>
      </c>
      <c r="I7" s="89" t="s">
        <v>66</v>
      </c>
      <c r="J7" s="89" t="s">
        <v>66</v>
      </c>
      <c r="K7" s="89" t="s">
        <v>66</v>
      </c>
      <c r="L7" s="89" t="s">
        <v>66</v>
      </c>
      <c r="M7" s="89" t="s">
        <v>66</v>
      </c>
      <c r="N7" s="89" t="s">
        <v>66</v>
      </c>
      <c r="O7" s="89" t="s">
        <v>66</v>
      </c>
      <c r="P7" s="89">
        <v>-17.5</v>
      </c>
      <c r="Q7" s="89">
        <f>-46.02-6</f>
        <v>-52.02</v>
      </c>
      <c r="R7" s="89" t="s">
        <v>66</v>
      </c>
      <c r="S7" s="89" t="s">
        <v>66</v>
      </c>
      <c r="T7" s="89" t="s">
        <v>66</v>
      </c>
      <c r="U7" s="89" t="s">
        <v>66</v>
      </c>
      <c r="V7" s="89" t="s">
        <v>66</v>
      </c>
      <c r="W7" s="89" t="s">
        <v>66</v>
      </c>
      <c r="X7" s="89">
        <v>-22.8</v>
      </c>
      <c r="Y7" s="89" t="s">
        <v>66</v>
      </c>
      <c r="Z7" s="89" t="s">
        <v>66</v>
      </c>
      <c r="AA7" s="89" t="s">
        <v>66</v>
      </c>
      <c r="AB7" s="89" t="s">
        <v>66</v>
      </c>
      <c r="AC7" s="89">
        <v>-8</v>
      </c>
      <c r="AD7" s="89" t="s">
        <v>66</v>
      </c>
      <c r="AE7" s="89" t="s">
        <v>66</v>
      </c>
      <c r="AF7" s="89">
        <v>-22.9</v>
      </c>
      <c r="AG7" s="89" t="s">
        <v>66</v>
      </c>
      <c r="AH7" s="89" t="s">
        <v>66</v>
      </c>
      <c r="AI7" s="89" t="s">
        <v>66</v>
      </c>
      <c r="AJ7" s="97"/>
    </row>
    <row r="8" spans="1:39" x14ac:dyDescent="0.25">
      <c r="A8" s="96"/>
      <c r="B8" s="86" t="s">
        <v>21</v>
      </c>
      <c r="C8" s="87">
        <f t="shared" si="5"/>
        <v>-55.15</v>
      </c>
      <c r="D8" s="91">
        <f t="shared" si="6"/>
        <v>3.2545705619224097E-2</v>
      </c>
      <c r="E8" s="92" t="s">
        <v>66</v>
      </c>
      <c r="F8" s="92" t="s">
        <v>66</v>
      </c>
      <c r="G8" s="92" t="s">
        <v>66</v>
      </c>
      <c r="H8" s="92" t="s">
        <v>66</v>
      </c>
      <c r="I8" s="92" t="s">
        <v>66</v>
      </c>
      <c r="J8" s="92">
        <v>-9.9</v>
      </c>
      <c r="K8" s="92" t="s">
        <v>66</v>
      </c>
      <c r="L8" s="92" t="s">
        <v>66</v>
      </c>
      <c r="M8" s="92" t="s">
        <v>66</v>
      </c>
      <c r="N8" s="92">
        <v>-15.45</v>
      </c>
      <c r="O8" s="92" t="s">
        <v>66</v>
      </c>
      <c r="P8" s="92" t="s">
        <v>66</v>
      </c>
      <c r="Q8" s="92">
        <v>-9.9</v>
      </c>
      <c r="R8" s="92" t="s">
        <v>66</v>
      </c>
      <c r="S8" s="92" t="s">
        <v>66</v>
      </c>
      <c r="T8" s="92" t="s">
        <v>66</v>
      </c>
      <c r="U8" s="92" t="s">
        <v>66</v>
      </c>
      <c r="V8" s="92" t="s">
        <v>66</v>
      </c>
      <c r="W8" s="92" t="s">
        <v>66</v>
      </c>
      <c r="X8" s="92" t="s">
        <v>66</v>
      </c>
      <c r="Y8" s="92" t="s">
        <v>66</v>
      </c>
      <c r="Z8" s="92" t="s">
        <v>66</v>
      </c>
      <c r="AA8" s="92" t="s">
        <v>66</v>
      </c>
      <c r="AB8" s="92" t="s">
        <v>66</v>
      </c>
      <c r="AC8" s="92" t="s">
        <v>66</v>
      </c>
      <c r="AD8" s="92" t="s">
        <v>66</v>
      </c>
      <c r="AE8" s="92">
        <v>-19.899999999999999</v>
      </c>
      <c r="AF8" s="92" t="s">
        <v>66</v>
      </c>
      <c r="AG8" s="92" t="s">
        <v>66</v>
      </c>
      <c r="AH8" s="92" t="s">
        <v>66</v>
      </c>
      <c r="AI8" s="92" t="s">
        <v>66</v>
      </c>
      <c r="AJ8" s="97"/>
      <c r="AL8" s="54"/>
    </row>
    <row r="9" spans="1:39" x14ac:dyDescent="0.25">
      <c r="A9" s="96"/>
      <c r="B9" s="86" t="s">
        <v>22</v>
      </c>
      <c r="C9" s="87">
        <f t="shared" si="5"/>
        <v>-8.5</v>
      </c>
      <c r="D9" s="93">
        <f t="shared" si="6"/>
        <v>5.0161105668795076E-3</v>
      </c>
      <c r="E9" s="94" t="s">
        <v>66</v>
      </c>
      <c r="F9" s="94" t="s">
        <v>66</v>
      </c>
      <c r="G9" s="94" t="s">
        <v>66</v>
      </c>
      <c r="H9" s="94" t="s">
        <v>66</v>
      </c>
      <c r="I9" s="94" t="s">
        <v>66</v>
      </c>
      <c r="J9" s="94" t="s">
        <v>66</v>
      </c>
      <c r="K9" s="94" t="s">
        <v>66</v>
      </c>
      <c r="L9" s="94" t="s">
        <v>66</v>
      </c>
      <c r="M9" s="94" t="s">
        <v>66</v>
      </c>
      <c r="N9" s="94" t="s">
        <v>66</v>
      </c>
      <c r="O9" s="94">
        <v>-4</v>
      </c>
      <c r="P9" s="94" t="s">
        <v>66</v>
      </c>
      <c r="Q9" s="94" t="s">
        <v>66</v>
      </c>
      <c r="R9" s="94" t="s">
        <v>66</v>
      </c>
      <c r="S9" s="94" t="s">
        <v>66</v>
      </c>
      <c r="T9" s="94" t="s">
        <v>66</v>
      </c>
      <c r="U9" s="94" t="s">
        <v>66</v>
      </c>
      <c r="V9" s="94" t="s">
        <v>66</v>
      </c>
      <c r="W9" s="94">
        <v>-4.5</v>
      </c>
      <c r="X9" s="94" t="s">
        <v>66</v>
      </c>
      <c r="Y9" s="94" t="s">
        <v>66</v>
      </c>
      <c r="Z9" s="94" t="s">
        <v>66</v>
      </c>
      <c r="AA9" s="94" t="s">
        <v>66</v>
      </c>
      <c r="AB9" s="94" t="s">
        <v>66</v>
      </c>
      <c r="AC9" s="94" t="s">
        <v>66</v>
      </c>
      <c r="AD9" s="94" t="s">
        <v>66</v>
      </c>
      <c r="AE9" s="94" t="s">
        <v>66</v>
      </c>
      <c r="AF9" s="94" t="s">
        <v>66</v>
      </c>
      <c r="AG9" s="94" t="s">
        <v>66</v>
      </c>
      <c r="AH9" s="94" t="s">
        <v>66</v>
      </c>
      <c r="AI9" s="94" t="s">
        <v>66</v>
      </c>
      <c r="AJ9" s="97"/>
      <c r="AL9" s="54"/>
    </row>
    <row r="10" spans="1:39" x14ac:dyDescent="0.25">
      <c r="A10" s="96"/>
      <c r="B10" s="86" t="s">
        <v>23</v>
      </c>
      <c r="C10" s="87">
        <f t="shared" si="5"/>
        <v>-8.5</v>
      </c>
      <c r="D10" s="91">
        <f t="shared" si="6"/>
        <v>5.0161105668795076E-3</v>
      </c>
      <c r="E10" s="92" t="s">
        <v>66</v>
      </c>
      <c r="F10" s="92" t="s">
        <v>66</v>
      </c>
      <c r="G10" s="92" t="s">
        <v>66</v>
      </c>
      <c r="H10" s="92">
        <v>-6</v>
      </c>
      <c r="I10" s="92" t="s">
        <v>66</v>
      </c>
      <c r="J10" s="92" t="s">
        <v>66</v>
      </c>
      <c r="K10" s="92" t="s">
        <v>66</v>
      </c>
      <c r="L10" s="92" t="s">
        <v>66</v>
      </c>
      <c r="M10" s="92">
        <v>-2.5</v>
      </c>
      <c r="N10" s="92" t="s">
        <v>66</v>
      </c>
      <c r="O10" s="92" t="s">
        <v>66</v>
      </c>
      <c r="P10" s="92" t="s">
        <v>66</v>
      </c>
      <c r="Q10" s="92" t="s">
        <v>66</v>
      </c>
      <c r="R10" s="92" t="s">
        <v>66</v>
      </c>
      <c r="S10" s="92" t="s">
        <v>66</v>
      </c>
      <c r="T10" s="92" t="s">
        <v>66</v>
      </c>
      <c r="U10" s="92" t="s">
        <v>66</v>
      </c>
      <c r="V10" s="92" t="s">
        <v>66</v>
      </c>
      <c r="W10" s="92" t="s">
        <v>66</v>
      </c>
      <c r="X10" s="92" t="s">
        <v>66</v>
      </c>
      <c r="Y10" s="92" t="s">
        <v>66</v>
      </c>
      <c r="Z10" s="92" t="s">
        <v>66</v>
      </c>
      <c r="AA10" s="92" t="s">
        <v>66</v>
      </c>
      <c r="AB10" s="92" t="s">
        <v>66</v>
      </c>
      <c r="AC10" s="92" t="s">
        <v>66</v>
      </c>
      <c r="AD10" s="92" t="s">
        <v>66</v>
      </c>
      <c r="AE10" s="92" t="s">
        <v>66</v>
      </c>
      <c r="AF10" s="92" t="s">
        <v>66</v>
      </c>
      <c r="AG10" s="92" t="s">
        <v>66</v>
      </c>
      <c r="AH10" s="92" t="s">
        <v>66</v>
      </c>
      <c r="AI10" s="92" t="s">
        <v>66</v>
      </c>
      <c r="AJ10" s="97"/>
    </row>
    <row r="11" spans="1:39" x14ac:dyDescent="0.25">
      <c r="A11" s="96"/>
      <c r="B11" s="86" t="s">
        <v>81</v>
      </c>
      <c r="C11" s="87">
        <f t="shared" si="5"/>
        <v>-40</v>
      </c>
      <c r="D11" s="93">
        <f t="shared" si="6"/>
        <v>2.3605226197080033E-2</v>
      </c>
      <c r="E11" s="94" t="s">
        <v>66</v>
      </c>
      <c r="F11" s="94" t="s">
        <v>66</v>
      </c>
      <c r="G11" s="94">
        <v>-20</v>
      </c>
      <c r="H11" s="94" t="s">
        <v>66</v>
      </c>
      <c r="I11" s="94" t="s">
        <v>66</v>
      </c>
      <c r="J11" s="94" t="s">
        <v>66</v>
      </c>
      <c r="K11" s="94" t="s">
        <v>66</v>
      </c>
      <c r="L11" s="94" t="s">
        <v>66</v>
      </c>
      <c r="M11" s="94" t="s">
        <v>66</v>
      </c>
      <c r="N11" s="94" t="s">
        <v>66</v>
      </c>
      <c r="O11" s="94" t="s">
        <v>66</v>
      </c>
      <c r="P11" s="94" t="s">
        <v>66</v>
      </c>
      <c r="Q11" s="94" t="s">
        <v>66</v>
      </c>
      <c r="R11" s="94" t="s">
        <v>66</v>
      </c>
      <c r="S11" s="94" t="s">
        <v>66</v>
      </c>
      <c r="T11" s="94" t="s">
        <v>66</v>
      </c>
      <c r="U11" s="94" t="s">
        <v>66</v>
      </c>
      <c r="V11" s="94" t="s">
        <v>66</v>
      </c>
      <c r="W11" s="94" t="s">
        <v>66</v>
      </c>
      <c r="X11" s="94" t="s">
        <v>66</v>
      </c>
      <c r="Y11" s="94" t="s">
        <v>66</v>
      </c>
      <c r="Z11" s="94" t="s">
        <v>66</v>
      </c>
      <c r="AA11" s="94" t="s">
        <v>66</v>
      </c>
      <c r="AB11" s="94" t="s">
        <v>66</v>
      </c>
      <c r="AC11" s="94" t="s">
        <v>66</v>
      </c>
      <c r="AD11" s="94" t="s">
        <v>66</v>
      </c>
      <c r="AE11" s="94" t="s">
        <v>66</v>
      </c>
      <c r="AF11" s="94">
        <v>-20</v>
      </c>
      <c r="AG11" s="94" t="s">
        <v>66</v>
      </c>
      <c r="AH11" s="94" t="s">
        <v>66</v>
      </c>
      <c r="AI11" s="94" t="s">
        <v>66</v>
      </c>
      <c r="AJ11" s="97"/>
    </row>
    <row r="12" spans="1:39" x14ac:dyDescent="0.25">
      <c r="A12" s="96"/>
      <c r="B12" s="86" t="s">
        <v>24</v>
      </c>
      <c r="C12" s="87">
        <f t="shared" si="5"/>
        <v>-100.22000000000001</v>
      </c>
      <c r="D12" s="91">
        <f t="shared" si="6"/>
        <v>5.9142894236784031E-2</v>
      </c>
      <c r="E12" s="92">
        <v>-15.56</v>
      </c>
      <c r="F12" s="92" t="s">
        <v>66</v>
      </c>
      <c r="G12" s="92" t="s">
        <v>66</v>
      </c>
      <c r="H12" s="92">
        <v>-1.96</v>
      </c>
      <c r="I12" s="92">
        <v>-4</v>
      </c>
      <c r="J12" s="92" t="s">
        <v>66</v>
      </c>
      <c r="K12" s="92" t="s">
        <v>66</v>
      </c>
      <c r="L12" s="92" t="s">
        <v>66</v>
      </c>
      <c r="M12" s="92">
        <v>-13.42</v>
      </c>
      <c r="N12" s="92" t="s">
        <v>66</v>
      </c>
      <c r="O12" s="92" t="s">
        <v>66</v>
      </c>
      <c r="P12" s="92" t="s">
        <v>66</v>
      </c>
      <c r="Q12" s="92" t="s">
        <v>66</v>
      </c>
      <c r="R12" s="92">
        <v>-16.39</v>
      </c>
      <c r="S12" s="92" t="s">
        <v>66</v>
      </c>
      <c r="T12" s="92" t="s">
        <v>66</v>
      </c>
      <c r="U12" s="92" t="s">
        <v>66</v>
      </c>
      <c r="V12" s="92">
        <f>-5.49+2.99</f>
        <v>-2.5</v>
      </c>
      <c r="W12" s="92">
        <v>-4.5</v>
      </c>
      <c r="X12" s="92" t="s">
        <v>66</v>
      </c>
      <c r="Y12" s="92">
        <v>-16.82</v>
      </c>
      <c r="Z12" s="92" t="s">
        <v>66</v>
      </c>
      <c r="AA12" s="92" t="s">
        <v>66</v>
      </c>
      <c r="AB12" s="92" t="s">
        <v>66</v>
      </c>
      <c r="AC12" s="92">
        <v>-13.9</v>
      </c>
      <c r="AD12" s="92" t="s">
        <v>66</v>
      </c>
      <c r="AE12" s="92" t="s">
        <v>66</v>
      </c>
      <c r="AF12" s="92" t="s">
        <v>66</v>
      </c>
      <c r="AG12" s="92" t="s">
        <v>66</v>
      </c>
      <c r="AH12" s="92">
        <v>-11.17</v>
      </c>
      <c r="AI12" s="92" t="s">
        <v>66</v>
      </c>
      <c r="AJ12" s="97"/>
    </row>
    <row r="13" spans="1:39" x14ac:dyDescent="0.25">
      <c r="A13" s="96"/>
      <c r="B13" s="86" t="s">
        <v>27</v>
      </c>
      <c r="C13" s="87">
        <f t="shared" si="5"/>
        <v>-175.48</v>
      </c>
      <c r="D13" s="93">
        <f t="shared" si="6"/>
        <v>0.1035561273265901</v>
      </c>
      <c r="E13" s="94" t="s">
        <v>66</v>
      </c>
      <c r="F13" s="94" t="s">
        <v>82</v>
      </c>
      <c r="G13" s="94" t="s">
        <v>66</v>
      </c>
      <c r="H13" s="94" t="s">
        <v>66</v>
      </c>
      <c r="I13" s="94">
        <f>-4.42-21.06</f>
        <v>-25.479999999999997</v>
      </c>
      <c r="J13" s="94" t="s">
        <v>66</v>
      </c>
      <c r="K13" s="94" t="s">
        <v>66</v>
      </c>
      <c r="L13" s="94" t="s">
        <v>66</v>
      </c>
      <c r="M13" s="94">
        <v>-150</v>
      </c>
      <c r="N13" s="94" t="s">
        <v>66</v>
      </c>
      <c r="O13" s="94" t="s">
        <v>66</v>
      </c>
      <c r="P13" s="94" t="s">
        <v>66</v>
      </c>
      <c r="Q13" s="94" t="s">
        <v>66</v>
      </c>
      <c r="R13" s="94" t="s">
        <v>66</v>
      </c>
      <c r="S13" s="94" t="s">
        <v>66</v>
      </c>
      <c r="T13" s="94" t="s">
        <v>67</v>
      </c>
      <c r="U13" s="94" t="s">
        <v>66</v>
      </c>
      <c r="V13" s="94" t="s">
        <v>66</v>
      </c>
      <c r="W13" s="94" t="s">
        <v>66</v>
      </c>
      <c r="X13" s="94" t="s">
        <v>66</v>
      </c>
      <c r="Y13" s="94" t="s">
        <v>66</v>
      </c>
      <c r="Z13" s="94" t="s">
        <v>66</v>
      </c>
      <c r="AA13" s="94" t="s">
        <v>83</v>
      </c>
      <c r="AB13" s="94" t="s">
        <v>66</v>
      </c>
      <c r="AC13" s="94" t="s">
        <v>66</v>
      </c>
      <c r="AD13" s="94" t="s">
        <v>66</v>
      </c>
      <c r="AE13" s="94" t="s">
        <v>66</v>
      </c>
      <c r="AF13" s="94" t="s">
        <v>66</v>
      </c>
      <c r="AG13" s="94" t="s">
        <v>67</v>
      </c>
      <c r="AH13" s="94" t="s">
        <v>66</v>
      </c>
      <c r="AI13" s="94" t="s">
        <v>66</v>
      </c>
      <c r="AJ13" s="97"/>
    </row>
    <row r="14" spans="1:39" x14ac:dyDescent="0.25">
      <c r="A14" s="96"/>
      <c r="B14" s="86" t="s">
        <v>28</v>
      </c>
      <c r="C14" s="87">
        <f t="shared" si="5"/>
        <v>-34</v>
      </c>
      <c r="D14" s="91">
        <f t="shared" si="6"/>
        <v>2.006444226751803E-2</v>
      </c>
      <c r="E14" s="92" t="s">
        <v>66</v>
      </c>
      <c r="F14" s="92" t="s">
        <v>66</v>
      </c>
      <c r="G14" s="92" t="s">
        <v>66</v>
      </c>
      <c r="H14" s="92" t="s">
        <v>66</v>
      </c>
      <c r="I14" s="92" t="s">
        <v>66</v>
      </c>
      <c r="J14" s="92" t="s">
        <v>66</v>
      </c>
      <c r="K14" s="92" t="s">
        <v>66</v>
      </c>
      <c r="L14" s="92" t="s">
        <v>66</v>
      </c>
      <c r="M14" s="92" t="s">
        <v>66</v>
      </c>
      <c r="N14" s="92" t="s">
        <v>66</v>
      </c>
      <c r="O14" s="92" t="s">
        <v>66</v>
      </c>
      <c r="P14" s="92" t="s">
        <v>66</v>
      </c>
      <c r="Q14" s="92" t="s">
        <v>66</v>
      </c>
      <c r="R14" s="92" t="s">
        <v>66</v>
      </c>
      <c r="S14" s="92" t="s">
        <v>66</v>
      </c>
      <c r="T14" s="92" t="s">
        <v>66</v>
      </c>
      <c r="U14" s="92" t="s">
        <v>66</v>
      </c>
      <c r="V14" s="92" t="s">
        <v>66</v>
      </c>
      <c r="W14" s="92" t="s">
        <v>66</v>
      </c>
      <c r="X14" s="92" t="s">
        <v>66</v>
      </c>
      <c r="Y14" s="92" t="s">
        <v>66</v>
      </c>
      <c r="Z14" s="92" t="s">
        <v>66</v>
      </c>
      <c r="AA14" s="92" t="s">
        <v>66</v>
      </c>
      <c r="AB14" s="92" t="s">
        <v>66</v>
      </c>
      <c r="AC14" s="92">
        <v>-10</v>
      </c>
      <c r="AD14" s="92">
        <v>-10</v>
      </c>
      <c r="AE14" s="92">
        <v>-14</v>
      </c>
      <c r="AF14" s="92" t="s">
        <v>66</v>
      </c>
      <c r="AG14" s="92" t="s">
        <v>66</v>
      </c>
      <c r="AH14" s="92" t="s">
        <v>66</v>
      </c>
      <c r="AI14" s="92" t="s">
        <v>66</v>
      </c>
      <c r="AJ14" s="97"/>
    </row>
    <row r="15" spans="1:39" x14ac:dyDescent="0.25">
      <c r="A15" s="96"/>
      <c r="B15" s="86" t="s">
        <v>29</v>
      </c>
      <c r="C15" s="87">
        <f t="shared" si="5"/>
        <v>-71.89</v>
      </c>
      <c r="D15" s="93">
        <f t="shared" si="6"/>
        <v>4.2424492782702092E-2</v>
      </c>
      <c r="E15" s="94" t="s">
        <v>66</v>
      </c>
      <c r="F15" s="94" t="s">
        <v>66</v>
      </c>
      <c r="G15" s="94" t="s">
        <v>66</v>
      </c>
      <c r="H15" s="94" t="s">
        <v>66</v>
      </c>
      <c r="I15" s="94" t="s">
        <v>66</v>
      </c>
      <c r="J15" s="94" t="s">
        <v>66</v>
      </c>
      <c r="K15" s="94" t="s">
        <v>66</v>
      </c>
      <c r="L15" s="94">
        <v>-26.9</v>
      </c>
      <c r="M15" s="94" t="s">
        <v>66</v>
      </c>
      <c r="N15" s="94" t="s">
        <v>66</v>
      </c>
      <c r="O15" s="94" t="s">
        <v>66</v>
      </c>
      <c r="P15" s="94" t="s">
        <v>66</v>
      </c>
      <c r="Q15" s="94" t="s">
        <v>66</v>
      </c>
      <c r="R15" s="94" t="s">
        <v>66</v>
      </c>
      <c r="S15" s="94" t="s">
        <v>66</v>
      </c>
      <c r="T15" s="94" t="s">
        <v>66</v>
      </c>
      <c r="U15" s="94" t="s">
        <v>66</v>
      </c>
      <c r="V15" s="94" t="s">
        <v>66</v>
      </c>
      <c r="W15" s="94" t="s">
        <v>66</v>
      </c>
      <c r="X15" s="94" t="s">
        <v>66</v>
      </c>
      <c r="Y15" s="94" t="s">
        <v>66</v>
      </c>
      <c r="Z15" s="94" t="s">
        <v>66</v>
      </c>
      <c r="AA15" s="94" t="s">
        <v>66</v>
      </c>
      <c r="AB15" s="94" t="s">
        <v>66</v>
      </c>
      <c r="AC15" s="94" t="s">
        <v>66</v>
      </c>
      <c r="AD15" s="94" t="s">
        <v>66</v>
      </c>
      <c r="AE15" s="94" t="s">
        <v>66</v>
      </c>
      <c r="AF15" s="94" t="s">
        <v>66</v>
      </c>
      <c r="AG15" s="94">
        <v>-44.99</v>
      </c>
      <c r="AH15" s="94" t="s">
        <v>66</v>
      </c>
      <c r="AI15" s="94" t="s">
        <v>66</v>
      </c>
      <c r="AJ15" s="97"/>
    </row>
    <row r="16" spans="1:39" x14ac:dyDescent="0.25">
      <c r="A16" s="96"/>
      <c r="B16" s="86" t="s">
        <v>31</v>
      </c>
      <c r="C16" s="87">
        <f t="shared" si="5"/>
        <v>-192</v>
      </c>
      <c r="D16" s="91">
        <f t="shared" si="6"/>
        <v>0.11330508574598416</v>
      </c>
      <c r="E16" s="92" t="s">
        <v>66</v>
      </c>
      <c r="F16" s="92" t="s">
        <v>66</v>
      </c>
      <c r="G16" s="92" t="s">
        <v>66</v>
      </c>
      <c r="H16" s="92" t="s">
        <v>66</v>
      </c>
      <c r="I16" s="92" t="s">
        <v>66</v>
      </c>
      <c r="J16" s="92" t="s">
        <v>66</v>
      </c>
      <c r="K16" s="92" t="s">
        <v>66</v>
      </c>
      <c r="L16" s="92" t="s">
        <v>66</v>
      </c>
      <c r="M16" s="92" t="s">
        <v>66</v>
      </c>
      <c r="N16" s="92" t="s">
        <v>66</v>
      </c>
      <c r="O16" s="92" t="s">
        <v>66</v>
      </c>
      <c r="P16" s="92" t="s">
        <v>66</v>
      </c>
      <c r="Q16" s="92" t="s">
        <v>66</v>
      </c>
      <c r="R16" s="92" t="s">
        <v>66</v>
      </c>
      <c r="S16" s="92" t="s">
        <v>66</v>
      </c>
      <c r="T16" s="92" t="s">
        <v>66</v>
      </c>
      <c r="U16" s="92" t="s">
        <v>66</v>
      </c>
      <c r="V16" s="92" t="s">
        <v>66</v>
      </c>
      <c r="W16" s="92" t="s">
        <v>66</v>
      </c>
      <c r="X16" s="92">
        <v>-192</v>
      </c>
      <c r="Y16" s="92" t="s">
        <v>66</v>
      </c>
      <c r="Z16" s="92" t="s">
        <v>66</v>
      </c>
      <c r="AA16" s="92" t="s">
        <v>66</v>
      </c>
      <c r="AB16" s="92" t="s">
        <v>66</v>
      </c>
      <c r="AC16" s="92" t="s">
        <v>66</v>
      </c>
      <c r="AD16" s="92" t="s">
        <v>66</v>
      </c>
      <c r="AE16" s="92" t="s">
        <v>66</v>
      </c>
      <c r="AF16" s="92" t="s">
        <v>66</v>
      </c>
      <c r="AG16" s="92" t="s">
        <v>66</v>
      </c>
      <c r="AH16" s="92" t="s">
        <v>66</v>
      </c>
      <c r="AI16" s="92" t="s">
        <v>66</v>
      </c>
      <c r="AJ16" s="97"/>
    </row>
    <row r="17" spans="1:39" x14ac:dyDescent="0.25">
      <c r="A17" s="96"/>
      <c r="B17" s="86" t="s">
        <v>32</v>
      </c>
      <c r="C17" s="87">
        <f t="shared" si="5"/>
        <v>-4.4000000000000004</v>
      </c>
      <c r="D17" s="93">
        <f t="shared" si="6"/>
        <v>2.5965748816788041E-3</v>
      </c>
      <c r="E17" s="94" t="s">
        <v>66</v>
      </c>
      <c r="F17" s="94" t="s">
        <v>66</v>
      </c>
      <c r="G17" s="94" t="s">
        <v>66</v>
      </c>
      <c r="H17" s="94" t="s">
        <v>66</v>
      </c>
      <c r="I17" s="94" t="s">
        <v>66</v>
      </c>
      <c r="J17" s="94" t="s">
        <v>66</v>
      </c>
      <c r="K17" s="94" t="s">
        <v>66</v>
      </c>
      <c r="L17" s="94" t="s">
        <v>66</v>
      </c>
      <c r="M17" s="94" t="s">
        <v>66</v>
      </c>
      <c r="N17" s="94" t="s">
        <v>66</v>
      </c>
      <c r="O17" s="94" t="s">
        <v>66</v>
      </c>
      <c r="P17" s="94" t="s">
        <v>66</v>
      </c>
      <c r="Q17" s="94" t="s">
        <v>66</v>
      </c>
      <c r="R17" s="94">
        <v>-4.4000000000000004</v>
      </c>
      <c r="S17" s="94" t="s">
        <v>66</v>
      </c>
      <c r="T17" s="94" t="s">
        <v>66</v>
      </c>
      <c r="U17" s="94" t="s">
        <v>66</v>
      </c>
      <c r="V17" s="94" t="s">
        <v>66</v>
      </c>
      <c r="W17" s="94" t="s">
        <v>66</v>
      </c>
      <c r="X17" s="94" t="s">
        <v>66</v>
      </c>
      <c r="Y17" s="94" t="s">
        <v>66</v>
      </c>
      <c r="Z17" s="94" t="s">
        <v>66</v>
      </c>
      <c r="AA17" s="94" t="s">
        <v>66</v>
      </c>
      <c r="AB17" s="94" t="s">
        <v>66</v>
      </c>
      <c r="AC17" s="94" t="s">
        <v>66</v>
      </c>
      <c r="AD17" s="94" t="s">
        <v>66</v>
      </c>
      <c r="AE17" s="94" t="s">
        <v>66</v>
      </c>
      <c r="AF17" s="94" t="s">
        <v>66</v>
      </c>
      <c r="AG17" s="94" t="s">
        <v>66</v>
      </c>
      <c r="AH17" s="94" t="s">
        <v>66</v>
      </c>
      <c r="AI17" s="94" t="s">
        <v>66</v>
      </c>
      <c r="AJ17" s="97"/>
    </row>
    <row r="18" spans="1:39" x14ac:dyDescent="0.25">
      <c r="A18" s="96"/>
      <c r="B18" s="86" t="s">
        <v>33</v>
      </c>
      <c r="C18" s="87">
        <f t="shared" si="5"/>
        <v>-18.689999999999998</v>
      </c>
      <c r="D18" s="91">
        <f t="shared" si="6"/>
        <v>1.1029541940585644E-2</v>
      </c>
      <c r="E18" s="92" t="s">
        <v>66</v>
      </c>
      <c r="F18" s="92" t="s">
        <v>66</v>
      </c>
      <c r="G18" s="92" t="s">
        <v>66</v>
      </c>
      <c r="H18" s="92" t="s">
        <v>66</v>
      </c>
      <c r="I18" s="92" t="s">
        <v>66</v>
      </c>
      <c r="J18" s="92" t="s">
        <v>66</v>
      </c>
      <c r="K18" s="92" t="s">
        <v>66</v>
      </c>
      <c r="L18" s="92" t="s">
        <v>66</v>
      </c>
      <c r="M18" s="92" t="s">
        <v>66</v>
      </c>
      <c r="N18" s="92" t="s">
        <v>66</v>
      </c>
      <c r="O18" s="92" t="s">
        <v>66</v>
      </c>
      <c r="P18" s="92" t="s">
        <v>66</v>
      </c>
      <c r="Q18" s="92">
        <v>-10.09</v>
      </c>
      <c r="R18" s="92" t="s">
        <v>66</v>
      </c>
      <c r="S18" s="92" t="s">
        <v>66</v>
      </c>
      <c r="T18" s="92" t="s">
        <v>66</v>
      </c>
      <c r="U18" s="92" t="s">
        <v>66</v>
      </c>
      <c r="V18" s="92" t="s">
        <v>66</v>
      </c>
      <c r="W18" s="92" t="s">
        <v>66</v>
      </c>
      <c r="X18" s="92" t="s">
        <v>66</v>
      </c>
      <c r="Y18" s="92" t="s">
        <v>66</v>
      </c>
      <c r="Z18" s="92" t="s">
        <v>66</v>
      </c>
      <c r="AA18" s="92" t="s">
        <v>66</v>
      </c>
      <c r="AB18" s="92" t="s">
        <v>66</v>
      </c>
      <c r="AC18" s="92" t="s">
        <v>66</v>
      </c>
      <c r="AD18" s="92">
        <v>-8.6</v>
      </c>
      <c r="AE18" s="92" t="s">
        <v>66</v>
      </c>
      <c r="AF18" s="92" t="s">
        <v>66</v>
      </c>
      <c r="AG18" s="92" t="s">
        <v>66</v>
      </c>
      <c r="AH18" s="92" t="s">
        <v>66</v>
      </c>
      <c r="AI18" s="92" t="s">
        <v>66</v>
      </c>
      <c r="AJ18" s="97"/>
    </row>
    <row r="19" spans="1:39" x14ac:dyDescent="0.25">
      <c r="A19" s="96"/>
      <c r="B19" s="86" t="s">
        <v>34</v>
      </c>
      <c r="C19" s="87">
        <f t="shared" si="5"/>
        <v>-38.5</v>
      </c>
      <c r="D19" s="93">
        <f t="shared" si="6"/>
        <v>2.2720030214689532E-2</v>
      </c>
      <c r="E19" s="94" t="s">
        <v>66</v>
      </c>
      <c r="F19" s="94" t="s">
        <v>66</v>
      </c>
      <c r="G19" s="94" t="s">
        <v>66</v>
      </c>
      <c r="H19" s="94" t="s">
        <v>66</v>
      </c>
      <c r="I19" s="94" t="s">
        <v>66</v>
      </c>
      <c r="J19" s="94" t="s">
        <v>66</v>
      </c>
      <c r="K19" s="94" t="s">
        <v>66</v>
      </c>
      <c r="L19" s="94" t="s">
        <v>66</v>
      </c>
      <c r="M19" s="94" t="s">
        <v>66</v>
      </c>
      <c r="N19" s="94" t="s">
        <v>66</v>
      </c>
      <c r="O19" s="94">
        <v>-3</v>
      </c>
      <c r="P19" s="94" t="s">
        <v>66</v>
      </c>
      <c r="Q19" s="94" t="s">
        <v>66</v>
      </c>
      <c r="R19" s="94" t="s">
        <v>66</v>
      </c>
      <c r="S19" s="94" t="s">
        <v>66</v>
      </c>
      <c r="T19" s="94" t="s">
        <v>66</v>
      </c>
      <c r="U19" s="94" t="s">
        <v>66</v>
      </c>
      <c r="V19" s="94" t="s">
        <v>66</v>
      </c>
      <c r="W19" s="94" t="s">
        <v>66</v>
      </c>
      <c r="X19" s="94" t="s">
        <v>66</v>
      </c>
      <c r="Y19" s="94" t="s">
        <v>66</v>
      </c>
      <c r="Z19" s="94" t="s">
        <v>66</v>
      </c>
      <c r="AA19" s="94" t="s">
        <v>66</v>
      </c>
      <c r="AB19" s="94" t="s">
        <v>66</v>
      </c>
      <c r="AC19" s="94" t="s">
        <v>66</v>
      </c>
      <c r="AD19" s="94" t="s">
        <v>66</v>
      </c>
      <c r="AE19" s="94" t="s">
        <v>66</v>
      </c>
      <c r="AF19" s="94" t="s">
        <v>66</v>
      </c>
      <c r="AG19" s="94" t="s">
        <v>66</v>
      </c>
      <c r="AH19" s="94">
        <v>-35.5</v>
      </c>
      <c r="AI19" s="94" t="s">
        <v>66</v>
      </c>
      <c r="AJ19" s="97"/>
      <c r="AL19" s="86"/>
      <c r="AM19" s="95"/>
    </row>
    <row r="20" spans="1:39" x14ac:dyDescent="0.25">
      <c r="A20" s="96"/>
      <c r="B20" s="86" t="s">
        <v>35</v>
      </c>
      <c r="C20" s="87">
        <f t="shared" si="5"/>
        <v>0</v>
      </c>
      <c r="D20" s="91">
        <f t="shared" si="6"/>
        <v>0</v>
      </c>
      <c r="E20" s="92" t="s">
        <v>66</v>
      </c>
      <c r="F20" s="92" t="s">
        <v>66</v>
      </c>
      <c r="G20" s="92" t="s">
        <v>66</v>
      </c>
      <c r="H20" s="92" t="s">
        <v>66</v>
      </c>
      <c r="I20" s="92" t="s">
        <v>66</v>
      </c>
      <c r="J20" s="92" t="s">
        <v>66</v>
      </c>
      <c r="K20" s="92" t="s">
        <v>66</v>
      </c>
      <c r="L20" s="92" t="s">
        <v>66</v>
      </c>
      <c r="M20" s="92" t="s">
        <v>66</v>
      </c>
      <c r="N20" s="92" t="s">
        <v>66</v>
      </c>
      <c r="O20" s="92" t="s">
        <v>66</v>
      </c>
      <c r="P20" s="92" t="s">
        <v>66</v>
      </c>
      <c r="Q20" s="92" t="s">
        <v>66</v>
      </c>
      <c r="R20" s="92" t="s">
        <v>66</v>
      </c>
      <c r="S20" s="92" t="s">
        <v>66</v>
      </c>
      <c r="T20" s="92" t="s">
        <v>66</v>
      </c>
      <c r="U20" s="92" t="s">
        <v>66</v>
      </c>
      <c r="V20" s="92" t="s">
        <v>66</v>
      </c>
      <c r="W20" s="92" t="s">
        <v>66</v>
      </c>
      <c r="X20" s="92" t="s">
        <v>66</v>
      </c>
      <c r="Y20" s="92" t="s">
        <v>66</v>
      </c>
      <c r="Z20" s="92" t="s">
        <v>66</v>
      </c>
      <c r="AA20" s="92" t="s">
        <v>66</v>
      </c>
      <c r="AB20" s="92" t="s">
        <v>66</v>
      </c>
      <c r="AC20" s="92" t="s">
        <v>66</v>
      </c>
      <c r="AD20" s="92" t="s">
        <v>66</v>
      </c>
      <c r="AE20" s="92" t="s">
        <v>66</v>
      </c>
      <c r="AF20" s="92" t="s">
        <v>66</v>
      </c>
      <c r="AG20" s="92" t="s">
        <v>66</v>
      </c>
      <c r="AH20" s="92" t="s">
        <v>66</v>
      </c>
      <c r="AI20" s="92" t="s">
        <v>66</v>
      </c>
      <c r="AJ20" s="97"/>
    </row>
    <row r="21" spans="1:39" ht="15.75" customHeight="1" x14ac:dyDescent="0.25">
      <c r="A21" s="96"/>
      <c r="B21" s="86" t="s">
        <v>36</v>
      </c>
      <c r="C21" s="87">
        <f t="shared" si="5"/>
        <v>0</v>
      </c>
      <c r="D21" s="93">
        <f t="shared" si="6"/>
        <v>0</v>
      </c>
      <c r="E21" s="94" t="s">
        <v>66</v>
      </c>
      <c r="F21" s="94" t="s">
        <v>66</v>
      </c>
      <c r="G21" s="94" t="s">
        <v>66</v>
      </c>
      <c r="H21" s="94" t="s">
        <v>66</v>
      </c>
      <c r="I21" s="94" t="s">
        <v>66</v>
      </c>
      <c r="J21" s="94" t="s">
        <v>66</v>
      </c>
      <c r="K21" s="94" t="s">
        <v>66</v>
      </c>
      <c r="L21" s="94" t="s">
        <v>66</v>
      </c>
      <c r="M21" s="94" t="s">
        <v>66</v>
      </c>
      <c r="N21" s="94" t="s">
        <v>66</v>
      </c>
      <c r="O21" s="94" t="s">
        <v>66</v>
      </c>
      <c r="P21" s="94" t="s">
        <v>66</v>
      </c>
      <c r="Q21" s="94" t="s">
        <v>66</v>
      </c>
      <c r="R21" s="94" t="s">
        <v>66</v>
      </c>
      <c r="S21" s="94" t="s">
        <v>66</v>
      </c>
      <c r="T21" s="94" t="s">
        <v>66</v>
      </c>
      <c r="U21" s="94" t="s">
        <v>66</v>
      </c>
      <c r="V21" s="94" t="s">
        <v>66</v>
      </c>
      <c r="W21" s="94" t="s">
        <v>66</v>
      </c>
      <c r="X21" s="94" t="s">
        <v>66</v>
      </c>
      <c r="Y21" s="94" t="s">
        <v>66</v>
      </c>
      <c r="Z21" s="94" t="s">
        <v>66</v>
      </c>
      <c r="AA21" s="94" t="s">
        <v>66</v>
      </c>
      <c r="AB21" s="94" t="s">
        <v>66</v>
      </c>
      <c r="AC21" s="94" t="s">
        <v>66</v>
      </c>
      <c r="AD21" s="94" t="s">
        <v>66</v>
      </c>
      <c r="AE21" s="94" t="s">
        <v>66</v>
      </c>
      <c r="AF21" s="94" t="s">
        <v>66</v>
      </c>
      <c r="AG21" s="94" t="s">
        <v>66</v>
      </c>
      <c r="AH21" s="94" t="s">
        <v>66</v>
      </c>
      <c r="AI21" s="94" t="s">
        <v>66</v>
      </c>
      <c r="AJ21" s="97"/>
    </row>
    <row r="22" spans="1:39" ht="15.75" customHeight="1" x14ac:dyDescent="0.25">
      <c r="A22" s="96"/>
      <c r="B22" s="86" t="s">
        <v>39</v>
      </c>
      <c r="C22" s="87">
        <f t="shared" si="5"/>
        <v>-45.49</v>
      </c>
      <c r="D22" s="91">
        <f t="shared" si="6"/>
        <v>2.684504349262927E-2</v>
      </c>
      <c r="E22" s="92" t="s">
        <v>66</v>
      </c>
      <c r="F22" s="92" t="s">
        <v>66</v>
      </c>
      <c r="G22" s="92" t="s">
        <v>66</v>
      </c>
      <c r="H22" s="92" t="s">
        <v>66</v>
      </c>
      <c r="I22" s="92">
        <v>-20.25</v>
      </c>
      <c r="J22" s="92" t="s">
        <v>66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 t="s">
        <v>66</v>
      </c>
      <c r="Q22" s="92" t="s">
        <v>66</v>
      </c>
      <c r="R22" s="92" t="s">
        <v>66</v>
      </c>
      <c r="S22" s="92" t="s">
        <v>66</v>
      </c>
      <c r="T22" s="92" t="s">
        <v>66</v>
      </c>
      <c r="U22" s="92" t="s">
        <v>66</v>
      </c>
      <c r="V22" s="92">
        <v>-2.99</v>
      </c>
      <c r="W22" s="92" t="s">
        <v>66</v>
      </c>
      <c r="X22" s="92" t="s">
        <v>66</v>
      </c>
      <c r="Y22" s="92">
        <v>-6.35</v>
      </c>
      <c r="Z22" s="92" t="s">
        <v>66</v>
      </c>
      <c r="AA22" s="92" t="s">
        <v>66</v>
      </c>
      <c r="AB22" s="92" t="s">
        <v>66</v>
      </c>
      <c r="AC22" s="92" t="s">
        <v>66</v>
      </c>
      <c r="AD22" s="92" t="s">
        <v>66</v>
      </c>
      <c r="AE22" s="92" t="s">
        <v>66</v>
      </c>
      <c r="AF22" s="92">
        <v>-15.9</v>
      </c>
      <c r="AG22" s="92" t="s">
        <v>66</v>
      </c>
      <c r="AH22" s="92" t="s">
        <v>66</v>
      </c>
      <c r="AI22" s="92" t="s">
        <v>66</v>
      </c>
      <c r="AJ22" s="97"/>
    </row>
    <row r="23" spans="1:39" ht="15.75" customHeight="1" x14ac:dyDescent="0.25">
      <c r="A23" s="96"/>
      <c r="B23" s="86" t="s">
        <v>40</v>
      </c>
      <c r="C23" s="87">
        <f t="shared" si="5"/>
        <v>0</v>
      </c>
      <c r="D23" s="93">
        <f t="shared" si="6"/>
        <v>0</v>
      </c>
      <c r="E23" s="94" t="s">
        <v>66</v>
      </c>
      <c r="F23" s="94" t="s">
        <v>66</v>
      </c>
      <c r="G23" s="94" t="s">
        <v>66</v>
      </c>
      <c r="H23" s="94" t="s">
        <v>66</v>
      </c>
      <c r="I23" s="94" t="s">
        <v>66</v>
      </c>
      <c r="J23" s="94" t="s">
        <v>66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 t="s">
        <v>66</v>
      </c>
      <c r="R23" s="94" t="s">
        <v>66</v>
      </c>
      <c r="S23" s="94" t="s">
        <v>66</v>
      </c>
      <c r="T23" s="94" t="s">
        <v>66</v>
      </c>
      <c r="U23" s="94" t="s">
        <v>66</v>
      </c>
      <c r="V23" s="94" t="s">
        <v>66</v>
      </c>
      <c r="W23" s="94" t="s">
        <v>66</v>
      </c>
      <c r="X23" s="94" t="s">
        <v>66</v>
      </c>
      <c r="Y23" s="94" t="s">
        <v>66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4" t="s">
        <v>66</v>
      </c>
      <c r="AH23" s="94" t="s">
        <v>66</v>
      </c>
      <c r="AI23" s="94" t="s">
        <v>66</v>
      </c>
      <c r="AJ23" s="97"/>
    </row>
    <row r="24" spans="1:39" ht="15.75" customHeight="1" x14ac:dyDescent="0.25">
      <c r="A24" s="96"/>
      <c r="B24" s="86" t="s">
        <v>41</v>
      </c>
      <c r="C24" s="87">
        <f t="shared" si="5"/>
        <v>0</v>
      </c>
      <c r="D24" s="91">
        <f t="shared" si="6"/>
        <v>0</v>
      </c>
      <c r="E24" s="92" t="s">
        <v>66</v>
      </c>
      <c r="F24" s="92" t="s">
        <v>66</v>
      </c>
      <c r="G24" s="92" t="s">
        <v>66</v>
      </c>
      <c r="H24" s="92" t="s">
        <v>66</v>
      </c>
      <c r="I24" s="92" t="s">
        <v>66</v>
      </c>
      <c r="J24" s="92" t="s">
        <v>66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 t="s">
        <v>66</v>
      </c>
      <c r="AB24" s="92" t="s">
        <v>66</v>
      </c>
      <c r="AC24" s="92" t="s">
        <v>66</v>
      </c>
      <c r="AD24" s="92" t="s">
        <v>66</v>
      </c>
      <c r="AE24" s="92" t="s">
        <v>66</v>
      </c>
      <c r="AF24" s="92" t="s">
        <v>66</v>
      </c>
      <c r="AG24" s="92" t="s">
        <v>66</v>
      </c>
      <c r="AH24" s="92" t="s">
        <v>66</v>
      </c>
      <c r="AI24" s="92" t="s">
        <v>66</v>
      </c>
      <c r="AJ24" s="97"/>
    </row>
    <row r="25" spans="1:39" ht="15.75" customHeight="1" x14ac:dyDescent="0.25">
      <c r="A25" s="246"/>
      <c r="B25" s="86" t="s">
        <v>208</v>
      </c>
      <c r="C25" s="87">
        <f>-522/3</f>
        <v>-174</v>
      </c>
      <c r="D25" s="91">
        <f t="shared" si="6"/>
        <v>0.10268273395729814</v>
      </c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247"/>
    </row>
    <row r="26" spans="1:39" ht="15.75" customHeight="1" x14ac:dyDescent="0.25">
      <c r="A26" s="96"/>
      <c r="B26" s="86" t="s">
        <v>72</v>
      </c>
      <c r="C26" s="87">
        <f t="shared" si="5"/>
        <v>-600</v>
      </c>
      <c r="D26" s="93">
        <f t="shared" si="6"/>
        <v>0.35407839295620053</v>
      </c>
      <c r="E26" s="94" t="s">
        <v>66</v>
      </c>
      <c r="F26" s="94" t="s">
        <v>66</v>
      </c>
      <c r="G26" s="94" t="s">
        <v>66</v>
      </c>
      <c r="H26" s="94" t="s">
        <v>66</v>
      </c>
      <c r="I26" s="94" t="s">
        <v>66</v>
      </c>
      <c r="J26" s="94" t="s">
        <v>66</v>
      </c>
      <c r="K26" s="94" t="s">
        <v>66</v>
      </c>
      <c r="L26" s="94" t="s">
        <v>66</v>
      </c>
      <c r="M26" s="94" t="s">
        <v>66</v>
      </c>
      <c r="N26" s="94" t="s">
        <v>66</v>
      </c>
      <c r="O26" s="94" t="s">
        <v>66</v>
      </c>
      <c r="P26" s="94" t="s">
        <v>66</v>
      </c>
      <c r="Q26" s="94" t="s">
        <v>66</v>
      </c>
      <c r="R26" s="94" t="s">
        <v>66</v>
      </c>
      <c r="S26" s="94" t="s">
        <v>66</v>
      </c>
      <c r="T26" s="94" t="s">
        <v>66</v>
      </c>
      <c r="U26" s="94" t="s">
        <v>66</v>
      </c>
      <c r="V26" s="94" t="s">
        <v>66</v>
      </c>
      <c r="W26" s="94">
        <v>-600</v>
      </c>
      <c r="X26" s="94" t="s">
        <v>66</v>
      </c>
      <c r="Y26" s="94" t="s">
        <v>66</v>
      </c>
      <c r="Z26" s="94" t="s">
        <v>66</v>
      </c>
      <c r="AA26" s="94" t="s">
        <v>66</v>
      </c>
      <c r="AB26" s="94" t="s">
        <v>66</v>
      </c>
      <c r="AC26" s="94" t="s">
        <v>66</v>
      </c>
      <c r="AD26" s="94" t="s">
        <v>66</v>
      </c>
      <c r="AE26" s="94" t="s">
        <v>66</v>
      </c>
      <c r="AF26" s="94" t="s">
        <v>66</v>
      </c>
      <c r="AG26" s="94" t="s">
        <v>66</v>
      </c>
      <c r="AH26" s="94" t="s">
        <v>66</v>
      </c>
      <c r="AI26" s="94" t="s">
        <v>66</v>
      </c>
      <c r="AJ26" s="97"/>
    </row>
    <row r="27" spans="1:39" ht="15.75" customHeight="1" x14ac:dyDescent="0.25">
      <c r="A27" s="96"/>
      <c r="B27" s="86" t="s">
        <v>42</v>
      </c>
      <c r="C27" s="87">
        <f t="shared" si="5"/>
        <v>0</v>
      </c>
      <c r="D27" s="91">
        <f t="shared" si="6"/>
        <v>0</v>
      </c>
      <c r="E27" s="92" t="s">
        <v>66</v>
      </c>
      <c r="F27" s="92" t="s">
        <v>66</v>
      </c>
      <c r="G27" s="92" t="s">
        <v>66</v>
      </c>
      <c r="H27" s="92" t="s">
        <v>66</v>
      </c>
      <c r="I27" s="92" t="s">
        <v>66</v>
      </c>
      <c r="J27" s="92" t="s">
        <v>66</v>
      </c>
      <c r="K27" s="92" t="s">
        <v>66</v>
      </c>
      <c r="L27" s="92" t="s">
        <v>66</v>
      </c>
      <c r="M27" s="92" t="s">
        <v>66</v>
      </c>
      <c r="N27" s="92" t="s">
        <v>66</v>
      </c>
      <c r="O27" s="92" t="s">
        <v>66</v>
      </c>
      <c r="P27" s="92" t="s">
        <v>66</v>
      </c>
      <c r="Q27" s="92" t="s">
        <v>66</v>
      </c>
      <c r="R27" s="92" t="s">
        <v>66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 t="s">
        <v>66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2" t="s">
        <v>66</v>
      </c>
      <c r="AJ27" s="97"/>
    </row>
    <row r="28" spans="1:39" ht="15.75" customHeight="1" x14ac:dyDescent="0.25">
      <c r="A28" s="96"/>
      <c r="B28" s="99" t="s">
        <v>44</v>
      </c>
      <c r="C28" s="124">
        <f>SUM(E28:AH28)</f>
        <v>2080</v>
      </c>
      <c r="D28" s="125"/>
      <c r="E28" s="126"/>
      <c r="F28" s="126"/>
      <c r="G28" s="126"/>
      <c r="H28" s="126"/>
      <c r="I28" s="126">
        <v>2080</v>
      </c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>
        <v>-100</v>
      </c>
      <c r="AJ28" s="97"/>
    </row>
    <row r="29" spans="1:39" ht="15.75" customHeight="1" x14ac:dyDescent="0.25">
      <c r="A29" s="96"/>
      <c r="B29" s="83"/>
      <c r="C29" s="12"/>
      <c r="D29" s="106"/>
      <c r="E29" s="107">
        <f t="shared" ref="E29:AI29" si="7">E5</f>
        <v>43374</v>
      </c>
      <c r="F29" s="107">
        <f t="shared" si="7"/>
        <v>43375</v>
      </c>
      <c r="G29" s="107">
        <f t="shared" si="7"/>
        <v>43376</v>
      </c>
      <c r="H29" s="107">
        <f t="shared" si="7"/>
        <v>43377</v>
      </c>
      <c r="I29" s="107">
        <f t="shared" si="7"/>
        <v>43378</v>
      </c>
      <c r="J29" s="107">
        <f t="shared" si="7"/>
        <v>43379</v>
      </c>
      <c r="K29" s="107">
        <f t="shared" si="7"/>
        <v>43380</v>
      </c>
      <c r="L29" s="107">
        <f t="shared" si="7"/>
        <v>43381</v>
      </c>
      <c r="M29" s="107">
        <f t="shared" si="7"/>
        <v>43382</v>
      </c>
      <c r="N29" s="107">
        <f t="shared" si="7"/>
        <v>43383</v>
      </c>
      <c r="O29" s="107">
        <f t="shared" si="7"/>
        <v>43384</v>
      </c>
      <c r="P29" s="107">
        <f t="shared" si="7"/>
        <v>43385</v>
      </c>
      <c r="Q29" s="107">
        <f t="shared" si="7"/>
        <v>43386</v>
      </c>
      <c r="R29" s="107">
        <f t="shared" si="7"/>
        <v>43387</v>
      </c>
      <c r="S29" s="107">
        <f t="shared" si="7"/>
        <v>43388</v>
      </c>
      <c r="T29" s="107">
        <f t="shared" si="7"/>
        <v>43389</v>
      </c>
      <c r="U29" s="107">
        <f t="shared" si="7"/>
        <v>43390</v>
      </c>
      <c r="V29" s="107">
        <f t="shared" si="7"/>
        <v>43391</v>
      </c>
      <c r="W29" s="107">
        <f t="shared" si="7"/>
        <v>43392</v>
      </c>
      <c r="X29" s="107">
        <f t="shared" si="7"/>
        <v>43393</v>
      </c>
      <c r="Y29" s="107">
        <f t="shared" si="7"/>
        <v>43394</v>
      </c>
      <c r="Z29" s="107">
        <f t="shared" si="7"/>
        <v>43395</v>
      </c>
      <c r="AA29" s="107">
        <f t="shared" si="7"/>
        <v>43396</v>
      </c>
      <c r="AB29" s="107">
        <f t="shared" si="7"/>
        <v>43397</v>
      </c>
      <c r="AC29" s="107">
        <f t="shared" si="7"/>
        <v>43398</v>
      </c>
      <c r="AD29" s="107">
        <f t="shared" si="7"/>
        <v>43399</v>
      </c>
      <c r="AE29" s="107">
        <f t="shared" si="7"/>
        <v>43400</v>
      </c>
      <c r="AF29" s="107">
        <f t="shared" si="7"/>
        <v>43401</v>
      </c>
      <c r="AG29" s="107">
        <f t="shared" si="7"/>
        <v>43402</v>
      </c>
      <c r="AH29" s="107">
        <f t="shared" si="7"/>
        <v>43403</v>
      </c>
      <c r="AI29" s="107">
        <f t="shared" si="7"/>
        <v>43404</v>
      </c>
      <c r="AJ29" s="97"/>
    </row>
    <row r="30" spans="1:39" ht="15.75" customHeight="1" x14ac:dyDescent="0.25">
      <c r="A30" s="96"/>
      <c r="B30" s="110" t="s">
        <v>79</v>
      </c>
      <c r="C30" s="58"/>
      <c r="D30" s="66"/>
      <c r="E30" s="112">
        <f t="shared" ref="E30:AI30" si="8">SUM($E$6:E6)</f>
        <v>-15.56</v>
      </c>
      <c r="F30" s="112">
        <f t="shared" si="8"/>
        <v>-20.060000000000002</v>
      </c>
      <c r="G30" s="112">
        <f t="shared" si="8"/>
        <v>-40.06</v>
      </c>
      <c r="H30" s="112">
        <f t="shared" si="8"/>
        <v>-48.02</v>
      </c>
      <c r="I30" s="112">
        <f t="shared" si="8"/>
        <v>-97.75</v>
      </c>
      <c r="J30" s="112">
        <f t="shared" si="8"/>
        <v>-107.65</v>
      </c>
      <c r="K30" s="112">
        <f t="shared" si="8"/>
        <v>-107.65</v>
      </c>
      <c r="L30" s="112">
        <f t="shared" si="8"/>
        <v>-134.55000000000001</v>
      </c>
      <c r="M30" s="112">
        <f t="shared" si="8"/>
        <v>-300.47000000000003</v>
      </c>
      <c r="N30" s="112">
        <f t="shared" si="8"/>
        <v>-315.92</v>
      </c>
      <c r="O30" s="112">
        <f t="shared" si="8"/>
        <v>-322.92</v>
      </c>
      <c r="P30" s="112">
        <f t="shared" si="8"/>
        <v>-340.42</v>
      </c>
      <c r="Q30" s="112">
        <f t="shared" si="8"/>
        <v>-412.43</v>
      </c>
      <c r="R30" s="112">
        <f t="shared" si="8"/>
        <v>-433.22</v>
      </c>
      <c r="S30" s="112">
        <f t="shared" si="8"/>
        <v>-433.22</v>
      </c>
      <c r="T30" s="112">
        <f t="shared" si="8"/>
        <v>-433.22</v>
      </c>
      <c r="U30" s="112">
        <f t="shared" si="8"/>
        <v>-433.22</v>
      </c>
      <c r="V30" s="112">
        <f t="shared" si="8"/>
        <v>-438.71000000000004</v>
      </c>
      <c r="W30" s="112">
        <f t="shared" si="8"/>
        <v>-1047.71</v>
      </c>
      <c r="X30" s="112">
        <f t="shared" si="8"/>
        <v>-1262.51</v>
      </c>
      <c r="Y30" s="112">
        <f t="shared" si="8"/>
        <v>-1285.68</v>
      </c>
      <c r="Z30" s="112">
        <f t="shared" si="8"/>
        <v>-1285.68</v>
      </c>
      <c r="AA30" s="112">
        <f t="shared" si="8"/>
        <v>-1285.68</v>
      </c>
      <c r="AB30" s="112">
        <f t="shared" si="8"/>
        <v>-1285.68</v>
      </c>
      <c r="AC30" s="112">
        <f t="shared" si="8"/>
        <v>-1317.5800000000002</v>
      </c>
      <c r="AD30" s="112">
        <f t="shared" si="8"/>
        <v>-1336.18</v>
      </c>
      <c r="AE30" s="112">
        <f t="shared" si="8"/>
        <v>-1370.0800000000002</v>
      </c>
      <c r="AF30" s="112">
        <f t="shared" si="8"/>
        <v>-1428.88</v>
      </c>
      <c r="AG30" s="112">
        <f t="shared" si="8"/>
        <v>-1473.8700000000001</v>
      </c>
      <c r="AH30" s="112">
        <f t="shared" si="8"/>
        <v>-1520.5400000000002</v>
      </c>
      <c r="AI30" s="112">
        <f t="shared" si="8"/>
        <v>-1520.5400000000002</v>
      </c>
      <c r="AJ30" s="97"/>
    </row>
    <row r="31" spans="1:39" ht="15.75" customHeight="1" x14ac:dyDescent="0.25">
      <c r="A31" s="96"/>
      <c r="B31" s="99" t="s">
        <v>69</v>
      </c>
      <c r="C31" s="44"/>
      <c r="D31" s="115">
        <f>'Set2018'!AH30</f>
        <v>1253.9099999999999</v>
      </c>
      <c r="E31" s="73">
        <f t="shared" ref="E31:AI31" si="9">D39+E6+E28</f>
        <v>1238.3499999999999</v>
      </c>
      <c r="F31" s="73">
        <f t="shared" si="9"/>
        <v>1233.8499999999999</v>
      </c>
      <c r="G31" s="73">
        <f t="shared" si="9"/>
        <v>1213.8499999999999</v>
      </c>
      <c r="H31" s="73">
        <f t="shared" si="9"/>
        <v>1205.8899999999999</v>
      </c>
      <c r="I31" s="73">
        <f t="shared" si="9"/>
        <v>3236.16</v>
      </c>
      <c r="J31" s="73">
        <f t="shared" si="9"/>
        <v>3226.2599999999998</v>
      </c>
      <c r="K31" s="73">
        <f t="shared" si="9"/>
        <v>3226.2599999999998</v>
      </c>
      <c r="L31" s="73">
        <f t="shared" si="9"/>
        <v>3199.3599999999997</v>
      </c>
      <c r="M31" s="73">
        <f t="shared" si="9"/>
        <v>3033.4399999999996</v>
      </c>
      <c r="N31" s="73">
        <f t="shared" si="9"/>
        <v>3017.99</v>
      </c>
      <c r="O31" s="73">
        <f t="shared" si="9"/>
        <v>3010.99</v>
      </c>
      <c r="P31" s="73">
        <f t="shared" si="9"/>
        <v>2993.49</v>
      </c>
      <c r="Q31" s="73">
        <f t="shared" si="9"/>
        <v>2921.4799999999996</v>
      </c>
      <c r="R31" s="73">
        <f t="shared" si="9"/>
        <v>2900.6899999999996</v>
      </c>
      <c r="S31" s="73">
        <f t="shared" si="9"/>
        <v>2900.6899999999996</v>
      </c>
      <c r="T31" s="73">
        <f t="shared" si="9"/>
        <v>2900.6899999999996</v>
      </c>
      <c r="U31" s="73">
        <f t="shared" si="9"/>
        <v>2900.6899999999996</v>
      </c>
      <c r="V31" s="73">
        <f t="shared" si="9"/>
        <v>2895.2</v>
      </c>
      <c r="W31" s="73">
        <f t="shared" si="9"/>
        <v>2286.1999999999998</v>
      </c>
      <c r="X31" s="73">
        <f t="shared" si="9"/>
        <v>2071.3999999999996</v>
      </c>
      <c r="Y31" s="73">
        <f t="shared" si="9"/>
        <v>2048.2299999999996</v>
      </c>
      <c r="Z31" s="73">
        <f t="shared" si="9"/>
        <v>2048.2299999999996</v>
      </c>
      <c r="AA31" s="73">
        <f t="shared" si="9"/>
        <v>2048.2299999999996</v>
      </c>
      <c r="AB31" s="73">
        <f t="shared" si="9"/>
        <v>2048.2299999999996</v>
      </c>
      <c r="AC31" s="73">
        <f t="shared" si="9"/>
        <v>2016.3299999999995</v>
      </c>
      <c r="AD31" s="73">
        <f t="shared" si="9"/>
        <v>1997.7299999999996</v>
      </c>
      <c r="AE31" s="73">
        <f t="shared" si="9"/>
        <v>1963.8299999999995</v>
      </c>
      <c r="AF31" s="73">
        <f t="shared" si="9"/>
        <v>1905.0299999999995</v>
      </c>
      <c r="AG31" s="73">
        <f t="shared" si="9"/>
        <v>1860.0399999999995</v>
      </c>
      <c r="AH31" s="73">
        <f t="shared" si="9"/>
        <v>1813.3699999999994</v>
      </c>
      <c r="AI31" s="73">
        <f t="shared" si="9"/>
        <v>1713.3699999999994</v>
      </c>
      <c r="AJ31" s="97"/>
    </row>
    <row r="32" spans="1:39" ht="15.75" customHeight="1" x14ac:dyDescent="0.25">
      <c r="A32" s="96"/>
      <c r="B32" s="83" t="s">
        <v>61</v>
      </c>
      <c r="C32" s="12"/>
      <c r="D32" s="12"/>
      <c r="E32" s="1"/>
      <c r="F32" s="1"/>
      <c r="G32" s="1"/>
      <c r="H32" s="1"/>
      <c r="I32" s="1">
        <v>126</v>
      </c>
      <c r="J32" s="1"/>
      <c r="K32" s="1"/>
      <c r="L32" s="1"/>
      <c r="M32" s="1"/>
      <c r="N32" s="1"/>
      <c r="O32" s="1">
        <v>22</v>
      </c>
      <c r="P32" s="1"/>
      <c r="Q32" s="1"/>
      <c r="R32" s="1"/>
      <c r="S32" s="1"/>
      <c r="T32" s="1"/>
      <c r="U32" s="1"/>
      <c r="V32" s="1">
        <v>9</v>
      </c>
      <c r="W32" s="1">
        <v>9</v>
      </c>
      <c r="X32" s="1"/>
      <c r="Y32" s="1"/>
      <c r="Z32" s="1"/>
      <c r="AA32" s="1"/>
      <c r="AB32" s="1"/>
      <c r="AC32" s="1"/>
      <c r="AD32" s="1"/>
      <c r="AE32" s="1">
        <v>61</v>
      </c>
      <c r="AF32" s="1"/>
      <c r="AG32" s="1"/>
      <c r="AH32" s="1"/>
      <c r="AI32" s="1">
        <v>59</v>
      </c>
      <c r="AJ32" s="97"/>
    </row>
    <row r="33" spans="1:36" ht="15.75" customHeight="1" x14ac:dyDescent="0.25">
      <c r="A33" s="96"/>
      <c r="B33" s="83" t="s">
        <v>70</v>
      </c>
      <c r="C33" s="12"/>
      <c r="D33" s="12"/>
      <c r="E33" s="1"/>
      <c r="F33" s="1"/>
      <c r="G33" s="1"/>
      <c r="H33" s="1"/>
      <c r="I33" s="1">
        <v>-395.9</v>
      </c>
      <c r="J33" s="1"/>
      <c r="K33" s="1"/>
      <c r="L33" s="1"/>
      <c r="M33" s="1"/>
      <c r="N33" s="1"/>
      <c r="O33" s="1">
        <v>-461.57</v>
      </c>
      <c r="P33" s="1"/>
      <c r="Q33" s="1"/>
      <c r="R33" s="1"/>
      <c r="S33" s="1"/>
      <c r="T33" s="1"/>
      <c r="U33" s="1"/>
      <c r="V33" s="1"/>
      <c r="W33" s="1">
        <v>-105.1</v>
      </c>
      <c r="X33" s="1"/>
      <c r="Y33" s="1"/>
      <c r="Z33" s="1"/>
      <c r="AA33" s="1"/>
      <c r="AB33" s="1"/>
      <c r="AC33" s="1"/>
      <c r="AD33" s="1"/>
      <c r="AE33" s="1">
        <v>-201.57</v>
      </c>
      <c r="AF33" s="1"/>
      <c r="AG33" s="1"/>
      <c r="AH33" s="1"/>
      <c r="AI33" s="1">
        <v>-325.44</v>
      </c>
      <c r="AJ33" s="97"/>
    </row>
    <row r="34" spans="1:36" ht="15.75" customHeight="1" x14ac:dyDescent="0.25">
      <c r="A34" s="96"/>
      <c r="B34" s="83" t="s">
        <v>71</v>
      </c>
      <c r="C34" s="12"/>
      <c r="D34" s="12"/>
      <c r="E34" s="1"/>
      <c r="F34" s="1"/>
      <c r="G34" s="1"/>
      <c r="H34" s="1"/>
      <c r="I34" s="1">
        <v>2161.5</v>
      </c>
      <c r="J34" s="1"/>
      <c r="K34" s="1"/>
      <c r="L34" s="1"/>
      <c r="M34" s="1"/>
      <c r="N34" s="1"/>
      <c r="O34" s="1">
        <v>2635.06</v>
      </c>
      <c r="P34" s="1"/>
      <c r="Q34" s="1"/>
      <c r="R34" s="1"/>
      <c r="S34" s="1"/>
      <c r="T34" s="1"/>
      <c r="U34" s="1"/>
      <c r="V34" s="1">
        <v>1538.43</v>
      </c>
      <c r="W34" s="1">
        <v>1328.44</v>
      </c>
      <c r="X34" s="1"/>
      <c r="Y34" s="1"/>
      <c r="Z34" s="1"/>
      <c r="AA34" s="1"/>
      <c r="AB34" s="1"/>
      <c r="AC34" s="1"/>
      <c r="AD34" s="1"/>
      <c r="AE34" s="1">
        <v>1080.94</v>
      </c>
      <c r="AF34" s="1"/>
      <c r="AG34" s="1"/>
      <c r="AH34" s="1"/>
      <c r="AI34" s="1">
        <v>1035.95</v>
      </c>
      <c r="AJ34" s="97"/>
    </row>
    <row r="35" spans="1:36" ht="15.75" customHeight="1" x14ac:dyDescent="0.25">
      <c r="A35" s="96"/>
      <c r="B35" s="83" t="s">
        <v>73</v>
      </c>
      <c r="C35" s="12"/>
      <c r="D35" s="12"/>
      <c r="E35" s="1"/>
      <c r="F35" s="1"/>
      <c r="G35" s="1"/>
      <c r="H35" s="1"/>
      <c r="I35" s="1">
        <v>400</v>
      </c>
      <c r="J35" s="1"/>
      <c r="K35" s="1"/>
      <c r="L35" s="1"/>
      <c r="M35" s="1"/>
      <c r="N35" s="1"/>
      <c r="O35" s="1">
        <v>400</v>
      </c>
      <c r="P35" s="1"/>
      <c r="Q35" s="1"/>
      <c r="R35" s="1"/>
      <c r="S35" s="1"/>
      <c r="T35" s="1"/>
      <c r="U35" s="1"/>
      <c r="V35" s="1">
        <v>400</v>
      </c>
      <c r="W35" s="1">
        <v>600</v>
      </c>
      <c r="X35" s="1"/>
      <c r="Y35" s="1"/>
      <c r="Z35" s="1"/>
      <c r="AA35" s="1"/>
      <c r="AB35" s="1"/>
      <c r="AC35" s="1"/>
      <c r="AD35" s="1"/>
      <c r="AE35" s="1">
        <v>600</v>
      </c>
      <c r="AF35" s="1"/>
      <c r="AG35" s="1"/>
      <c r="AH35" s="1"/>
      <c r="AI35" s="1">
        <v>600</v>
      </c>
      <c r="AJ35" s="97"/>
    </row>
    <row r="36" spans="1:36" ht="15.75" customHeight="1" x14ac:dyDescent="0.25">
      <c r="A36" s="96"/>
      <c r="B36" s="83" t="s">
        <v>85</v>
      </c>
      <c r="C36" s="12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136.41</v>
      </c>
      <c r="X36" s="1"/>
      <c r="Y36" s="1"/>
      <c r="Z36" s="1"/>
      <c r="AA36" s="1"/>
      <c r="AB36" s="1"/>
      <c r="AC36" s="1"/>
      <c r="AD36" s="1"/>
      <c r="AE36" s="1">
        <v>136.41</v>
      </c>
      <c r="AF36" s="1"/>
      <c r="AG36" s="1"/>
      <c r="AH36" s="1"/>
      <c r="AI36" s="1">
        <v>136.41</v>
      </c>
      <c r="AJ36" s="97"/>
    </row>
    <row r="37" spans="1:36" ht="15.75" customHeight="1" x14ac:dyDescent="0.25">
      <c r="A37" s="96"/>
      <c r="B37" s="83" t="s">
        <v>86</v>
      </c>
      <c r="C37" s="12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>
        <v>300.73</v>
      </c>
      <c r="X37" s="1"/>
      <c r="Y37" s="1"/>
      <c r="Z37" s="1"/>
      <c r="AA37" s="1"/>
      <c r="AB37" s="1"/>
      <c r="AC37" s="1"/>
      <c r="AD37" s="1"/>
      <c r="AE37" s="1">
        <v>300.73</v>
      </c>
      <c r="AF37" s="1"/>
      <c r="AG37" s="1"/>
      <c r="AH37" s="1"/>
      <c r="AI37" s="1">
        <v>300.73</v>
      </c>
      <c r="AJ37" s="97"/>
    </row>
    <row r="38" spans="1:36" ht="15.75" customHeight="1" x14ac:dyDescent="0.25">
      <c r="A38" s="96"/>
      <c r="B38" s="116" t="s">
        <v>63</v>
      </c>
      <c r="C38" s="68"/>
      <c r="D38" s="68"/>
      <c r="E38" s="44"/>
      <c r="F38" s="44"/>
      <c r="G38" s="44"/>
      <c r="H38" s="44"/>
      <c r="I38" s="44">
        <v>882.38</v>
      </c>
      <c r="J38" s="44"/>
      <c r="K38" s="44"/>
      <c r="L38" s="44"/>
      <c r="M38" s="44"/>
      <c r="N38" s="44"/>
      <c r="O38" s="44">
        <v>884.05</v>
      </c>
      <c r="P38" s="44"/>
      <c r="Q38" s="44"/>
      <c r="R38" s="44"/>
      <c r="S38" s="44"/>
      <c r="T38" s="44"/>
      <c r="U38" s="44"/>
      <c r="V38" s="44"/>
      <c r="W38" s="44">
        <v>884.14</v>
      </c>
      <c r="X38" s="44"/>
      <c r="Y38" s="44"/>
      <c r="Z38" s="44"/>
      <c r="AA38" s="44"/>
      <c r="AB38" s="44"/>
      <c r="AC38" s="44"/>
      <c r="AD38" s="44"/>
      <c r="AE38" s="44">
        <v>884.14</v>
      </c>
      <c r="AF38" s="44"/>
      <c r="AG38" s="44"/>
      <c r="AH38" s="44"/>
      <c r="AI38" s="44">
        <v>885.66</v>
      </c>
      <c r="AJ38" s="97"/>
    </row>
    <row r="39" spans="1:36" ht="15.75" customHeight="1" x14ac:dyDescent="0.25">
      <c r="A39" s="96"/>
      <c r="B39" s="86" t="s">
        <v>80</v>
      </c>
      <c r="C39" s="12"/>
      <c r="D39" s="50">
        <f t="shared" ref="D39:AI39" si="10">D31</f>
        <v>1253.9099999999999</v>
      </c>
      <c r="E39" s="50">
        <f t="shared" si="10"/>
        <v>1238.3499999999999</v>
      </c>
      <c r="F39" s="50">
        <f t="shared" si="10"/>
        <v>1233.8499999999999</v>
      </c>
      <c r="G39" s="50">
        <f t="shared" si="10"/>
        <v>1213.8499999999999</v>
      </c>
      <c r="H39" s="50">
        <f t="shared" si="10"/>
        <v>1205.8899999999999</v>
      </c>
      <c r="I39" s="50">
        <f t="shared" si="10"/>
        <v>3236.16</v>
      </c>
      <c r="J39" s="50">
        <f t="shared" si="10"/>
        <v>3226.2599999999998</v>
      </c>
      <c r="K39" s="50">
        <f t="shared" si="10"/>
        <v>3226.2599999999998</v>
      </c>
      <c r="L39" s="50">
        <f t="shared" si="10"/>
        <v>3199.3599999999997</v>
      </c>
      <c r="M39" s="50">
        <f t="shared" si="10"/>
        <v>3033.4399999999996</v>
      </c>
      <c r="N39" s="50">
        <f t="shared" si="10"/>
        <v>3017.99</v>
      </c>
      <c r="O39" s="50">
        <f t="shared" si="10"/>
        <v>3010.99</v>
      </c>
      <c r="P39" s="50">
        <f t="shared" si="10"/>
        <v>2993.49</v>
      </c>
      <c r="Q39" s="50">
        <f t="shared" si="10"/>
        <v>2921.4799999999996</v>
      </c>
      <c r="R39" s="50">
        <f t="shared" si="10"/>
        <v>2900.6899999999996</v>
      </c>
      <c r="S39" s="50">
        <f t="shared" si="10"/>
        <v>2900.6899999999996</v>
      </c>
      <c r="T39" s="50">
        <f t="shared" si="10"/>
        <v>2900.6899999999996</v>
      </c>
      <c r="U39" s="50">
        <f t="shared" si="10"/>
        <v>2900.6899999999996</v>
      </c>
      <c r="V39" s="50">
        <f t="shared" si="10"/>
        <v>2895.2</v>
      </c>
      <c r="W39" s="50">
        <f t="shared" si="10"/>
        <v>2286.1999999999998</v>
      </c>
      <c r="X39" s="50">
        <f t="shared" si="10"/>
        <v>2071.3999999999996</v>
      </c>
      <c r="Y39" s="50">
        <f t="shared" si="10"/>
        <v>2048.2299999999996</v>
      </c>
      <c r="Z39" s="50">
        <f t="shared" si="10"/>
        <v>2048.2299999999996</v>
      </c>
      <c r="AA39" s="73">
        <f t="shared" si="10"/>
        <v>2048.2299999999996</v>
      </c>
      <c r="AB39" s="50">
        <f t="shared" si="10"/>
        <v>2048.2299999999996</v>
      </c>
      <c r="AC39" s="50">
        <f t="shared" si="10"/>
        <v>2016.3299999999995</v>
      </c>
      <c r="AD39" s="50">
        <f t="shared" si="10"/>
        <v>1997.7299999999996</v>
      </c>
      <c r="AE39" s="50">
        <f t="shared" si="10"/>
        <v>1963.8299999999995</v>
      </c>
      <c r="AF39" s="50">
        <f t="shared" si="10"/>
        <v>1905.0299999999995</v>
      </c>
      <c r="AG39" s="50">
        <f t="shared" si="10"/>
        <v>1860.0399999999995</v>
      </c>
      <c r="AH39" s="50">
        <f t="shared" si="10"/>
        <v>1813.3699999999994</v>
      </c>
      <c r="AI39" s="50">
        <f t="shared" si="10"/>
        <v>1713.3699999999994</v>
      </c>
      <c r="AJ39" s="97"/>
    </row>
    <row r="40" spans="1:36" ht="15.75" customHeight="1" x14ac:dyDescent="0.25">
      <c r="A40" s="96"/>
      <c r="B40" s="117" t="s">
        <v>74</v>
      </c>
      <c r="C40" s="70"/>
      <c r="D40" s="70"/>
      <c r="E40" s="69"/>
      <c r="F40" s="69"/>
      <c r="G40" s="69"/>
      <c r="H40" s="69"/>
      <c r="I40" s="69">
        <f>SUM(I32:I38)</f>
        <v>3173.98</v>
      </c>
      <c r="J40" s="69"/>
      <c r="K40" s="69"/>
      <c r="L40" s="69"/>
      <c r="M40" s="69"/>
      <c r="N40" s="69"/>
      <c r="O40" s="69">
        <f>SUM(O32:O38)</f>
        <v>3479.54</v>
      </c>
      <c r="P40" s="71"/>
      <c r="Q40" s="71"/>
      <c r="R40" s="71"/>
      <c r="S40" s="71"/>
      <c r="T40" s="71"/>
      <c r="U40" s="69"/>
      <c r="V40" s="71"/>
      <c r="W40" s="71">
        <f>SUM(W32:W38)</f>
        <v>3153.6200000000003</v>
      </c>
      <c r="X40" s="71"/>
      <c r="Y40" s="71"/>
      <c r="Z40" s="71"/>
      <c r="AA40" s="1"/>
      <c r="AB40" s="71"/>
      <c r="AC40" s="71"/>
      <c r="AD40" s="71"/>
      <c r="AE40" s="71">
        <f>SUM(AE32:AE38)</f>
        <v>2861.65</v>
      </c>
      <c r="AF40" s="71"/>
      <c r="AG40" s="71"/>
      <c r="AH40" s="69"/>
      <c r="AI40" s="69">
        <f>SUM(AI32:AI38)</f>
        <v>2692.31</v>
      </c>
      <c r="AJ40" s="97"/>
    </row>
    <row r="41" spans="1:36" ht="9" customHeight="1" x14ac:dyDescent="0.25">
      <c r="A41" s="96"/>
      <c r="B41" s="97"/>
      <c r="C41" s="127"/>
      <c r="D41" s="12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6"/>
    </row>
    <row r="42" spans="1:36" ht="15.7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6" ht="15.75" customHeight="1" x14ac:dyDescent="0.25">
      <c r="B43" s="129">
        <v>43379</v>
      </c>
      <c r="C43" s="130">
        <v>-1503.1399999999999</v>
      </c>
      <c r="D43" s="112"/>
      <c r="E43" s="112">
        <v>-15.56</v>
      </c>
      <c r="F43" s="112">
        <v>-20.060000000000002</v>
      </c>
      <c r="G43" s="112">
        <v>-40.06</v>
      </c>
      <c r="H43" s="112">
        <v>-48.02</v>
      </c>
      <c r="I43" s="112">
        <v>-97.75</v>
      </c>
      <c r="J43" s="112">
        <v>-147.75</v>
      </c>
      <c r="K43" s="112">
        <v>-345.75</v>
      </c>
      <c r="L43" s="112">
        <v>-384.65</v>
      </c>
      <c r="M43" s="112">
        <v>-537.15</v>
      </c>
      <c r="N43" s="112">
        <v>-537.15</v>
      </c>
      <c r="O43" s="112">
        <v>-537.15</v>
      </c>
      <c r="P43" s="112">
        <v>-567.15</v>
      </c>
      <c r="Q43" s="112">
        <v>-597.15</v>
      </c>
      <c r="R43" s="112">
        <v>-597.15</v>
      </c>
      <c r="S43" s="112">
        <v>-609.15</v>
      </c>
      <c r="T43" s="112">
        <v>-629.15</v>
      </c>
      <c r="U43" s="112">
        <v>-629.15</v>
      </c>
      <c r="V43" s="112">
        <v>-629.15</v>
      </c>
      <c r="W43" s="112">
        <v>-659.15</v>
      </c>
      <c r="X43" s="112">
        <v>-689.15</v>
      </c>
      <c r="Y43" s="112">
        <v>-689.15</v>
      </c>
      <c r="Z43" s="112">
        <v>-701.15</v>
      </c>
      <c r="AA43" s="112">
        <v>-1303.6500000000001</v>
      </c>
      <c r="AB43" s="112">
        <v>-1333.65</v>
      </c>
      <c r="AC43" s="112">
        <v>-1333.65</v>
      </c>
      <c r="AD43" s="112">
        <v>-1408.64</v>
      </c>
      <c r="AE43" s="112">
        <v>-1438.64</v>
      </c>
      <c r="AF43" s="112">
        <v>-1438.64</v>
      </c>
      <c r="AG43" s="112">
        <v>-1450.64</v>
      </c>
      <c r="AH43" s="112">
        <v>-1453.14</v>
      </c>
      <c r="AI43" s="112">
        <v>-1503.14</v>
      </c>
    </row>
    <row r="44" spans="1:36" ht="15.75" customHeight="1" x14ac:dyDescent="0.25">
      <c r="B44" s="1"/>
      <c r="C44" s="1"/>
      <c r="D44" s="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6" ht="15.75" customHeight="1" x14ac:dyDescent="0.25">
      <c r="B45" s="1"/>
      <c r="C45" s="1"/>
      <c r="D45" s="1"/>
      <c r="E45" s="8"/>
      <c r="H45" s="8"/>
      <c r="I45" s="8"/>
      <c r="J45" s="8"/>
      <c r="K45" s="8"/>
      <c r="L45" s="8"/>
      <c r="M45" s="8"/>
      <c r="N45" s="8"/>
      <c r="O45" s="12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 t="s">
        <v>87</v>
      </c>
      <c r="AI45" s="128">
        <f>AI40-400-527.56</f>
        <v>1764.75</v>
      </c>
    </row>
    <row r="46" spans="1:36" ht="15.75" customHeight="1" x14ac:dyDescent="0.25">
      <c r="B46" s="1"/>
      <c r="C46" s="1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31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</row>
    <row r="47" spans="1:36" ht="15.75" customHeight="1" x14ac:dyDescent="0.25">
      <c r="B47" s="1"/>
      <c r="C47" s="1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</row>
    <row r="48" spans="1:36" ht="15.75" customHeight="1" x14ac:dyDescent="0.25">
      <c r="C48" s="15"/>
      <c r="D48" s="1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32" t="s">
        <v>88</v>
      </c>
    </row>
    <row r="49" spans="2:35" ht="15.75" customHeight="1" x14ac:dyDescent="0.25">
      <c r="I49" s="1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</row>
    <row r="50" spans="2:35" ht="15.75" customHeight="1" x14ac:dyDescent="0.25"/>
    <row r="51" spans="2:35" ht="15.75" customHeight="1" x14ac:dyDescent="0.25"/>
    <row r="52" spans="2:35" ht="15.7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2:35" ht="15.7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2:35" ht="15.7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2:35" ht="15.7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2:35" ht="15.7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2:35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2:35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2:35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5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2:35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2:35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2:35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2:35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2:35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2:35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2:35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2:35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2:35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2:35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2:35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2:35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2:35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2:35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2:35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2:35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2:35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2:35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2:35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2:35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2:35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2:35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2:35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2:35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2:35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2:35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2:35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2:35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2:35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2:35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2:35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2:35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2:35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2:35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2:35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2:35" ht="15.7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2:35" ht="15.7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2:35" ht="15.75" customHeight="1" x14ac:dyDescent="0.25"/>
    <row r="250" spans="2:35" ht="15.75" customHeight="1" x14ac:dyDescent="0.25"/>
    <row r="251" spans="2:35" ht="15.75" customHeight="1" x14ac:dyDescent="0.25"/>
    <row r="252" spans="2:35" ht="15.75" customHeight="1" x14ac:dyDescent="0.25"/>
    <row r="253" spans="2:35" ht="15.75" customHeight="1" x14ac:dyDescent="0.25"/>
    <row r="254" spans="2:35" ht="15.75" customHeight="1" x14ac:dyDescent="0.25"/>
    <row r="255" spans="2:35" ht="15.75" customHeight="1" x14ac:dyDescent="0.25"/>
    <row r="256" spans="2:3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47" priority="1" operator="lessThan">
      <formula>0</formula>
    </cfRule>
  </conditionalFormatting>
  <conditionalFormatting sqref="C4">
    <cfRule type="cellIs" dxfId="146" priority="2" operator="greaterThan">
      <formula>0</formula>
    </cfRule>
  </conditionalFormatting>
  <conditionalFormatting sqref="C4">
    <cfRule type="cellIs" dxfId="145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001"/>
  <sheetViews>
    <sheetView showGridLines="0" workbookViewId="0">
      <selection activeCell="C27" sqref="C27"/>
    </sheetView>
  </sheetViews>
  <sheetFormatPr defaultColWidth="14.42578125" defaultRowHeight="15" customHeight="1" x14ac:dyDescent="0.25"/>
  <cols>
    <col min="1" max="1" width="1.7109375" customWidth="1"/>
    <col min="2" max="2" width="21.7109375" customWidth="1"/>
    <col min="3" max="3" width="10.140625" customWidth="1"/>
    <col min="4" max="5" width="7.140625" customWidth="1"/>
    <col min="6" max="7" width="7.42578125" customWidth="1"/>
    <col min="8" max="8" width="8.5703125" customWidth="1"/>
    <col min="9" max="9" width="8.7109375" customWidth="1"/>
    <col min="10" max="12" width="8.5703125" customWidth="1"/>
    <col min="13" max="13" width="10.140625" customWidth="1"/>
    <col min="14" max="15" width="8.5703125" customWidth="1"/>
    <col min="16" max="33" width="10.140625" customWidth="1"/>
    <col min="34" max="34" width="12.42578125" customWidth="1"/>
    <col min="35" max="35" width="3" customWidth="1"/>
    <col min="36" max="36" width="14.42578125" hidden="1" customWidth="1"/>
    <col min="37" max="37" width="20.85546875" hidden="1" customWidth="1"/>
    <col min="38" max="38" width="8.7109375" hidden="1" customWidth="1"/>
  </cols>
  <sheetData>
    <row r="1" spans="1:38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</row>
    <row r="2" spans="1:38" x14ac:dyDescent="0.25">
      <c r="A2" s="96"/>
      <c r="B2" s="74" t="s">
        <v>45</v>
      </c>
      <c r="C2" s="75">
        <f>SUM(C7:C28)</f>
        <v>-1981.8600000000001</v>
      </c>
      <c r="D2" s="12"/>
      <c r="E2" s="48">
        <f t="shared" ref="E2:AH2" si="0">E6/$C$2</f>
        <v>0</v>
      </c>
      <c r="F2" s="48">
        <f t="shared" si="0"/>
        <v>3.1773182767703065E-2</v>
      </c>
      <c r="G2" s="48">
        <f t="shared" si="0"/>
        <v>0</v>
      </c>
      <c r="H2" s="48">
        <f t="shared" si="0"/>
        <v>2.6217795404317155E-2</v>
      </c>
      <c r="I2" s="48">
        <f t="shared" si="0"/>
        <v>0</v>
      </c>
      <c r="J2" s="48">
        <f t="shared" si="0"/>
        <v>1.5137295268081497E-3</v>
      </c>
      <c r="K2" s="48">
        <f t="shared" si="0"/>
        <v>0</v>
      </c>
      <c r="L2" s="48">
        <f t="shared" si="0"/>
        <v>0.40219793527292541</v>
      </c>
      <c r="M2" s="48">
        <f t="shared" si="0"/>
        <v>2.2705942902122248E-3</v>
      </c>
      <c r="N2" s="48">
        <f t="shared" si="0"/>
        <v>9.5364960188913436E-3</v>
      </c>
      <c r="O2" s="48">
        <f t="shared" si="0"/>
        <v>1.9986275518956938E-2</v>
      </c>
      <c r="P2" s="48">
        <f t="shared" si="0"/>
        <v>1.3573108090379742E-2</v>
      </c>
      <c r="Q2" s="48">
        <f t="shared" si="0"/>
        <v>6.0044604563389949E-3</v>
      </c>
      <c r="R2" s="48">
        <f t="shared" si="0"/>
        <v>2.1873391662377763E-2</v>
      </c>
      <c r="S2" s="48">
        <f t="shared" si="0"/>
        <v>4.6824700029265434E-2</v>
      </c>
      <c r="T2" s="48">
        <f t="shared" si="0"/>
        <v>5.4494262965093396E-2</v>
      </c>
      <c r="U2" s="48">
        <f t="shared" si="0"/>
        <v>3.0718617864026722E-2</v>
      </c>
      <c r="V2" s="48">
        <f t="shared" si="0"/>
        <v>0.13243115053535567</v>
      </c>
      <c r="W2" s="48">
        <f t="shared" si="0"/>
        <v>9.9199741656827416E-3</v>
      </c>
      <c r="X2" s="48">
        <f t="shared" si="0"/>
        <v>0</v>
      </c>
      <c r="Y2" s="48">
        <f t="shared" si="0"/>
        <v>9.6323655555891931E-3</v>
      </c>
      <c r="Z2" s="48">
        <f t="shared" si="0"/>
        <v>0</v>
      </c>
      <c r="AA2" s="48">
        <f t="shared" si="0"/>
        <v>3.0274590536162995E-3</v>
      </c>
      <c r="AB2" s="48">
        <f t="shared" si="0"/>
        <v>9.0319195099552926E-3</v>
      </c>
      <c r="AC2" s="48">
        <f t="shared" si="0"/>
        <v>1.8482637522327511E-2</v>
      </c>
      <c r="AD2" s="48">
        <f t="shared" si="0"/>
        <v>2.2700897137032886E-2</v>
      </c>
      <c r="AE2" s="48">
        <f t="shared" si="0"/>
        <v>0</v>
      </c>
      <c r="AF2" s="48">
        <f t="shared" si="0"/>
        <v>1.4380430504677423E-2</v>
      </c>
      <c r="AG2" s="48">
        <f t="shared" si="0"/>
        <v>1.8053747489731868E-2</v>
      </c>
      <c r="AH2" s="48">
        <f t="shared" si="0"/>
        <v>7.5585561038620285E-3</v>
      </c>
      <c r="AI2" s="97"/>
    </row>
    <row r="3" spans="1:38" hidden="1" x14ac:dyDescent="0.25">
      <c r="A3" s="96"/>
      <c r="B3" s="76"/>
      <c r="C3" s="77"/>
      <c r="D3" s="1"/>
      <c r="E3" s="55" t="str">
        <f t="shared" ref="E3:AH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96"/>
      <c r="AK3" s="78" t="s">
        <v>0</v>
      </c>
      <c r="AL3" s="1" t="s">
        <v>64</v>
      </c>
    </row>
    <row r="4" spans="1:38" x14ac:dyDescent="0.25">
      <c r="A4" s="96"/>
      <c r="B4" s="79" t="s">
        <v>47</v>
      </c>
      <c r="C4" s="102">
        <f>C29+C2</f>
        <v>97.289999999999964</v>
      </c>
      <c r="D4" s="104" t="s">
        <v>7</v>
      </c>
      <c r="E4" s="105" t="str">
        <f t="shared" ref="E4:AH4" si="2">TEXT(E5,"ddd")</f>
        <v>Thu</v>
      </c>
      <c r="F4" s="105" t="str">
        <f t="shared" si="2"/>
        <v>Fri</v>
      </c>
      <c r="G4" s="105" t="str">
        <f t="shared" si="2"/>
        <v>Sat</v>
      </c>
      <c r="H4" s="105" t="str">
        <f t="shared" si="2"/>
        <v>Sun</v>
      </c>
      <c r="I4" s="105" t="str">
        <f t="shared" si="2"/>
        <v>Mon</v>
      </c>
      <c r="J4" s="105" t="str">
        <f t="shared" si="2"/>
        <v>Tue</v>
      </c>
      <c r="K4" s="105" t="str">
        <f t="shared" si="2"/>
        <v>Wed</v>
      </c>
      <c r="L4" s="105" t="str">
        <f t="shared" si="2"/>
        <v>Thu</v>
      </c>
      <c r="M4" s="105" t="str">
        <f t="shared" si="2"/>
        <v>Fri</v>
      </c>
      <c r="N4" s="105" t="str">
        <f t="shared" si="2"/>
        <v>Sat</v>
      </c>
      <c r="O4" s="105" t="str">
        <f t="shared" si="2"/>
        <v>Sun</v>
      </c>
      <c r="P4" s="105" t="str">
        <f t="shared" si="2"/>
        <v>Mon</v>
      </c>
      <c r="Q4" s="105" t="str">
        <f t="shared" si="2"/>
        <v>Tue</v>
      </c>
      <c r="R4" s="105" t="str">
        <f t="shared" si="2"/>
        <v>Wed</v>
      </c>
      <c r="S4" s="105" t="str">
        <f t="shared" si="2"/>
        <v>Thu</v>
      </c>
      <c r="T4" s="105" t="str">
        <f t="shared" si="2"/>
        <v>Fri</v>
      </c>
      <c r="U4" s="105" t="str">
        <f t="shared" si="2"/>
        <v>Sat</v>
      </c>
      <c r="V4" s="105" t="str">
        <f t="shared" si="2"/>
        <v>Sun</v>
      </c>
      <c r="W4" s="105" t="str">
        <f t="shared" si="2"/>
        <v>Mon</v>
      </c>
      <c r="X4" s="105" t="str">
        <f t="shared" si="2"/>
        <v>Tue</v>
      </c>
      <c r="Y4" s="105" t="str">
        <f t="shared" si="2"/>
        <v>Wed</v>
      </c>
      <c r="Z4" s="105" t="str">
        <f t="shared" si="2"/>
        <v>Thu</v>
      </c>
      <c r="AA4" s="105" t="str">
        <f t="shared" si="2"/>
        <v>Fri</v>
      </c>
      <c r="AB4" s="105" t="str">
        <f t="shared" si="2"/>
        <v>Sat</v>
      </c>
      <c r="AC4" s="105" t="str">
        <f t="shared" si="2"/>
        <v>Sun</v>
      </c>
      <c r="AD4" s="105" t="str">
        <f t="shared" si="2"/>
        <v>Mon</v>
      </c>
      <c r="AE4" s="105" t="str">
        <f t="shared" si="2"/>
        <v>Tue</v>
      </c>
      <c r="AF4" s="105" t="str">
        <f t="shared" si="2"/>
        <v>Wed</v>
      </c>
      <c r="AG4" s="105" t="str">
        <f t="shared" si="2"/>
        <v>Thu</v>
      </c>
      <c r="AH4" s="105" t="str">
        <f t="shared" si="2"/>
        <v>Fri</v>
      </c>
      <c r="AI4" s="96"/>
      <c r="AK4" s="78">
        <v>2018</v>
      </c>
      <c r="AL4" s="56">
        <f ca="1">TODAY()</f>
        <v>43926</v>
      </c>
    </row>
    <row r="5" spans="1:38" x14ac:dyDescent="0.25">
      <c r="A5" s="96"/>
      <c r="B5" s="81" t="s">
        <v>51</v>
      </c>
      <c r="C5" s="108">
        <f>C4/C29</f>
        <v>4.6793160666618552E-2</v>
      </c>
      <c r="D5" s="109"/>
      <c r="E5" s="111">
        <f>DATE($AK$4,$AK$6,1)</f>
        <v>43405</v>
      </c>
      <c r="F5" s="111">
        <f t="shared" ref="F5:AH5" si="3">E5+1</f>
        <v>43406</v>
      </c>
      <c r="G5" s="111">
        <f t="shared" si="3"/>
        <v>43407</v>
      </c>
      <c r="H5" s="111">
        <f t="shared" si="3"/>
        <v>43408</v>
      </c>
      <c r="I5" s="111">
        <f t="shared" si="3"/>
        <v>43409</v>
      </c>
      <c r="J5" s="111">
        <f t="shared" si="3"/>
        <v>43410</v>
      </c>
      <c r="K5" s="111">
        <f t="shared" si="3"/>
        <v>43411</v>
      </c>
      <c r="L5" s="111">
        <f t="shared" si="3"/>
        <v>43412</v>
      </c>
      <c r="M5" s="111">
        <f t="shared" si="3"/>
        <v>43413</v>
      </c>
      <c r="N5" s="111">
        <f t="shared" si="3"/>
        <v>43414</v>
      </c>
      <c r="O5" s="111">
        <f t="shared" si="3"/>
        <v>43415</v>
      </c>
      <c r="P5" s="111">
        <f t="shared" si="3"/>
        <v>43416</v>
      </c>
      <c r="Q5" s="111">
        <f t="shared" si="3"/>
        <v>43417</v>
      </c>
      <c r="R5" s="111">
        <f t="shared" si="3"/>
        <v>43418</v>
      </c>
      <c r="S5" s="111">
        <f t="shared" si="3"/>
        <v>43419</v>
      </c>
      <c r="T5" s="111">
        <f t="shared" si="3"/>
        <v>43420</v>
      </c>
      <c r="U5" s="111">
        <f t="shared" si="3"/>
        <v>43421</v>
      </c>
      <c r="V5" s="111">
        <f t="shared" si="3"/>
        <v>43422</v>
      </c>
      <c r="W5" s="111">
        <f t="shared" si="3"/>
        <v>43423</v>
      </c>
      <c r="X5" s="111">
        <f t="shared" si="3"/>
        <v>43424</v>
      </c>
      <c r="Y5" s="111">
        <f t="shared" si="3"/>
        <v>43425</v>
      </c>
      <c r="Z5" s="111">
        <f t="shared" si="3"/>
        <v>43426</v>
      </c>
      <c r="AA5" s="111">
        <f t="shared" si="3"/>
        <v>43427</v>
      </c>
      <c r="AB5" s="111">
        <f t="shared" si="3"/>
        <v>43428</v>
      </c>
      <c r="AC5" s="111">
        <f t="shared" si="3"/>
        <v>43429</v>
      </c>
      <c r="AD5" s="111">
        <f t="shared" si="3"/>
        <v>43430</v>
      </c>
      <c r="AE5" s="111">
        <f t="shared" si="3"/>
        <v>43431</v>
      </c>
      <c r="AF5" s="111">
        <f t="shared" si="3"/>
        <v>43432</v>
      </c>
      <c r="AG5" s="111">
        <f t="shared" si="3"/>
        <v>43433</v>
      </c>
      <c r="AH5" s="111">
        <f t="shared" si="3"/>
        <v>43434</v>
      </c>
      <c r="AI5" s="96"/>
      <c r="AK5" s="78" t="s">
        <v>1</v>
      </c>
      <c r="AL5" s="1" t="str">
        <f ca="1">IF(V5=AL4,"sim","não")</f>
        <v>não</v>
      </c>
    </row>
    <row r="6" spans="1:38" x14ac:dyDescent="0.25">
      <c r="A6" s="96"/>
      <c r="B6" s="83"/>
      <c r="C6" s="15" t="s">
        <v>62</v>
      </c>
      <c r="D6" s="113">
        <f t="shared" ref="D6:AH6" si="4">SUM(D7:D28)</f>
        <v>0.99999999999999989</v>
      </c>
      <c r="E6" s="114">
        <f t="shared" si="4"/>
        <v>0</v>
      </c>
      <c r="F6" s="114">
        <f t="shared" si="4"/>
        <v>-62.97</v>
      </c>
      <c r="G6" s="114">
        <f t="shared" si="4"/>
        <v>0</v>
      </c>
      <c r="H6" s="114">
        <f t="shared" si="4"/>
        <v>-51.96</v>
      </c>
      <c r="I6" s="114">
        <f t="shared" si="4"/>
        <v>0</v>
      </c>
      <c r="J6" s="114">
        <f t="shared" si="4"/>
        <v>-3</v>
      </c>
      <c r="K6" s="114">
        <f t="shared" si="4"/>
        <v>0</v>
      </c>
      <c r="L6" s="114">
        <f t="shared" si="4"/>
        <v>-797.1</v>
      </c>
      <c r="M6" s="114">
        <f t="shared" si="4"/>
        <v>-4.5</v>
      </c>
      <c r="N6" s="114">
        <f t="shared" si="4"/>
        <v>-18.899999999999999</v>
      </c>
      <c r="O6" s="114">
        <f t="shared" si="4"/>
        <v>-39.61</v>
      </c>
      <c r="P6" s="114">
        <f t="shared" si="4"/>
        <v>-26.9</v>
      </c>
      <c r="Q6" s="114">
        <f t="shared" si="4"/>
        <v>-11.9</v>
      </c>
      <c r="R6" s="114">
        <f t="shared" si="4"/>
        <v>-43.349999999999994</v>
      </c>
      <c r="S6" s="114">
        <f t="shared" si="4"/>
        <v>-92.8</v>
      </c>
      <c r="T6" s="114">
        <f t="shared" si="4"/>
        <v>-108</v>
      </c>
      <c r="U6" s="114">
        <f t="shared" si="4"/>
        <v>-60.88</v>
      </c>
      <c r="V6" s="114">
        <f t="shared" si="4"/>
        <v>-262.46000000000004</v>
      </c>
      <c r="W6" s="114">
        <f t="shared" si="4"/>
        <v>-19.66</v>
      </c>
      <c r="X6" s="114">
        <f t="shared" si="4"/>
        <v>0</v>
      </c>
      <c r="Y6" s="114">
        <f t="shared" si="4"/>
        <v>-19.09</v>
      </c>
      <c r="Z6" s="114">
        <f t="shared" si="4"/>
        <v>0</v>
      </c>
      <c r="AA6" s="114">
        <f t="shared" si="4"/>
        <v>-6</v>
      </c>
      <c r="AB6" s="114">
        <f t="shared" si="4"/>
        <v>-17.899999999999999</v>
      </c>
      <c r="AC6" s="114">
        <f t="shared" si="4"/>
        <v>-36.630000000000003</v>
      </c>
      <c r="AD6" s="114">
        <f t="shared" si="4"/>
        <v>-44.99</v>
      </c>
      <c r="AE6" s="114">
        <f t="shared" si="4"/>
        <v>0</v>
      </c>
      <c r="AF6" s="114">
        <f t="shared" si="4"/>
        <v>-28.5</v>
      </c>
      <c r="AG6" s="114">
        <f t="shared" si="4"/>
        <v>-35.78</v>
      </c>
      <c r="AH6" s="114">
        <f t="shared" si="4"/>
        <v>-14.98</v>
      </c>
      <c r="AI6" s="96"/>
      <c r="AK6" s="78">
        <v>11</v>
      </c>
      <c r="AL6" s="1"/>
    </row>
    <row r="7" spans="1:38" x14ac:dyDescent="0.25">
      <c r="A7" s="96"/>
      <c r="B7" s="86" t="s">
        <v>20</v>
      </c>
      <c r="C7" s="87">
        <f t="shared" ref="C7:C29" si="5">SUM(E7:AH7)</f>
        <v>-319.38</v>
      </c>
      <c r="D7" s="88">
        <f t="shared" ref="D7:D28" si="6">C7/$C$2</f>
        <v>0.16115164542399563</v>
      </c>
      <c r="E7" s="89" t="s">
        <v>66</v>
      </c>
      <c r="F7" s="89">
        <v>-39</v>
      </c>
      <c r="G7" s="89" t="s">
        <v>66</v>
      </c>
      <c r="H7" s="89">
        <f>-22.8</f>
        <v>-22.8</v>
      </c>
      <c r="I7" s="89" t="s">
        <v>66</v>
      </c>
      <c r="J7" s="89" t="s">
        <v>66</v>
      </c>
      <c r="K7" s="89" t="s">
        <v>66</v>
      </c>
      <c r="L7" s="89">
        <v>-19.899999999999999</v>
      </c>
      <c r="M7" s="89" t="s">
        <v>66</v>
      </c>
      <c r="N7" s="89" t="s">
        <v>66</v>
      </c>
      <c r="O7" s="89" t="s">
        <v>66</v>
      </c>
      <c r="P7" s="89" t="s">
        <v>66</v>
      </c>
      <c r="Q7" s="89">
        <v>-5</v>
      </c>
      <c r="R7" s="89">
        <f>-12.5-17.9</f>
        <v>-30.4</v>
      </c>
      <c r="S7" s="89">
        <f>-31-21.9</f>
        <v>-52.9</v>
      </c>
      <c r="T7" s="89" t="s">
        <v>66</v>
      </c>
      <c r="U7" s="89">
        <v>-55.88</v>
      </c>
      <c r="V7" s="89">
        <f>-22.5-71</f>
        <v>-93.5</v>
      </c>
      <c r="W7" s="89" t="s">
        <v>66</v>
      </c>
      <c r="X7" s="89" t="s">
        <v>66</v>
      </c>
      <c r="Y7" s="89" t="s">
        <v>66</v>
      </c>
      <c r="Z7" s="89" t="s">
        <v>66</v>
      </c>
      <c r="AA7" s="89" t="s">
        <v>66</v>
      </c>
      <c r="AB7" s="89" t="s">
        <v>66</v>
      </c>
      <c r="AC7" s="89" t="s">
        <v>66</v>
      </c>
      <c r="AD7" s="89" t="s">
        <v>66</v>
      </c>
      <c r="AE7" s="89" t="s">
        <v>66</v>
      </c>
      <c r="AF7" s="89" t="s">
        <v>66</v>
      </c>
      <c r="AG7" s="89" t="s">
        <v>66</v>
      </c>
      <c r="AH7" s="89" t="s">
        <v>66</v>
      </c>
      <c r="AI7" s="97"/>
    </row>
    <row r="8" spans="1:38" x14ac:dyDescent="0.25">
      <c r="A8" s="96"/>
      <c r="B8" s="86" t="s">
        <v>21</v>
      </c>
      <c r="C8" s="87">
        <f t="shared" si="5"/>
        <v>-80.5</v>
      </c>
      <c r="D8" s="91">
        <f t="shared" si="6"/>
        <v>4.0618408969352017E-2</v>
      </c>
      <c r="E8" s="92" t="s">
        <v>66</v>
      </c>
      <c r="F8" s="92" t="s">
        <v>66</v>
      </c>
      <c r="G8" s="92" t="s">
        <v>66</v>
      </c>
      <c r="H8" s="92" t="s">
        <v>66</v>
      </c>
      <c r="I8" s="92" t="s">
        <v>66</v>
      </c>
      <c r="J8" s="92" t="s">
        <v>66</v>
      </c>
      <c r="K8" s="92" t="s">
        <v>66</v>
      </c>
      <c r="L8" s="92" t="s">
        <v>66</v>
      </c>
      <c r="M8" s="92" t="s">
        <v>66</v>
      </c>
      <c r="N8" s="92">
        <v>-16.899999999999999</v>
      </c>
      <c r="O8" s="92">
        <v>-17.899999999999999</v>
      </c>
      <c r="P8" s="92" t="s">
        <v>66</v>
      </c>
      <c r="Q8" s="92" t="s">
        <v>66</v>
      </c>
      <c r="R8" s="92" t="s">
        <v>66</v>
      </c>
      <c r="S8" s="92" t="s">
        <v>66</v>
      </c>
      <c r="T8" s="92">
        <v>-9.9</v>
      </c>
      <c r="U8" s="92" t="s">
        <v>66</v>
      </c>
      <c r="V8" s="92" t="s">
        <v>66</v>
      </c>
      <c r="W8" s="92" t="s">
        <v>66</v>
      </c>
      <c r="X8" s="92" t="s">
        <v>66</v>
      </c>
      <c r="Y8" s="92" t="s">
        <v>66</v>
      </c>
      <c r="Z8" s="92" t="s">
        <v>66</v>
      </c>
      <c r="AA8" s="92" t="s">
        <v>66</v>
      </c>
      <c r="AB8" s="92">
        <v>-17.899999999999999</v>
      </c>
      <c r="AC8" s="92" t="s">
        <v>66</v>
      </c>
      <c r="AD8" s="92" t="s">
        <v>66</v>
      </c>
      <c r="AE8" s="92" t="s">
        <v>66</v>
      </c>
      <c r="AF8" s="92" t="s">
        <v>66</v>
      </c>
      <c r="AG8" s="92">
        <v>-17.899999999999999</v>
      </c>
      <c r="AH8" s="92" t="s">
        <v>66</v>
      </c>
      <c r="AI8" s="97"/>
      <c r="AK8" s="54"/>
    </row>
    <row r="9" spans="1:38" x14ac:dyDescent="0.25">
      <c r="A9" s="96"/>
      <c r="B9" s="86" t="s">
        <v>22</v>
      </c>
      <c r="C9" s="87">
        <f t="shared" si="5"/>
        <v>-29.9</v>
      </c>
      <c r="D9" s="93">
        <f t="shared" si="6"/>
        <v>1.5086837617187893E-2</v>
      </c>
      <c r="E9" s="94" t="s">
        <v>66</v>
      </c>
      <c r="F9" s="94" t="s">
        <v>66</v>
      </c>
      <c r="G9" s="94" t="s">
        <v>66</v>
      </c>
      <c r="H9" s="94" t="s">
        <v>66</v>
      </c>
      <c r="I9" s="94" t="s">
        <v>66</v>
      </c>
      <c r="J9" s="94" t="s">
        <v>66</v>
      </c>
      <c r="K9" s="94" t="s">
        <v>66</v>
      </c>
      <c r="L9" s="94" t="s">
        <v>66</v>
      </c>
      <c r="M9" s="94">
        <v>-2</v>
      </c>
      <c r="N9" s="94">
        <v>-2</v>
      </c>
      <c r="O9" s="94" t="s">
        <v>66</v>
      </c>
      <c r="P9" s="94" t="s">
        <v>66</v>
      </c>
      <c r="Q9" s="94">
        <v>-6.9</v>
      </c>
      <c r="R9" s="94" t="s">
        <v>66</v>
      </c>
      <c r="S9" s="94" t="s">
        <v>66</v>
      </c>
      <c r="T9" s="94" t="s">
        <v>66</v>
      </c>
      <c r="U9" s="94">
        <v>-5</v>
      </c>
      <c r="V9" s="94" t="s">
        <v>66</v>
      </c>
      <c r="W9" s="94">
        <f>-6-3</f>
        <v>-9</v>
      </c>
      <c r="X9" s="94" t="s">
        <v>66</v>
      </c>
      <c r="Y9" s="94">
        <v>-5</v>
      </c>
      <c r="Z9" s="94" t="s">
        <v>66</v>
      </c>
      <c r="AA9" s="94" t="s">
        <v>66</v>
      </c>
      <c r="AB9" s="94" t="s">
        <v>66</v>
      </c>
      <c r="AC9" s="94" t="s">
        <v>66</v>
      </c>
      <c r="AD9" s="94" t="s">
        <v>66</v>
      </c>
      <c r="AE9" s="94" t="s">
        <v>66</v>
      </c>
      <c r="AF9" s="94" t="s">
        <v>66</v>
      </c>
      <c r="AG9" s="94" t="s">
        <v>66</v>
      </c>
      <c r="AH9" s="94" t="s">
        <v>66</v>
      </c>
      <c r="AI9" s="97"/>
      <c r="AK9" s="54"/>
    </row>
    <row r="10" spans="1:38" x14ac:dyDescent="0.25">
      <c r="A10" s="96"/>
      <c r="B10" s="86" t="s">
        <v>23</v>
      </c>
      <c r="C10" s="87">
        <f t="shared" si="5"/>
        <v>-4.5</v>
      </c>
      <c r="D10" s="91">
        <f t="shared" si="6"/>
        <v>2.2705942902122248E-3</v>
      </c>
      <c r="E10" s="92" t="s">
        <v>66</v>
      </c>
      <c r="F10" s="92" t="s">
        <v>66</v>
      </c>
      <c r="G10" s="92" t="s">
        <v>66</v>
      </c>
      <c r="H10" s="92">
        <v>-2</v>
      </c>
      <c r="I10" s="92" t="s">
        <v>66</v>
      </c>
      <c r="J10" s="92" t="s">
        <v>66</v>
      </c>
      <c r="K10" s="92" t="s">
        <v>66</v>
      </c>
      <c r="L10" s="92" t="s">
        <v>66</v>
      </c>
      <c r="M10" s="92">
        <v>-2.5</v>
      </c>
      <c r="N10" s="92" t="s">
        <v>66</v>
      </c>
      <c r="O10" s="92" t="s">
        <v>66</v>
      </c>
      <c r="P10" s="92" t="s">
        <v>66</v>
      </c>
      <c r="Q10" s="92" t="s">
        <v>66</v>
      </c>
      <c r="R10" s="92" t="s">
        <v>66</v>
      </c>
      <c r="S10" s="92" t="s">
        <v>66</v>
      </c>
      <c r="T10" s="92" t="s">
        <v>66</v>
      </c>
      <c r="U10" s="92" t="s">
        <v>66</v>
      </c>
      <c r="V10" s="92" t="s">
        <v>66</v>
      </c>
      <c r="W10" s="92" t="s">
        <v>66</v>
      </c>
      <c r="X10" s="92" t="s">
        <v>66</v>
      </c>
      <c r="Y10" s="92" t="s">
        <v>66</v>
      </c>
      <c r="Z10" s="92" t="s">
        <v>66</v>
      </c>
      <c r="AA10" s="92" t="s">
        <v>66</v>
      </c>
      <c r="AB10" s="92" t="s">
        <v>66</v>
      </c>
      <c r="AC10" s="92" t="s">
        <v>66</v>
      </c>
      <c r="AD10" s="92" t="s">
        <v>66</v>
      </c>
      <c r="AE10" s="92" t="s">
        <v>66</v>
      </c>
      <c r="AF10" s="92" t="s">
        <v>66</v>
      </c>
      <c r="AG10" s="92" t="s">
        <v>66</v>
      </c>
      <c r="AH10" s="92" t="s">
        <v>66</v>
      </c>
      <c r="AI10" s="97"/>
    </row>
    <row r="11" spans="1:38" x14ac:dyDescent="0.25">
      <c r="A11" s="96"/>
      <c r="B11" s="86" t="s">
        <v>81</v>
      </c>
      <c r="C11" s="87">
        <f t="shared" si="5"/>
        <v>-20</v>
      </c>
      <c r="D11" s="93">
        <f t="shared" si="6"/>
        <v>1.0091530178720999E-2</v>
      </c>
      <c r="E11" s="94" t="s">
        <v>66</v>
      </c>
      <c r="F11" s="94" t="s">
        <v>66</v>
      </c>
      <c r="G11" s="94" t="s">
        <v>66</v>
      </c>
      <c r="H11" s="94" t="s">
        <v>66</v>
      </c>
      <c r="I11" s="94" t="s">
        <v>66</v>
      </c>
      <c r="J11" s="94" t="s">
        <v>66</v>
      </c>
      <c r="K11" s="94" t="s">
        <v>66</v>
      </c>
      <c r="L11" s="94" t="s">
        <v>66</v>
      </c>
      <c r="M11" s="94" t="s">
        <v>66</v>
      </c>
      <c r="N11" s="94" t="s">
        <v>66</v>
      </c>
      <c r="O11" s="94" t="s">
        <v>66</v>
      </c>
      <c r="P11" s="94" t="s">
        <v>66</v>
      </c>
      <c r="Q11" s="94" t="s">
        <v>66</v>
      </c>
      <c r="R11" s="94" t="s">
        <v>66</v>
      </c>
      <c r="S11" s="94" t="s">
        <v>66</v>
      </c>
      <c r="T11" s="94">
        <v>-20</v>
      </c>
      <c r="U11" s="94" t="s">
        <v>66</v>
      </c>
      <c r="V11" s="94" t="s">
        <v>66</v>
      </c>
      <c r="W11" s="94" t="s">
        <v>66</v>
      </c>
      <c r="X11" s="94" t="s">
        <v>66</v>
      </c>
      <c r="Y11" s="94" t="s">
        <v>66</v>
      </c>
      <c r="Z11" s="94" t="s">
        <v>66</v>
      </c>
      <c r="AA11" s="94" t="s">
        <v>66</v>
      </c>
      <c r="AB11" s="94" t="s">
        <v>66</v>
      </c>
      <c r="AC11" s="94" t="s">
        <v>66</v>
      </c>
      <c r="AD11" s="94" t="s">
        <v>66</v>
      </c>
      <c r="AE11" s="94" t="s">
        <v>66</v>
      </c>
      <c r="AF11" s="94" t="s">
        <v>66</v>
      </c>
      <c r="AG11" s="94" t="s">
        <v>66</v>
      </c>
      <c r="AH11" s="94" t="s">
        <v>66</v>
      </c>
      <c r="AI11" s="97"/>
    </row>
    <row r="12" spans="1:38" x14ac:dyDescent="0.25">
      <c r="A12" s="96"/>
      <c r="B12" s="86" t="s">
        <v>24</v>
      </c>
      <c r="C12" s="87">
        <f t="shared" si="5"/>
        <v>-97.38000000000001</v>
      </c>
      <c r="D12" s="91">
        <f t="shared" si="6"/>
        <v>4.9135660440192547E-2</v>
      </c>
      <c r="E12" s="92" t="s">
        <v>66</v>
      </c>
      <c r="F12" s="92" t="s">
        <v>66</v>
      </c>
      <c r="G12" s="92" t="s">
        <v>66</v>
      </c>
      <c r="H12" s="92">
        <v>-17.16</v>
      </c>
      <c r="I12" s="92" t="s">
        <v>66</v>
      </c>
      <c r="J12" s="92" t="s">
        <v>66</v>
      </c>
      <c r="K12" s="92" t="s">
        <v>66</v>
      </c>
      <c r="L12" s="92">
        <v>-8.3000000000000007</v>
      </c>
      <c r="M12" s="92" t="s">
        <v>66</v>
      </c>
      <c r="N12" s="92" t="s">
        <v>66</v>
      </c>
      <c r="O12" s="92">
        <v>-11.71</v>
      </c>
      <c r="P12" s="92" t="s">
        <v>66</v>
      </c>
      <c r="Q12" s="92" t="s">
        <v>66</v>
      </c>
      <c r="R12" s="92" t="s">
        <v>66</v>
      </c>
      <c r="S12" s="92" t="s">
        <v>66</v>
      </c>
      <c r="T12" s="92" t="s">
        <v>66</v>
      </c>
      <c r="U12" s="92" t="s">
        <v>66</v>
      </c>
      <c r="V12" s="92">
        <v>-3.5</v>
      </c>
      <c r="W12" s="92" t="s">
        <v>66</v>
      </c>
      <c r="X12" s="92" t="s">
        <v>66</v>
      </c>
      <c r="Y12" s="92">
        <v>-8.1</v>
      </c>
      <c r="Z12" s="92" t="s">
        <v>66</v>
      </c>
      <c r="AA12" s="92" t="s">
        <v>66</v>
      </c>
      <c r="AB12" s="92" t="s">
        <v>66</v>
      </c>
      <c r="AC12" s="92">
        <v>-36.630000000000003</v>
      </c>
      <c r="AD12" s="92" t="s">
        <v>66</v>
      </c>
      <c r="AE12" s="92" t="s">
        <v>66</v>
      </c>
      <c r="AF12" s="92" t="s">
        <v>66</v>
      </c>
      <c r="AG12" s="92">
        <v>-11.98</v>
      </c>
      <c r="AH12" s="92" t="s">
        <v>66</v>
      </c>
      <c r="AI12" s="97"/>
    </row>
    <row r="13" spans="1:38" x14ac:dyDescent="0.25">
      <c r="A13" s="96"/>
      <c r="B13" s="86" t="s">
        <v>27</v>
      </c>
      <c r="C13" s="87">
        <f t="shared" si="5"/>
        <v>0</v>
      </c>
      <c r="D13" s="93">
        <f t="shared" si="6"/>
        <v>0</v>
      </c>
      <c r="E13" s="94" t="s">
        <v>66</v>
      </c>
      <c r="F13" s="94" t="s">
        <v>66</v>
      </c>
      <c r="G13" s="94" t="s">
        <v>66</v>
      </c>
      <c r="H13" s="94" t="s">
        <v>66</v>
      </c>
      <c r="I13" s="94" t="s">
        <v>66</v>
      </c>
      <c r="J13" s="94" t="s">
        <v>82</v>
      </c>
      <c r="K13" s="94" t="s">
        <v>66</v>
      </c>
      <c r="L13" s="94" t="s">
        <v>66</v>
      </c>
      <c r="M13" s="94" t="s">
        <v>66</v>
      </c>
      <c r="N13" s="94" t="s">
        <v>66</v>
      </c>
      <c r="O13" s="94" t="s">
        <v>66</v>
      </c>
      <c r="P13" s="94" t="s">
        <v>66</v>
      </c>
      <c r="Q13" s="94" t="s">
        <v>67</v>
      </c>
      <c r="R13" s="94" t="s">
        <v>66</v>
      </c>
      <c r="S13" s="94" t="s">
        <v>66</v>
      </c>
      <c r="T13" s="94" t="s">
        <v>66</v>
      </c>
      <c r="U13" s="94" t="s">
        <v>66</v>
      </c>
      <c r="V13" s="94" t="s">
        <v>66</v>
      </c>
      <c r="W13" s="94" t="s">
        <v>66</v>
      </c>
      <c r="X13" s="94" t="s">
        <v>82</v>
      </c>
      <c r="Y13" s="94" t="s">
        <v>66</v>
      </c>
      <c r="Z13" s="94" t="s">
        <v>66</v>
      </c>
      <c r="AA13" s="94" t="s">
        <v>66</v>
      </c>
      <c r="AB13" s="94" t="s">
        <v>66</v>
      </c>
      <c r="AC13" s="94" t="s">
        <v>66</v>
      </c>
      <c r="AD13" s="94" t="s">
        <v>66</v>
      </c>
      <c r="AE13" s="94" t="s">
        <v>82</v>
      </c>
      <c r="AF13" s="94" t="s">
        <v>66</v>
      </c>
      <c r="AG13" s="94" t="s">
        <v>66</v>
      </c>
      <c r="AH13" s="94" t="s">
        <v>66</v>
      </c>
      <c r="AI13" s="97"/>
    </row>
    <row r="14" spans="1:38" x14ac:dyDescent="0.25">
      <c r="A14" s="96"/>
      <c r="B14" s="86" t="s">
        <v>28</v>
      </c>
      <c r="C14" s="87">
        <f t="shared" si="5"/>
        <v>-149.42000000000002</v>
      </c>
      <c r="D14" s="91">
        <f t="shared" si="6"/>
        <v>7.5393821965224594E-2</v>
      </c>
      <c r="E14" s="92" t="s">
        <v>66</v>
      </c>
      <c r="F14" s="92" t="s">
        <v>66</v>
      </c>
      <c r="G14" s="92" t="s">
        <v>66</v>
      </c>
      <c r="H14" s="92" t="s">
        <v>66</v>
      </c>
      <c r="I14" s="92" t="s">
        <v>66</v>
      </c>
      <c r="J14" s="92" t="s">
        <v>66</v>
      </c>
      <c r="K14" s="92" t="s">
        <v>66</v>
      </c>
      <c r="L14" s="92" t="s">
        <v>66</v>
      </c>
      <c r="M14" s="92" t="s">
        <v>66</v>
      </c>
      <c r="N14" s="92" t="s">
        <v>66</v>
      </c>
      <c r="O14" s="92" t="s">
        <v>66</v>
      </c>
      <c r="P14" s="92" t="s">
        <v>66</v>
      </c>
      <c r="Q14" s="92" t="s">
        <v>66</v>
      </c>
      <c r="R14" s="92" t="s">
        <v>66</v>
      </c>
      <c r="S14" s="92" t="s">
        <v>66</v>
      </c>
      <c r="T14" s="92" t="s">
        <v>66</v>
      </c>
      <c r="U14" s="92" t="s">
        <v>66</v>
      </c>
      <c r="V14" s="92">
        <f>-62.42-87</f>
        <v>-149.42000000000002</v>
      </c>
      <c r="W14" s="92" t="s">
        <v>66</v>
      </c>
      <c r="X14" s="92" t="s">
        <v>66</v>
      </c>
      <c r="Y14" s="92" t="s">
        <v>66</v>
      </c>
      <c r="Z14" s="92" t="s">
        <v>66</v>
      </c>
      <c r="AA14" s="92" t="s">
        <v>66</v>
      </c>
      <c r="AB14" s="92" t="s">
        <v>66</v>
      </c>
      <c r="AC14" s="92" t="s">
        <v>66</v>
      </c>
      <c r="AD14" s="92" t="s">
        <v>66</v>
      </c>
      <c r="AE14" s="92" t="s">
        <v>66</v>
      </c>
      <c r="AF14" s="92" t="s">
        <v>66</v>
      </c>
      <c r="AG14" s="92" t="s">
        <v>66</v>
      </c>
      <c r="AH14" s="92" t="s">
        <v>66</v>
      </c>
      <c r="AI14" s="97"/>
    </row>
    <row r="15" spans="1:38" x14ac:dyDescent="0.25">
      <c r="A15" s="96"/>
      <c r="B15" s="86" t="s">
        <v>89</v>
      </c>
      <c r="C15" s="87">
        <f t="shared" si="5"/>
        <v>-20</v>
      </c>
      <c r="D15" s="91">
        <f t="shared" si="6"/>
        <v>1.0091530178720999E-2</v>
      </c>
      <c r="E15" s="94" t="s">
        <v>66</v>
      </c>
      <c r="F15" s="94" t="s">
        <v>66</v>
      </c>
      <c r="G15" s="94" t="s">
        <v>66</v>
      </c>
      <c r="H15" s="94">
        <v>-10</v>
      </c>
      <c r="I15" s="94" t="s">
        <v>66</v>
      </c>
      <c r="J15" s="94" t="s">
        <v>66</v>
      </c>
      <c r="K15" s="94" t="s">
        <v>66</v>
      </c>
      <c r="L15" s="94" t="s">
        <v>66</v>
      </c>
      <c r="M15" s="94" t="s">
        <v>66</v>
      </c>
      <c r="N15" s="94" t="s">
        <v>66</v>
      </c>
      <c r="O15" s="94">
        <v>-10</v>
      </c>
      <c r="P15" s="94" t="s">
        <v>66</v>
      </c>
      <c r="Q15" s="94" t="s">
        <v>66</v>
      </c>
      <c r="R15" s="94" t="s">
        <v>66</v>
      </c>
      <c r="S15" s="94" t="s">
        <v>66</v>
      </c>
      <c r="T15" s="94" t="s">
        <v>66</v>
      </c>
      <c r="U15" s="94" t="s">
        <v>66</v>
      </c>
      <c r="V15" s="94" t="s">
        <v>66</v>
      </c>
      <c r="W15" s="94" t="s">
        <v>66</v>
      </c>
      <c r="X15" s="94" t="s">
        <v>66</v>
      </c>
      <c r="Y15" s="94" t="s">
        <v>66</v>
      </c>
      <c r="Z15" s="94" t="s">
        <v>66</v>
      </c>
      <c r="AA15" s="94" t="s">
        <v>66</v>
      </c>
      <c r="AB15" s="94" t="s">
        <v>66</v>
      </c>
      <c r="AC15" s="94" t="s">
        <v>66</v>
      </c>
      <c r="AD15" s="94" t="s">
        <v>66</v>
      </c>
      <c r="AE15" s="94" t="s">
        <v>66</v>
      </c>
      <c r="AF15" s="94" t="s">
        <v>66</v>
      </c>
      <c r="AG15" s="94" t="s">
        <v>66</v>
      </c>
      <c r="AH15" s="94" t="s">
        <v>66</v>
      </c>
      <c r="AI15" s="97"/>
    </row>
    <row r="16" spans="1:38" x14ac:dyDescent="0.25">
      <c r="A16" s="96"/>
      <c r="B16" s="86" t="s">
        <v>29</v>
      </c>
      <c r="C16" s="87">
        <f t="shared" si="5"/>
        <v>-71.89</v>
      </c>
      <c r="D16" s="93">
        <f t="shared" si="6"/>
        <v>3.6274005227412628E-2</v>
      </c>
      <c r="E16" s="92" t="s">
        <v>66</v>
      </c>
      <c r="F16" s="92" t="s">
        <v>66</v>
      </c>
      <c r="G16" s="92" t="s">
        <v>66</v>
      </c>
      <c r="H16" s="92" t="s">
        <v>66</v>
      </c>
      <c r="I16" s="92" t="s">
        <v>66</v>
      </c>
      <c r="J16" s="92" t="s">
        <v>66</v>
      </c>
      <c r="K16" s="92" t="s">
        <v>66</v>
      </c>
      <c r="L16" s="92">
        <v>-26.9</v>
      </c>
      <c r="M16" s="92" t="s">
        <v>66</v>
      </c>
      <c r="N16" s="92" t="s">
        <v>66</v>
      </c>
      <c r="O16" s="92" t="s">
        <v>66</v>
      </c>
      <c r="P16" s="92" t="s">
        <v>66</v>
      </c>
      <c r="Q16" s="92" t="s">
        <v>66</v>
      </c>
      <c r="R16" s="92" t="s">
        <v>66</v>
      </c>
      <c r="S16" s="92" t="s">
        <v>66</v>
      </c>
      <c r="T16" s="92" t="s">
        <v>66</v>
      </c>
      <c r="U16" s="92" t="s">
        <v>66</v>
      </c>
      <c r="V16" s="92" t="s">
        <v>66</v>
      </c>
      <c r="W16" s="92" t="s">
        <v>66</v>
      </c>
      <c r="X16" s="92" t="s">
        <v>66</v>
      </c>
      <c r="Y16" s="92" t="s">
        <v>66</v>
      </c>
      <c r="Z16" s="92" t="s">
        <v>66</v>
      </c>
      <c r="AA16" s="92" t="s">
        <v>66</v>
      </c>
      <c r="AB16" s="92" t="s">
        <v>66</v>
      </c>
      <c r="AC16" s="92" t="s">
        <v>66</v>
      </c>
      <c r="AD16" s="92">
        <v>-44.99</v>
      </c>
      <c r="AE16" s="92" t="s">
        <v>66</v>
      </c>
      <c r="AF16" s="92" t="s">
        <v>66</v>
      </c>
      <c r="AG16" s="92" t="s">
        <v>66</v>
      </c>
      <c r="AH16" s="92" t="s">
        <v>66</v>
      </c>
      <c r="AI16" s="97"/>
    </row>
    <row r="17" spans="1:38" x14ac:dyDescent="0.25">
      <c r="A17" s="96"/>
      <c r="B17" s="86" t="s">
        <v>31</v>
      </c>
      <c r="C17" s="87">
        <f t="shared" si="5"/>
        <v>-192</v>
      </c>
      <c r="D17" s="91">
        <f t="shared" si="6"/>
        <v>9.6878689715721583E-2</v>
      </c>
      <c r="E17" s="94" t="s">
        <v>66</v>
      </c>
      <c r="F17" s="94" t="s">
        <v>66</v>
      </c>
      <c r="G17" s="94" t="s">
        <v>66</v>
      </c>
      <c r="H17" s="94" t="s">
        <v>66</v>
      </c>
      <c r="I17" s="94" t="s">
        <v>66</v>
      </c>
      <c r="J17" s="94" t="s">
        <v>66</v>
      </c>
      <c r="K17" s="94" t="s">
        <v>66</v>
      </c>
      <c r="L17" s="94">
        <v>-192</v>
      </c>
      <c r="M17" s="94" t="s">
        <v>66</v>
      </c>
      <c r="N17" s="94" t="s">
        <v>66</v>
      </c>
      <c r="O17" s="94" t="s">
        <v>66</v>
      </c>
      <c r="P17" s="94" t="s">
        <v>66</v>
      </c>
      <c r="Q17" s="94" t="s">
        <v>66</v>
      </c>
      <c r="R17" s="94" t="s">
        <v>66</v>
      </c>
      <c r="S17" s="94" t="s">
        <v>66</v>
      </c>
      <c r="T17" s="94" t="s">
        <v>66</v>
      </c>
      <c r="U17" s="94" t="s">
        <v>66</v>
      </c>
      <c r="V17" s="94" t="s">
        <v>66</v>
      </c>
      <c r="W17" s="94" t="s">
        <v>66</v>
      </c>
      <c r="X17" s="94" t="s">
        <v>66</v>
      </c>
      <c r="Y17" s="94" t="s">
        <v>66</v>
      </c>
      <c r="Z17" s="94" t="s">
        <v>66</v>
      </c>
      <c r="AA17" s="94" t="s">
        <v>66</v>
      </c>
      <c r="AB17" s="94" t="s">
        <v>66</v>
      </c>
      <c r="AC17" s="94" t="s">
        <v>66</v>
      </c>
      <c r="AD17" s="94" t="s">
        <v>66</v>
      </c>
      <c r="AE17" s="94" t="s">
        <v>66</v>
      </c>
      <c r="AF17" s="94" t="s">
        <v>66</v>
      </c>
      <c r="AG17" s="94" t="s">
        <v>66</v>
      </c>
      <c r="AH17" s="94" t="s">
        <v>66</v>
      </c>
      <c r="AI17" s="97"/>
    </row>
    <row r="18" spans="1:38" x14ac:dyDescent="0.25">
      <c r="A18" s="96"/>
      <c r="B18" s="86" t="s">
        <v>32</v>
      </c>
      <c r="C18" s="87">
        <f t="shared" si="5"/>
        <v>0</v>
      </c>
      <c r="D18" s="93">
        <f t="shared" si="6"/>
        <v>0</v>
      </c>
      <c r="E18" s="92" t="s">
        <v>66</v>
      </c>
      <c r="F18" s="92" t="s">
        <v>66</v>
      </c>
      <c r="G18" s="92" t="s">
        <v>66</v>
      </c>
      <c r="H18" s="92" t="s">
        <v>66</v>
      </c>
      <c r="I18" s="92" t="s">
        <v>66</v>
      </c>
      <c r="J18" s="92" t="s">
        <v>66</v>
      </c>
      <c r="K18" s="92" t="s">
        <v>66</v>
      </c>
      <c r="L18" s="92" t="s">
        <v>66</v>
      </c>
      <c r="M18" s="92" t="s">
        <v>66</v>
      </c>
      <c r="N18" s="92" t="s">
        <v>66</v>
      </c>
      <c r="O18" s="92" t="s">
        <v>66</v>
      </c>
      <c r="P18" s="92" t="s">
        <v>66</v>
      </c>
      <c r="Q18" s="92" t="s">
        <v>66</v>
      </c>
      <c r="R18" s="92" t="s">
        <v>66</v>
      </c>
      <c r="S18" s="92" t="s">
        <v>66</v>
      </c>
      <c r="T18" s="92" t="s">
        <v>66</v>
      </c>
      <c r="U18" s="92" t="s">
        <v>66</v>
      </c>
      <c r="V18" s="92" t="s">
        <v>66</v>
      </c>
      <c r="W18" s="92" t="s">
        <v>66</v>
      </c>
      <c r="X18" s="92" t="s">
        <v>66</v>
      </c>
      <c r="Y18" s="92" t="s">
        <v>66</v>
      </c>
      <c r="Z18" s="92" t="s">
        <v>66</v>
      </c>
      <c r="AA18" s="92" t="s">
        <v>66</v>
      </c>
      <c r="AB18" s="92" t="s">
        <v>66</v>
      </c>
      <c r="AC18" s="92" t="s">
        <v>66</v>
      </c>
      <c r="AD18" s="92" t="s">
        <v>66</v>
      </c>
      <c r="AE18" s="92" t="s">
        <v>66</v>
      </c>
      <c r="AF18" s="92" t="s">
        <v>66</v>
      </c>
      <c r="AG18" s="92" t="s">
        <v>66</v>
      </c>
      <c r="AH18" s="92" t="s">
        <v>66</v>
      </c>
      <c r="AI18" s="97"/>
    </row>
    <row r="19" spans="1:38" x14ac:dyDescent="0.25">
      <c r="A19" s="96"/>
      <c r="B19" s="86" t="s">
        <v>33</v>
      </c>
      <c r="C19" s="87">
        <f t="shared" si="5"/>
        <v>-41.68</v>
      </c>
      <c r="D19" s="91">
        <f t="shared" si="6"/>
        <v>2.103074889245456E-2</v>
      </c>
      <c r="E19" s="94" t="s">
        <v>66</v>
      </c>
      <c r="F19" s="94" t="s">
        <v>66</v>
      </c>
      <c r="G19" s="94" t="s">
        <v>66</v>
      </c>
      <c r="H19" s="94" t="s">
        <v>66</v>
      </c>
      <c r="I19" s="94" t="s">
        <v>66</v>
      </c>
      <c r="J19" s="94" t="s">
        <v>66</v>
      </c>
      <c r="K19" s="94" t="s">
        <v>66</v>
      </c>
      <c r="L19" s="94" t="s">
        <v>66</v>
      </c>
      <c r="M19" s="94" t="s">
        <v>66</v>
      </c>
      <c r="N19" s="94" t="s">
        <v>66</v>
      </c>
      <c r="O19" s="94" t="s">
        <v>66</v>
      </c>
      <c r="P19" s="94" t="s">
        <v>66</v>
      </c>
      <c r="Q19" s="94" t="s">
        <v>66</v>
      </c>
      <c r="R19" s="94" t="s">
        <v>66</v>
      </c>
      <c r="S19" s="94" t="s">
        <v>66</v>
      </c>
      <c r="T19" s="94" t="s">
        <v>66</v>
      </c>
      <c r="U19" s="94" t="s">
        <v>66</v>
      </c>
      <c r="V19" s="94">
        <f>-5.23-10.81</f>
        <v>-16.04</v>
      </c>
      <c r="W19" s="94">
        <v>-10.66</v>
      </c>
      <c r="X19" s="94" t="s">
        <v>66</v>
      </c>
      <c r="Y19" s="94" t="s">
        <v>66</v>
      </c>
      <c r="Z19" s="94" t="s">
        <v>66</v>
      </c>
      <c r="AA19" s="94" t="s">
        <v>66</v>
      </c>
      <c r="AB19" s="94" t="s">
        <v>66</v>
      </c>
      <c r="AC19" s="94" t="s">
        <v>66</v>
      </c>
      <c r="AD19" s="94" t="s">
        <v>66</v>
      </c>
      <c r="AE19" s="94" t="s">
        <v>66</v>
      </c>
      <c r="AF19" s="94" t="s">
        <v>66</v>
      </c>
      <c r="AG19" s="94" t="s">
        <v>66</v>
      </c>
      <c r="AH19" s="94">
        <v>-14.98</v>
      </c>
      <c r="AI19" s="97"/>
    </row>
    <row r="20" spans="1:38" x14ac:dyDescent="0.25">
      <c r="A20" s="96"/>
      <c r="B20" s="86" t="s">
        <v>34</v>
      </c>
      <c r="C20" s="87">
        <f t="shared" si="5"/>
        <v>-14.9</v>
      </c>
      <c r="D20" s="93">
        <f t="shared" si="6"/>
        <v>7.5181899831471442E-3</v>
      </c>
      <c r="E20" s="92" t="s">
        <v>66</v>
      </c>
      <c r="F20" s="92" t="s">
        <v>66</v>
      </c>
      <c r="G20" s="92" t="s">
        <v>66</v>
      </c>
      <c r="H20" s="92" t="s">
        <v>66</v>
      </c>
      <c r="I20" s="92" t="s">
        <v>66</v>
      </c>
      <c r="J20" s="92">
        <v>-3</v>
      </c>
      <c r="K20" s="92" t="s">
        <v>66</v>
      </c>
      <c r="L20" s="92" t="s">
        <v>66</v>
      </c>
      <c r="M20" s="92" t="s">
        <v>66</v>
      </c>
      <c r="N20" s="92" t="s">
        <v>66</v>
      </c>
      <c r="O20" s="92" t="s">
        <v>66</v>
      </c>
      <c r="P20" s="92" t="s">
        <v>66</v>
      </c>
      <c r="Q20" s="92" t="s">
        <v>66</v>
      </c>
      <c r="R20" s="92" t="s">
        <v>66</v>
      </c>
      <c r="S20" s="92" t="s">
        <v>66</v>
      </c>
      <c r="T20" s="92" t="s">
        <v>66</v>
      </c>
      <c r="U20" s="92" t="s">
        <v>66</v>
      </c>
      <c r="V20" s="92" t="s">
        <v>66</v>
      </c>
      <c r="W20" s="92" t="s">
        <v>66</v>
      </c>
      <c r="X20" s="92" t="s">
        <v>66</v>
      </c>
      <c r="Y20" s="92" t="s">
        <v>66</v>
      </c>
      <c r="Z20" s="92" t="s">
        <v>66</v>
      </c>
      <c r="AA20" s="92">
        <v>-6</v>
      </c>
      <c r="AB20" s="92" t="s">
        <v>66</v>
      </c>
      <c r="AC20" s="92" t="s">
        <v>66</v>
      </c>
      <c r="AD20" s="92" t="s">
        <v>66</v>
      </c>
      <c r="AE20" s="92" t="s">
        <v>66</v>
      </c>
      <c r="AF20" s="92" t="s">
        <v>66</v>
      </c>
      <c r="AG20" s="92">
        <v>-5.9</v>
      </c>
      <c r="AH20" s="92" t="s">
        <v>66</v>
      </c>
      <c r="AI20" s="97"/>
      <c r="AK20" s="86"/>
      <c r="AL20" s="95"/>
    </row>
    <row r="21" spans="1:38" ht="15.75" customHeight="1" x14ac:dyDescent="0.25">
      <c r="A21" s="96"/>
      <c r="B21" s="86" t="s">
        <v>35</v>
      </c>
      <c r="C21" s="87">
        <f t="shared" si="5"/>
        <v>0</v>
      </c>
      <c r="D21" s="91">
        <f t="shared" si="6"/>
        <v>0</v>
      </c>
      <c r="E21" s="94" t="s">
        <v>66</v>
      </c>
      <c r="F21" s="94" t="s">
        <v>66</v>
      </c>
      <c r="G21" s="94" t="s">
        <v>66</v>
      </c>
      <c r="H21" s="94" t="s">
        <v>66</v>
      </c>
      <c r="I21" s="94" t="s">
        <v>66</v>
      </c>
      <c r="J21" s="94" t="s">
        <v>66</v>
      </c>
      <c r="K21" s="94" t="s">
        <v>66</v>
      </c>
      <c r="L21" s="94" t="s">
        <v>66</v>
      </c>
      <c r="M21" s="94" t="s">
        <v>66</v>
      </c>
      <c r="N21" s="94" t="s">
        <v>66</v>
      </c>
      <c r="O21" s="94" t="s">
        <v>66</v>
      </c>
      <c r="P21" s="94" t="s">
        <v>66</v>
      </c>
      <c r="Q21" s="94" t="s">
        <v>66</v>
      </c>
      <c r="R21" s="94" t="s">
        <v>66</v>
      </c>
      <c r="S21" s="94" t="s">
        <v>66</v>
      </c>
      <c r="T21" s="94" t="s">
        <v>66</v>
      </c>
      <c r="U21" s="94" t="s">
        <v>66</v>
      </c>
      <c r="V21" s="94" t="s">
        <v>66</v>
      </c>
      <c r="W21" s="94" t="s">
        <v>66</v>
      </c>
      <c r="X21" s="94" t="s">
        <v>66</v>
      </c>
      <c r="Y21" s="94" t="s">
        <v>66</v>
      </c>
      <c r="Z21" s="94" t="s">
        <v>66</v>
      </c>
      <c r="AA21" s="94" t="s">
        <v>66</v>
      </c>
      <c r="AB21" s="94" t="s">
        <v>66</v>
      </c>
      <c r="AC21" s="94" t="s">
        <v>66</v>
      </c>
      <c r="AD21" s="94" t="s">
        <v>66</v>
      </c>
      <c r="AE21" s="94" t="s">
        <v>66</v>
      </c>
      <c r="AF21" s="94" t="s">
        <v>66</v>
      </c>
      <c r="AG21" s="94" t="s">
        <v>66</v>
      </c>
      <c r="AH21" s="94" t="s">
        <v>66</v>
      </c>
      <c r="AI21" s="97"/>
    </row>
    <row r="22" spans="1:38" ht="15.75" customHeight="1" x14ac:dyDescent="0.25">
      <c r="A22" s="96"/>
      <c r="B22" s="86" t="s">
        <v>36</v>
      </c>
      <c r="C22" s="87">
        <f t="shared" si="5"/>
        <v>0</v>
      </c>
      <c r="D22" s="93">
        <f t="shared" si="6"/>
        <v>0</v>
      </c>
      <c r="E22" s="92" t="s">
        <v>66</v>
      </c>
      <c r="F22" s="92" t="s">
        <v>66</v>
      </c>
      <c r="G22" s="92" t="s">
        <v>66</v>
      </c>
      <c r="H22" s="92" t="s">
        <v>66</v>
      </c>
      <c r="I22" s="92" t="s">
        <v>66</v>
      </c>
      <c r="J22" s="92" t="s">
        <v>66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 t="s">
        <v>66</v>
      </c>
      <c r="Q22" s="92" t="s">
        <v>66</v>
      </c>
      <c r="R22" s="92" t="s">
        <v>66</v>
      </c>
      <c r="S22" s="92" t="s">
        <v>66</v>
      </c>
      <c r="T22" s="92" t="s">
        <v>66</v>
      </c>
      <c r="U22" s="92" t="s">
        <v>66</v>
      </c>
      <c r="V22" s="92" t="s">
        <v>66</v>
      </c>
      <c r="W22" s="92" t="s">
        <v>66</v>
      </c>
      <c r="X22" s="92" t="s">
        <v>66</v>
      </c>
      <c r="Y22" s="92" t="s">
        <v>66</v>
      </c>
      <c r="Z22" s="92" t="s">
        <v>66</v>
      </c>
      <c r="AA22" s="92" t="s">
        <v>66</v>
      </c>
      <c r="AB22" s="92" t="s">
        <v>66</v>
      </c>
      <c r="AC22" s="92" t="s">
        <v>66</v>
      </c>
      <c r="AD22" s="92" t="s">
        <v>66</v>
      </c>
      <c r="AE22" s="92" t="s">
        <v>66</v>
      </c>
      <c r="AF22" s="92" t="s">
        <v>66</v>
      </c>
      <c r="AG22" s="92" t="s">
        <v>66</v>
      </c>
      <c r="AH22" s="92" t="s">
        <v>66</v>
      </c>
      <c r="AI22" s="97"/>
    </row>
    <row r="23" spans="1:38" ht="15.75" customHeight="1" x14ac:dyDescent="0.25">
      <c r="A23" s="96"/>
      <c r="B23" s="86" t="s">
        <v>39</v>
      </c>
      <c r="C23" s="87">
        <f t="shared" si="5"/>
        <v>-108.05999999999999</v>
      </c>
      <c r="D23" s="91">
        <f t="shared" si="6"/>
        <v>5.4524537555629547E-2</v>
      </c>
      <c r="E23" s="94" t="s">
        <v>66</v>
      </c>
      <c r="F23" s="94">
        <v>-23.97</v>
      </c>
      <c r="G23" s="94" t="s">
        <v>66</v>
      </c>
      <c r="H23" s="94" t="s">
        <v>66</v>
      </c>
      <c r="I23" s="94" t="s">
        <v>66</v>
      </c>
      <c r="J23" s="94" t="s">
        <v>66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 t="s">
        <v>66</v>
      </c>
      <c r="R23" s="94" t="s">
        <v>66</v>
      </c>
      <c r="S23" s="94" t="s">
        <v>66</v>
      </c>
      <c r="T23" s="94">
        <v>-78.099999999999994</v>
      </c>
      <c r="U23" s="94" t="s">
        <v>66</v>
      </c>
      <c r="V23" s="94" t="s">
        <v>66</v>
      </c>
      <c r="W23" s="94" t="s">
        <v>66</v>
      </c>
      <c r="X23" s="94" t="s">
        <v>66</v>
      </c>
      <c r="Y23" s="94">
        <v>-5.99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4" t="s">
        <v>66</v>
      </c>
      <c r="AH23" s="94" t="s">
        <v>66</v>
      </c>
      <c r="AI23" s="97"/>
    </row>
    <row r="24" spans="1:38" ht="15.75" customHeight="1" x14ac:dyDescent="0.25">
      <c r="A24" s="96"/>
      <c r="B24" s="86" t="s">
        <v>40</v>
      </c>
      <c r="C24" s="87">
        <f t="shared" si="5"/>
        <v>-28.5</v>
      </c>
      <c r="D24" s="93">
        <f t="shared" si="6"/>
        <v>1.4380430504677423E-2</v>
      </c>
      <c r="E24" s="92" t="s">
        <v>66</v>
      </c>
      <c r="F24" s="92" t="s">
        <v>66</v>
      </c>
      <c r="G24" s="92" t="s">
        <v>66</v>
      </c>
      <c r="H24" s="92" t="s">
        <v>66</v>
      </c>
      <c r="I24" s="92" t="s">
        <v>66</v>
      </c>
      <c r="J24" s="92" t="s">
        <v>66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 t="s">
        <v>66</v>
      </c>
      <c r="AB24" s="92" t="s">
        <v>66</v>
      </c>
      <c r="AC24" s="92" t="s">
        <v>66</v>
      </c>
      <c r="AD24" s="92" t="s">
        <v>66</v>
      </c>
      <c r="AE24" s="92" t="s">
        <v>66</v>
      </c>
      <c r="AF24" s="92">
        <f>-18.5-10</f>
        <v>-28.5</v>
      </c>
      <c r="AG24" s="92" t="s">
        <v>66</v>
      </c>
      <c r="AH24" s="92" t="s">
        <v>66</v>
      </c>
      <c r="AI24" s="97"/>
    </row>
    <row r="25" spans="1:38" ht="15.75" customHeight="1" x14ac:dyDescent="0.25">
      <c r="A25" s="96"/>
      <c r="B25" s="86" t="s">
        <v>41</v>
      </c>
      <c r="C25" s="87">
        <f t="shared" si="5"/>
        <v>-39.9</v>
      </c>
      <c r="D25" s="91">
        <f t="shared" si="6"/>
        <v>2.0132602706548392E-2</v>
      </c>
      <c r="E25" s="94" t="s">
        <v>66</v>
      </c>
      <c r="F25" s="94" t="s">
        <v>66</v>
      </c>
      <c r="G25" s="94" t="s">
        <v>66</v>
      </c>
      <c r="H25" s="94" t="s">
        <v>66</v>
      </c>
      <c r="I25" s="94" t="s">
        <v>66</v>
      </c>
      <c r="J25" s="94" t="s">
        <v>66</v>
      </c>
      <c r="K25" s="94" t="s">
        <v>66</v>
      </c>
      <c r="L25" s="94" t="s">
        <v>66</v>
      </c>
      <c r="M25" s="94" t="s">
        <v>66</v>
      </c>
      <c r="N25" s="94" t="s">
        <v>66</v>
      </c>
      <c r="O25" s="94" t="s">
        <v>66</v>
      </c>
      <c r="P25" s="94" t="s">
        <v>66</v>
      </c>
      <c r="Q25" s="94" t="s">
        <v>66</v>
      </c>
      <c r="R25" s="94" t="s">
        <v>66</v>
      </c>
      <c r="S25" s="94">
        <v>-39.9</v>
      </c>
      <c r="T25" s="94" t="s">
        <v>66</v>
      </c>
      <c r="U25" s="94" t="s">
        <v>66</v>
      </c>
      <c r="V25" s="94" t="s">
        <v>66</v>
      </c>
      <c r="W25" s="94" t="s">
        <v>66</v>
      </c>
      <c r="X25" s="94" t="s">
        <v>66</v>
      </c>
      <c r="Y25" s="94" t="s">
        <v>66</v>
      </c>
      <c r="Z25" s="94" t="s">
        <v>66</v>
      </c>
      <c r="AA25" s="94" t="s">
        <v>66</v>
      </c>
      <c r="AB25" s="94" t="s">
        <v>66</v>
      </c>
      <c r="AC25" s="94" t="s">
        <v>66</v>
      </c>
      <c r="AD25" s="94" t="s">
        <v>66</v>
      </c>
      <c r="AE25" s="94" t="s">
        <v>66</v>
      </c>
      <c r="AF25" s="94" t="s">
        <v>66</v>
      </c>
      <c r="AG25" s="94" t="s">
        <v>66</v>
      </c>
      <c r="AH25" s="94" t="s">
        <v>66</v>
      </c>
      <c r="AI25" s="97"/>
    </row>
    <row r="26" spans="1:38" ht="15.75" customHeight="1" x14ac:dyDescent="0.25">
      <c r="A26" s="246"/>
      <c r="B26" s="86" t="s">
        <v>208</v>
      </c>
      <c r="C26" s="87">
        <f>-522/3</f>
        <v>-174</v>
      </c>
      <c r="D26" s="91">
        <f t="shared" si="6"/>
        <v>8.7796312554872691E-2</v>
      </c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247"/>
    </row>
    <row r="27" spans="1:38" ht="15.75" customHeight="1" x14ac:dyDescent="0.25">
      <c r="A27" s="96"/>
      <c r="B27" s="86" t="s">
        <v>72</v>
      </c>
      <c r="C27" s="87">
        <f t="shared" si="5"/>
        <v>-589.85</v>
      </c>
      <c r="D27" s="93">
        <f t="shared" si="6"/>
        <v>0.29762445379592906</v>
      </c>
      <c r="E27" s="92" t="s">
        <v>66</v>
      </c>
      <c r="F27" s="92" t="s">
        <v>66</v>
      </c>
      <c r="G27" s="92" t="s">
        <v>66</v>
      </c>
      <c r="H27" s="92" t="s">
        <v>66</v>
      </c>
      <c r="I27" s="92" t="s">
        <v>66</v>
      </c>
      <c r="J27" s="92" t="s">
        <v>66</v>
      </c>
      <c r="K27" s="92" t="s">
        <v>66</v>
      </c>
      <c r="L27" s="92">
        <v>-550</v>
      </c>
      <c r="M27" s="92" t="s">
        <v>66</v>
      </c>
      <c r="N27" s="92" t="s">
        <v>66</v>
      </c>
      <c r="O27" s="92" t="s">
        <v>66</v>
      </c>
      <c r="P27" s="92">
        <v>-26.9</v>
      </c>
      <c r="Q27" s="92" t="s">
        <v>66</v>
      </c>
      <c r="R27" s="92">
        <v>-12.95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 t="s">
        <v>66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7"/>
    </row>
    <row r="28" spans="1:38" ht="15.75" customHeight="1" x14ac:dyDescent="0.25">
      <c r="A28" s="96"/>
      <c r="B28" s="86" t="s">
        <v>42</v>
      </c>
      <c r="C28" s="87">
        <f t="shared" si="5"/>
        <v>0</v>
      </c>
      <c r="D28" s="91">
        <f t="shared" si="6"/>
        <v>0</v>
      </c>
      <c r="E28" s="94" t="s">
        <v>66</v>
      </c>
      <c r="F28" s="94" t="s">
        <v>66</v>
      </c>
      <c r="G28" s="94" t="s">
        <v>66</v>
      </c>
      <c r="H28" s="94" t="s">
        <v>66</v>
      </c>
      <c r="I28" s="94" t="s">
        <v>66</v>
      </c>
      <c r="J28" s="94" t="s">
        <v>66</v>
      </c>
      <c r="K28" s="94" t="s">
        <v>66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7"/>
    </row>
    <row r="29" spans="1:38" ht="15.75" customHeight="1" x14ac:dyDescent="0.25">
      <c r="A29" s="96"/>
      <c r="B29" s="99" t="s">
        <v>44</v>
      </c>
      <c r="C29" s="124">
        <f t="shared" si="5"/>
        <v>2079.15</v>
      </c>
      <c r="D29" s="125"/>
      <c r="E29" s="126"/>
      <c r="F29" s="126"/>
      <c r="G29" s="126"/>
      <c r="H29" s="126"/>
      <c r="I29" s="126">
        <v>2055.15</v>
      </c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>
        <v>100</v>
      </c>
      <c r="W29" s="126"/>
      <c r="X29" s="126"/>
      <c r="Y29" s="126"/>
      <c r="Z29" s="126"/>
      <c r="AA29" s="126"/>
      <c r="AB29" s="126"/>
      <c r="AC29" s="126">
        <v>24</v>
      </c>
      <c r="AD29" s="126"/>
      <c r="AE29" s="126"/>
      <c r="AF29" s="126"/>
      <c r="AG29" s="126"/>
      <c r="AH29" s="126">
        <v>-100</v>
      </c>
      <c r="AI29" s="97"/>
    </row>
    <row r="30" spans="1:38" ht="15.75" customHeight="1" x14ac:dyDescent="0.25">
      <c r="A30" s="96"/>
      <c r="B30" s="83"/>
      <c r="C30" s="12"/>
      <c r="D30" s="106"/>
      <c r="E30" s="107">
        <f t="shared" ref="E30:AH30" si="7">E5</f>
        <v>43405</v>
      </c>
      <c r="F30" s="107">
        <f t="shared" si="7"/>
        <v>43406</v>
      </c>
      <c r="G30" s="107">
        <f t="shared" si="7"/>
        <v>43407</v>
      </c>
      <c r="H30" s="107">
        <f t="shared" si="7"/>
        <v>43408</v>
      </c>
      <c r="I30" s="107">
        <f t="shared" si="7"/>
        <v>43409</v>
      </c>
      <c r="J30" s="107">
        <f t="shared" si="7"/>
        <v>43410</v>
      </c>
      <c r="K30" s="107">
        <f t="shared" si="7"/>
        <v>43411</v>
      </c>
      <c r="L30" s="107">
        <f t="shared" si="7"/>
        <v>43412</v>
      </c>
      <c r="M30" s="107">
        <f t="shared" si="7"/>
        <v>43413</v>
      </c>
      <c r="N30" s="107">
        <f t="shared" si="7"/>
        <v>43414</v>
      </c>
      <c r="O30" s="107">
        <f t="shared" si="7"/>
        <v>43415</v>
      </c>
      <c r="P30" s="107">
        <f t="shared" si="7"/>
        <v>43416</v>
      </c>
      <c r="Q30" s="107">
        <f t="shared" si="7"/>
        <v>43417</v>
      </c>
      <c r="R30" s="107">
        <f t="shared" si="7"/>
        <v>43418</v>
      </c>
      <c r="S30" s="107">
        <f t="shared" si="7"/>
        <v>43419</v>
      </c>
      <c r="T30" s="107">
        <f t="shared" si="7"/>
        <v>43420</v>
      </c>
      <c r="U30" s="107">
        <f t="shared" si="7"/>
        <v>43421</v>
      </c>
      <c r="V30" s="107">
        <f t="shared" si="7"/>
        <v>43422</v>
      </c>
      <c r="W30" s="107">
        <f t="shared" si="7"/>
        <v>43423</v>
      </c>
      <c r="X30" s="107">
        <f t="shared" si="7"/>
        <v>43424</v>
      </c>
      <c r="Y30" s="107">
        <f t="shared" si="7"/>
        <v>43425</v>
      </c>
      <c r="Z30" s="107">
        <f t="shared" si="7"/>
        <v>43426</v>
      </c>
      <c r="AA30" s="107">
        <f t="shared" si="7"/>
        <v>43427</v>
      </c>
      <c r="AB30" s="107">
        <f t="shared" si="7"/>
        <v>43428</v>
      </c>
      <c r="AC30" s="107">
        <f t="shared" si="7"/>
        <v>43429</v>
      </c>
      <c r="AD30" s="107">
        <f t="shared" si="7"/>
        <v>43430</v>
      </c>
      <c r="AE30" s="107">
        <f t="shared" si="7"/>
        <v>43431</v>
      </c>
      <c r="AF30" s="107">
        <f t="shared" si="7"/>
        <v>43432</v>
      </c>
      <c r="AG30" s="107">
        <f t="shared" si="7"/>
        <v>43433</v>
      </c>
      <c r="AH30" s="107">
        <f t="shared" si="7"/>
        <v>43434</v>
      </c>
      <c r="AI30" s="97"/>
    </row>
    <row r="31" spans="1:38" ht="15.75" customHeight="1" x14ac:dyDescent="0.25">
      <c r="A31" s="96"/>
      <c r="B31" s="110" t="s">
        <v>93</v>
      </c>
      <c r="C31" s="58"/>
      <c r="D31" s="66"/>
      <c r="E31" s="112">
        <f t="shared" ref="E31:AH31" si="8">SUM($E$6:E6)</f>
        <v>0</v>
      </c>
      <c r="F31" s="112">
        <f t="shared" si="8"/>
        <v>-62.97</v>
      </c>
      <c r="G31" s="112">
        <f t="shared" si="8"/>
        <v>-62.97</v>
      </c>
      <c r="H31" s="112">
        <f t="shared" si="8"/>
        <v>-114.93</v>
      </c>
      <c r="I31" s="112">
        <f t="shared" si="8"/>
        <v>-114.93</v>
      </c>
      <c r="J31" s="112">
        <f t="shared" si="8"/>
        <v>-117.93</v>
      </c>
      <c r="K31" s="112">
        <f t="shared" si="8"/>
        <v>-117.93</v>
      </c>
      <c r="L31" s="112">
        <f t="shared" si="8"/>
        <v>-915.03</v>
      </c>
      <c r="M31" s="112">
        <f t="shared" si="8"/>
        <v>-919.53</v>
      </c>
      <c r="N31" s="112">
        <f t="shared" si="8"/>
        <v>-938.43</v>
      </c>
      <c r="O31" s="112">
        <f t="shared" si="8"/>
        <v>-978.04</v>
      </c>
      <c r="P31" s="112">
        <f t="shared" si="8"/>
        <v>-1004.9399999999999</v>
      </c>
      <c r="Q31" s="112">
        <f t="shared" si="8"/>
        <v>-1016.8399999999999</v>
      </c>
      <c r="R31" s="112">
        <f t="shared" si="8"/>
        <v>-1060.1899999999998</v>
      </c>
      <c r="S31" s="112">
        <f t="shared" si="8"/>
        <v>-1152.9899999999998</v>
      </c>
      <c r="T31" s="112">
        <f t="shared" si="8"/>
        <v>-1260.9899999999998</v>
      </c>
      <c r="U31" s="112">
        <f t="shared" si="8"/>
        <v>-1321.87</v>
      </c>
      <c r="V31" s="112">
        <f t="shared" si="8"/>
        <v>-1584.33</v>
      </c>
      <c r="W31" s="112">
        <f t="shared" si="8"/>
        <v>-1603.99</v>
      </c>
      <c r="X31" s="112">
        <f t="shared" si="8"/>
        <v>-1603.99</v>
      </c>
      <c r="Y31" s="112">
        <f t="shared" si="8"/>
        <v>-1623.08</v>
      </c>
      <c r="Z31" s="112">
        <f t="shared" si="8"/>
        <v>-1623.08</v>
      </c>
      <c r="AA31" s="112">
        <f t="shared" si="8"/>
        <v>-1629.08</v>
      </c>
      <c r="AB31" s="112">
        <f t="shared" si="8"/>
        <v>-1646.98</v>
      </c>
      <c r="AC31" s="112">
        <f t="shared" si="8"/>
        <v>-1683.6100000000001</v>
      </c>
      <c r="AD31" s="112">
        <f t="shared" si="8"/>
        <v>-1728.6000000000001</v>
      </c>
      <c r="AE31" s="112">
        <f t="shared" si="8"/>
        <v>-1728.6000000000001</v>
      </c>
      <c r="AF31" s="112">
        <f t="shared" si="8"/>
        <v>-1757.1000000000001</v>
      </c>
      <c r="AG31" s="112">
        <f t="shared" si="8"/>
        <v>-1792.88</v>
      </c>
      <c r="AH31" s="112">
        <f t="shared" si="8"/>
        <v>-1807.8600000000001</v>
      </c>
      <c r="AI31" s="97"/>
    </row>
    <row r="32" spans="1:38" ht="15.75" customHeight="1" x14ac:dyDescent="0.25">
      <c r="A32" s="96"/>
      <c r="B32" s="99" t="s">
        <v>69</v>
      </c>
      <c r="C32" s="44"/>
      <c r="D32" s="115">
        <f>'Out2018'!AI45</f>
        <v>1764.75</v>
      </c>
      <c r="E32" s="73">
        <f t="shared" ref="E32:AH32" si="9">D40+E6+E29</f>
        <v>1764.75</v>
      </c>
      <c r="F32" s="73">
        <f t="shared" si="9"/>
        <v>1701.78</v>
      </c>
      <c r="G32" s="73">
        <f t="shared" si="9"/>
        <v>1701.78</v>
      </c>
      <c r="H32" s="73">
        <f t="shared" si="9"/>
        <v>1649.82</v>
      </c>
      <c r="I32" s="73">
        <f t="shared" si="9"/>
        <v>3704.9700000000003</v>
      </c>
      <c r="J32" s="73">
        <f t="shared" si="9"/>
        <v>3701.9700000000003</v>
      </c>
      <c r="K32" s="73">
        <f t="shared" si="9"/>
        <v>3701.9700000000003</v>
      </c>
      <c r="L32" s="73">
        <f t="shared" si="9"/>
        <v>2904.8700000000003</v>
      </c>
      <c r="M32" s="73">
        <f t="shared" si="9"/>
        <v>2900.3700000000003</v>
      </c>
      <c r="N32" s="73">
        <f t="shared" si="9"/>
        <v>2881.4700000000003</v>
      </c>
      <c r="O32" s="73">
        <f t="shared" si="9"/>
        <v>2841.86</v>
      </c>
      <c r="P32" s="73">
        <f t="shared" si="9"/>
        <v>2814.96</v>
      </c>
      <c r="Q32" s="73">
        <f t="shared" si="9"/>
        <v>2803.06</v>
      </c>
      <c r="R32" s="73">
        <f t="shared" si="9"/>
        <v>2759.71</v>
      </c>
      <c r="S32" s="73">
        <f t="shared" si="9"/>
        <v>2666.91</v>
      </c>
      <c r="T32" s="73">
        <f t="shared" si="9"/>
        <v>2558.91</v>
      </c>
      <c r="U32" s="73">
        <f t="shared" si="9"/>
        <v>2498.0299999999997</v>
      </c>
      <c r="V32" s="73">
        <f t="shared" si="9"/>
        <v>2335.5699999999997</v>
      </c>
      <c r="W32" s="73">
        <f t="shared" si="9"/>
        <v>2315.91</v>
      </c>
      <c r="X32" s="73">
        <f t="shared" si="9"/>
        <v>2315.91</v>
      </c>
      <c r="Y32" s="73">
        <f t="shared" si="9"/>
        <v>2296.8199999999997</v>
      </c>
      <c r="Z32" s="73">
        <f t="shared" si="9"/>
        <v>2296.8199999999997</v>
      </c>
      <c r="AA32" s="73">
        <f t="shared" si="9"/>
        <v>2290.8199999999997</v>
      </c>
      <c r="AB32" s="73">
        <f t="shared" si="9"/>
        <v>2272.9199999999996</v>
      </c>
      <c r="AC32" s="73">
        <f t="shared" si="9"/>
        <v>2260.2899999999995</v>
      </c>
      <c r="AD32" s="73">
        <f t="shared" si="9"/>
        <v>2215.2999999999997</v>
      </c>
      <c r="AE32" s="73">
        <f t="shared" si="9"/>
        <v>2215.2999999999997</v>
      </c>
      <c r="AF32" s="73">
        <f t="shared" si="9"/>
        <v>2186.7999999999997</v>
      </c>
      <c r="AG32" s="73">
        <f t="shared" si="9"/>
        <v>2151.0199999999995</v>
      </c>
      <c r="AH32" s="73">
        <f t="shared" si="9"/>
        <v>2036.0399999999995</v>
      </c>
      <c r="AI32" s="97"/>
    </row>
    <row r="33" spans="1:37" ht="15.75" customHeight="1" x14ac:dyDescent="0.25">
      <c r="A33" s="96"/>
      <c r="B33" s="83" t="s">
        <v>61</v>
      </c>
      <c r="C33" s="12"/>
      <c r="D33" s="12"/>
      <c r="E33" s="1"/>
      <c r="F33" s="1"/>
      <c r="G33" s="1"/>
      <c r="H33" s="1"/>
      <c r="I33" s="1"/>
      <c r="J33" s="1"/>
      <c r="K33" s="1"/>
      <c r="L33" s="1">
        <v>52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147</v>
      </c>
      <c r="Y33" s="1"/>
      <c r="Z33" s="1"/>
      <c r="AA33" s="1"/>
      <c r="AB33" s="1"/>
      <c r="AC33" s="1"/>
      <c r="AD33" s="1"/>
      <c r="AE33" s="1"/>
      <c r="AF33" s="1"/>
      <c r="AG33" s="1"/>
      <c r="AH33" s="1">
        <f>90+42</f>
        <v>132</v>
      </c>
      <c r="AI33" s="97"/>
    </row>
    <row r="34" spans="1:37" ht="15.75" customHeight="1" x14ac:dyDescent="0.25">
      <c r="A34" s="96"/>
      <c r="B34" s="83" t="s">
        <v>70</v>
      </c>
      <c r="C34" s="12"/>
      <c r="D34" s="12"/>
      <c r="E34" s="1"/>
      <c r="F34" s="1"/>
      <c r="G34" s="1"/>
      <c r="H34" s="1"/>
      <c r="I34" s="1"/>
      <c r="J34" s="1"/>
      <c r="K34" s="1"/>
      <c r="L34" s="1">
        <v>-465.27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-641.38</v>
      </c>
      <c r="Y34" s="1"/>
      <c r="Z34" s="1"/>
      <c r="AA34" s="1"/>
      <c r="AB34" s="1"/>
      <c r="AC34" s="1"/>
      <c r="AD34" s="1"/>
      <c r="AE34" s="1"/>
      <c r="AF34" s="1"/>
      <c r="AG34" s="1"/>
      <c r="AH34" s="1">
        <f>-996.37+233.34-14.98</f>
        <v>-778.01</v>
      </c>
      <c r="AI34" s="97"/>
    </row>
    <row r="35" spans="1:37" ht="15.75" customHeight="1" x14ac:dyDescent="0.25">
      <c r="A35" s="96"/>
      <c r="B35" s="83" t="s">
        <v>71</v>
      </c>
      <c r="C35" s="12"/>
      <c r="D35" s="12"/>
      <c r="E35" s="1"/>
      <c r="F35" s="1"/>
      <c r="G35" s="1"/>
      <c r="H35" s="1"/>
      <c r="I35" s="1"/>
      <c r="J35" s="1"/>
      <c r="K35" s="1"/>
      <c r="L35" s="1">
        <f>1641.1-192</f>
        <v>1449.1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897.02</v>
      </c>
      <c r="Y35" s="1"/>
      <c r="Z35" s="1"/>
      <c r="AA35" s="1"/>
      <c r="AB35" s="1"/>
      <c r="AC35" s="1"/>
      <c r="AD35" s="1"/>
      <c r="AE35" s="1"/>
      <c r="AF35" s="1"/>
      <c r="AG35" s="1"/>
      <c r="AH35" s="1">
        <v>847.03</v>
      </c>
      <c r="AI35" s="97"/>
    </row>
    <row r="36" spans="1:37" ht="15.75" customHeight="1" x14ac:dyDescent="0.25">
      <c r="A36" s="96"/>
      <c r="B36" s="83" t="s">
        <v>73</v>
      </c>
      <c r="C36" s="12"/>
      <c r="D36" s="12"/>
      <c r="E36" s="1"/>
      <c r="F36" s="1"/>
      <c r="G36" s="1"/>
      <c r="H36" s="1"/>
      <c r="I36" s="1"/>
      <c r="J36" s="1"/>
      <c r="K36" s="1"/>
      <c r="L36" s="1">
        <v>600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900</v>
      </c>
      <c r="Y36" s="1"/>
      <c r="Z36" s="1"/>
      <c r="AA36" s="1"/>
      <c r="AB36" s="1"/>
      <c r="AC36" s="1"/>
      <c r="AD36" s="1"/>
      <c r="AE36" s="1"/>
      <c r="AF36" s="1"/>
      <c r="AG36" s="1"/>
      <c r="AH36" s="1">
        <v>900</v>
      </c>
      <c r="AI36" s="97"/>
    </row>
    <row r="37" spans="1:37" ht="15.75" customHeight="1" x14ac:dyDescent="0.25">
      <c r="A37" s="96"/>
      <c r="B37" s="83" t="s">
        <v>85</v>
      </c>
      <c r="C37" s="12"/>
      <c r="D37" s="12"/>
      <c r="E37" s="1"/>
      <c r="F37" s="1"/>
      <c r="G37" s="1"/>
      <c r="H37" s="1"/>
      <c r="I37" s="1"/>
      <c r="J37" s="1"/>
      <c r="K37" s="1"/>
      <c r="L37" s="1">
        <f>686.41+600-550</f>
        <v>736.40999999999985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436.41</v>
      </c>
      <c r="Y37" s="1"/>
      <c r="Z37" s="1"/>
      <c r="AA37" s="1"/>
      <c r="AB37" s="1"/>
      <c r="AC37" s="1"/>
      <c r="AD37" s="1"/>
      <c r="AE37" s="1"/>
      <c r="AF37" s="1"/>
      <c r="AG37" s="1"/>
      <c r="AH37" s="1">
        <v>836.41</v>
      </c>
      <c r="AI37" s="97"/>
    </row>
    <row r="38" spans="1:37" ht="15.75" customHeight="1" x14ac:dyDescent="0.25">
      <c r="A38" s="96"/>
      <c r="B38" s="83" t="s">
        <v>95</v>
      </c>
      <c r="C38" s="12"/>
      <c r="D38" s="12"/>
      <c r="E38" s="1"/>
      <c r="F38" s="1"/>
      <c r="G38" s="1"/>
      <c r="H38" s="1"/>
      <c r="I38" s="1"/>
      <c r="J38" s="1"/>
      <c r="K38" s="1"/>
      <c r="L38" s="1">
        <f>301.23+300</f>
        <v>601.23</v>
      </c>
      <c r="M38" s="1"/>
      <c r="N38" s="1"/>
      <c r="O38" s="1"/>
      <c r="P38" s="1"/>
      <c r="Q38" s="1"/>
      <c r="R38" s="1"/>
      <c r="S38" s="1"/>
      <c r="T38" s="1"/>
      <c r="U38" s="134"/>
      <c r="V38" s="1"/>
      <c r="W38" s="134"/>
      <c r="X38" s="1">
        <v>600</v>
      </c>
      <c r="Y38" s="1"/>
      <c r="Z38" s="1"/>
      <c r="AA38" s="1"/>
      <c r="AB38" s="1"/>
      <c r="AC38" s="1"/>
      <c r="AD38" s="1"/>
      <c r="AE38" s="1"/>
      <c r="AF38" s="1"/>
      <c r="AG38" s="1"/>
      <c r="AH38" s="1">
        <v>600</v>
      </c>
      <c r="AI38" s="97"/>
    </row>
    <row r="39" spans="1:37" ht="15.75" customHeight="1" x14ac:dyDescent="0.25">
      <c r="A39" s="96"/>
      <c r="B39" s="116" t="s">
        <v>63</v>
      </c>
      <c r="C39" s="68"/>
      <c r="D39" s="68"/>
      <c r="E39" s="44"/>
      <c r="F39" s="44"/>
      <c r="G39" s="44"/>
      <c r="H39" s="44"/>
      <c r="I39" s="44"/>
      <c r="J39" s="44"/>
      <c r="K39" s="44"/>
      <c r="L39" s="44">
        <v>885.68</v>
      </c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>
        <v>887.44</v>
      </c>
      <c r="Y39" s="44"/>
      <c r="Z39" s="44"/>
      <c r="AA39" s="44"/>
      <c r="AB39" s="44"/>
      <c r="AC39" s="44"/>
      <c r="AD39" s="44"/>
      <c r="AE39" s="44"/>
      <c r="AF39" s="44"/>
      <c r="AG39" s="44"/>
      <c r="AH39" s="44">
        <v>889.97</v>
      </c>
      <c r="AI39" s="97"/>
    </row>
    <row r="40" spans="1:37" ht="15.75" customHeight="1" x14ac:dyDescent="0.25">
      <c r="A40" s="96"/>
      <c r="B40" s="86" t="s">
        <v>80</v>
      </c>
      <c r="C40" s="12"/>
      <c r="D40" s="50">
        <f t="shared" ref="D40:AH40" si="10">D32</f>
        <v>1764.75</v>
      </c>
      <c r="E40" s="50">
        <f t="shared" si="10"/>
        <v>1764.75</v>
      </c>
      <c r="F40" s="50">
        <f t="shared" si="10"/>
        <v>1701.78</v>
      </c>
      <c r="G40" s="50">
        <f t="shared" si="10"/>
        <v>1701.78</v>
      </c>
      <c r="H40" s="50">
        <f t="shared" si="10"/>
        <v>1649.82</v>
      </c>
      <c r="I40" s="50">
        <f t="shared" si="10"/>
        <v>3704.9700000000003</v>
      </c>
      <c r="J40" s="50">
        <f t="shared" si="10"/>
        <v>3701.9700000000003</v>
      </c>
      <c r="K40" s="50">
        <f t="shared" si="10"/>
        <v>3701.9700000000003</v>
      </c>
      <c r="L40" s="50">
        <f t="shared" si="10"/>
        <v>2904.8700000000003</v>
      </c>
      <c r="M40" s="50">
        <f t="shared" si="10"/>
        <v>2900.3700000000003</v>
      </c>
      <c r="N40" s="50">
        <f t="shared" si="10"/>
        <v>2881.4700000000003</v>
      </c>
      <c r="O40" s="50">
        <f t="shared" si="10"/>
        <v>2841.86</v>
      </c>
      <c r="P40" s="50">
        <f t="shared" si="10"/>
        <v>2814.96</v>
      </c>
      <c r="Q40" s="50">
        <f t="shared" si="10"/>
        <v>2803.06</v>
      </c>
      <c r="R40" s="50">
        <f t="shared" si="10"/>
        <v>2759.71</v>
      </c>
      <c r="S40" s="50">
        <f t="shared" si="10"/>
        <v>2666.91</v>
      </c>
      <c r="T40" s="50">
        <f t="shared" si="10"/>
        <v>2558.91</v>
      </c>
      <c r="U40" s="50">
        <f t="shared" si="10"/>
        <v>2498.0299999999997</v>
      </c>
      <c r="V40" s="50">
        <f t="shared" si="10"/>
        <v>2335.5699999999997</v>
      </c>
      <c r="W40" s="50">
        <f t="shared" si="10"/>
        <v>2315.91</v>
      </c>
      <c r="X40" s="50">
        <f t="shared" si="10"/>
        <v>2315.91</v>
      </c>
      <c r="Y40" s="50">
        <f t="shared" si="10"/>
        <v>2296.8199999999997</v>
      </c>
      <c r="Z40" s="50">
        <f t="shared" si="10"/>
        <v>2296.8199999999997</v>
      </c>
      <c r="AA40" s="73">
        <f t="shared" si="10"/>
        <v>2290.8199999999997</v>
      </c>
      <c r="AB40" s="50">
        <f t="shared" si="10"/>
        <v>2272.9199999999996</v>
      </c>
      <c r="AC40" s="50">
        <f t="shared" si="10"/>
        <v>2260.2899999999995</v>
      </c>
      <c r="AD40" s="50">
        <f t="shared" si="10"/>
        <v>2215.2999999999997</v>
      </c>
      <c r="AE40" s="50">
        <f t="shared" si="10"/>
        <v>2215.2999999999997</v>
      </c>
      <c r="AF40" s="50">
        <f t="shared" si="10"/>
        <v>2186.7999999999997</v>
      </c>
      <c r="AG40" s="50">
        <f t="shared" si="10"/>
        <v>2151.0199999999995</v>
      </c>
      <c r="AH40" s="50">
        <f t="shared" si="10"/>
        <v>2036.0399999999995</v>
      </c>
      <c r="AI40" s="97"/>
      <c r="AK40" s="137">
        <f>AH41-AH40</f>
        <v>1391.3600000000001</v>
      </c>
    </row>
    <row r="41" spans="1:37" ht="15.75" customHeight="1" x14ac:dyDescent="0.25">
      <c r="A41" s="96"/>
      <c r="B41" s="117" t="s">
        <v>74</v>
      </c>
      <c r="C41" s="70"/>
      <c r="D41" s="70"/>
      <c r="E41" s="69"/>
      <c r="F41" s="69"/>
      <c r="G41" s="69"/>
      <c r="H41" s="69"/>
      <c r="I41" s="69"/>
      <c r="J41" s="69"/>
      <c r="K41" s="69"/>
      <c r="L41" s="69">
        <f>SUM(L33:L39)</f>
        <v>3859.1499999999996</v>
      </c>
      <c r="M41" s="69"/>
      <c r="N41" s="69"/>
      <c r="O41" s="69"/>
      <c r="P41" s="71"/>
      <c r="Q41" s="71"/>
      <c r="R41" s="71"/>
      <c r="S41" s="71"/>
      <c r="T41" s="71"/>
      <c r="U41" s="69"/>
      <c r="V41" s="71"/>
      <c r="W41" s="71"/>
      <c r="X41" s="71">
        <f>SUM(X33:X39)</f>
        <v>3226.4900000000002</v>
      </c>
      <c r="Y41" s="71"/>
      <c r="Z41" s="71"/>
      <c r="AA41" s="1"/>
      <c r="AB41" s="71"/>
      <c r="AC41" s="71"/>
      <c r="AD41" s="71"/>
      <c r="AE41" s="71"/>
      <c r="AF41" s="71"/>
      <c r="AG41" s="71"/>
      <c r="AH41" s="69">
        <f>SUM(AH33:AH39)</f>
        <v>3427.3999999999996</v>
      </c>
      <c r="AI41" s="97"/>
    </row>
    <row r="42" spans="1:37" ht="9" customHeight="1" x14ac:dyDescent="0.25">
      <c r="A42" s="96"/>
      <c r="B42" s="97"/>
      <c r="C42" s="127"/>
      <c r="D42" s="12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6"/>
    </row>
    <row r="43" spans="1:37" ht="15.7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7" ht="15.75" customHeight="1" x14ac:dyDescent="0.25">
      <c r="B44" s="1"/>
      <c r="C44" s="1"/>
      <c r="D44" s="1"/>
      <c r="K44" s="5"/>
      <c r="L44" s="5"/>
      <c r="M44" s="5"/>
      <c r="N44" s="128"/>
      <c r="O44" s="5"/>
      <c r="P44" s="5"/>
      <c r="Q44" s="5"/>
      <c r="R44" s="128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8" t="s">
        <v>87</v>
      </c>
      <c r="AH44" s="128">
        <f>AH41-527.26-400-400</f>
        <v>2100.1399999999994</v>
      </c>
    </row>
    <row r="45" spans="1:37" ht="15.75" hidden="1" customHeight="1" x14ac:dyDescent="0.25">
      <c r="B45" s="1"/>
      <c r="C45" s="1"/>
      <c r="D45" s="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7" ht="15.75" hidden="1" customHeight="1" x14ac:dyDescent="0.25">
      <c r="B46" s="1"/>
      <c r="C46" s="1"/>
      <c r="D46" s="1"/>
      <c r="E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7" ht="15.75" hidden="1" customHeight="1" x14ac:dyDescent="0.25">
      <c r="B47" s="1"/>
      <c r="C47" s="1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</row>
    <row r="48" spans="1:37" ht="15.75" hidden="1" customHeight="1" x14ac:dyDescent="0.25">
      <c r="B48" s="1"/>
      <c r="C48" s="1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</row>
    <row r="49" spans="2:34" ht="15.75" hidden="1" customHeight="1" x14ac:dyDescent="0.25">
      <c r="C49" s="15"/>
      <c r="D49" s="1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2:34" ht="15.75" hidden="1" customHeight="1" x14ac:dyDescent="0.25">
      <c r="I50" s="1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</row>
    <row r="51" spans="2:34" ht="15.75" hidden="1" customHeight="1" x14ac:dyDescent="0.25"/>
    <row r="52" spans="2:34" ht="15.75" hidden="1" customHeight="1" x14ac:dyDescent="0.25"/>
    <row r="53" spans="2:34" ht="15.75" hidden="1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2:34" ht="15.75" hidden="1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2:34" ht="15.75" hidden="1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2:34" ht="15.75" hidden="1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2:34" ht="15.75" hidden="1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2:34" ht="15.75" hidden="1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2:34" ht="15.75" hidden="1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2:34" ht="15.75" hidden="1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2:34" ht="15.75" hidden="1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2:34" ht="15.75" hidden="1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2:34" ht="15.75" hidden="1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2:34" ht="15.75" hidden="1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2:34" ht="15.75" hidden="1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2:34" ht="15.75" hidden="1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2:34" ht="15.75" hidden="1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2:34" ht="15.75" hidden="1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2:34" ht="15.75" hidden="1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2:34" ht="15.75" hidden="1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2:34" ht="15.75" hidden="1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2:34" ht="15.75" hidden="1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2:34" ht="15.75" hidden="1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2:34" ht="15.75" hidden="1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2:34" ht="15.75" hidden="1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2:34" ht="15.75" hidden="1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2:34" ht="15.75" hidden="1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2:34" ht="15.75" hidden="1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2:34" ht="15.75" hidden="1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2:34" ht="15.75" hidden="1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2:34" ht="15.75" hidden="1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2:34" ht="15.75" hidden="1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2:34" ht="15.75" hidden="1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2:34" ht="15.75" hidden="1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2:34" ht="15.75" hidden="1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2:34" ht="15.75" hidden="1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2:34" ht="15.75" hidden="1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2:34" ht="15.75" hidden="1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2:34" ht="15.75" hidden="1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2:34" ht="15.75" hidden="1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2:34" ht="15.75" hidden="1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2:34" ht="15.75" hidden="1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2:34" ht="15.75" hidden="1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2:34" ht="15.75" hidden="1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2:34" ht="15.75" hidden="1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2:34" ht="15.75" hidden="1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2:34" ht="15.75" hidden="1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2:34" ht="15.75" hidden="1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2:34" ht="15.75" hidden="1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2:34" ht="15.75" hidden="1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2:34" ht="15.75" hidden="1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2:34" ht="15.75" hidden="1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2:34" ht="15.75" hidden="1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2:34" ht="15.75" hidden="1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2:34" ht="15.75" hidden="1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2:34" ht="15.75" hidden="1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2:34" ht="15.75" hidden="1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2:34" ht="15.75" hidden="1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2:34" ht="15.75" hidden="1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2:34" ht="15.75" hidden="1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2:34" ht="15.75" hidden="1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2:34" ht="15.75" hidden="1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2:34" ht="15.75" hidden="1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2:34" ht="15.75" hidden="1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2:34" ht="15.75" hidden="1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2:34" ht="15.75" hidden="1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2:34" ht="15.75" hidden="1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2:34" ht="15.75" hidden="1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2:34" ht="15.75" hidden="1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2:34" ht="15.75" hidden="1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2:34" ht="15.75" hidden="1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2:34" ht="15.75" hidden="1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2:34" ht="15.75" hidden="1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2:34" ht="15.75" hidden="1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2:34" ht="15.75" hidden="1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2:34" ht="15.75" hidden="1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2:34" ht="15.75" hidden="1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2:34" ht="15.75" hidden="1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2:34" ht="15.75" hidden="1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2:34" ht="15.75" hidden="1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2:34" ht="15.75" hidden="1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2:34" ht="15.75" hidden="1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2:34" ht="15.75" hidden="1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2:34" ht="15.75" hidden="1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2:34" ht="15.75" hidden="1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2:34" ht="15.75" hidden="1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2:34" ht="15.75" hidden="1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2:34" ht="15.75" hidden="1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2:34" ht="15.75" hidden="1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2:34" ht="15.75" hidden="1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2:34" ht="15.75" hidden="1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2:34" ht="15.75" hidden="1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2:34" ht="15.75" hidden="1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2:34" ht="15.75" hidden="1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2:34" ht="15.75" hidden="1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2:34" ht="15.75" hidden="1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2:34" ht="15.75" hidden="1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2:34" ht="15.75" hidden="1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2:34" ht="15.75" hidden="1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2:34" ht="15.75" hidden="1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2:34" ht="15.75" hidden="1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2:34" ht="15.75" hidden="1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2:34" ht="15.75" hidden="1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2:34" ht="15.75" hidden="1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2:34" ht="15.75" hidden="1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2:34" ht="15.75" hidden="1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2:34" ht="15.75" hidden="1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2:34" ht="15.75" hidden="1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2:34" ht="15.75" hidden="1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2:34" ht="15.75" hidden="1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2:34" ht="15.75" hidden="1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2:34" ht="15.75" hidden="1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2:34" ht="15.75" hidden="1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2:34" ht="15.75" hidden="1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2:34" ht="15.75" hidden="1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2:34" ht="15.75" hidden="1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2:34" ht="15.75" hidden="1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2:34" ht="15.75" hidden="1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2:34" ht="15.75" hidden="1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2:34" ht="15.75" hidden="1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2:34" ht="15.75" hidden="1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2:34" ht="15.75" hidden="1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2:34" ht="15.75" hidden="1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2:34" ht="15.75" hidden="1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2:34" ht="15.75" hidden="1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2:34" ht="15.75" hidden="1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2:34" ht="15.75" hidden="1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2:34" ht="15.75" hidden="1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2:34" ht="15.75" hidden="1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2:34" ht="15.75" hidden="1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2:34" ht="15.75" hidden="1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2:34" ht="15.75" hidden="1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2:34" ht="15.75" hidden="1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2:34" ht="15.75" hidden="1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2:34" ht="15.75" hidden="1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2:34" ht="15.75" hidden="1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2:34" ht="15.75" hidden="1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2:34" ht="15.75" hidden="1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2:34" ht="15.75" hidden="1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2:34" ht="15.75" hidden="1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2:34" ht="15.75" hidden="1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2:34" ht="15.75" hidden="1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2:34" ht="15.75" hidden="1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2:34" ht="15.75" hidden="1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2:34" ht="15.75" hidden="1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2:34" ht="15.75" hidden="1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2:34" ht="15.75" hidden="1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2:34" ht="15.75" hidden="1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2:34" ht="15.75" hidden="1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2:34" ht="15.75" hidden="1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2:34" ht="15.75" hidden="1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2:34" ht="15.75" hidden="1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2:34" ht="15.75" hidden="1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2:34" ht="15.75" hidden="1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2:34" ht="15.75" hidden="1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2:34" ht="15.75" hidden="1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2:34" ht="15.75" hidden="1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2:34" ht="15.75" hidden="1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2:34" ht="15.75" hidden="1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2:34" ht="15.75" hidden="1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2:34" ht="15.75" hidden="1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2:34" ht="15.75" hidden="1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2:34" ht="15.75" hidden="1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2:34" ht="15.75" hidden="1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2:34" ht="15.75" hidden="1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2:34" ht="15.75" hidden="1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2:34" ht="15.75" hidden="1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2:34" ht="15.75" hidden="1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2:34" ht="15.75" hidden="1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2:34" ht="15.75" hidden="1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2:34" ht="15.75" hidden="1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2:34" ht="15.75" hidden="1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2:34" ht="15.75" hidden="1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2:34" ht="15.75" hidden="1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2:34" ht="15.75" hidden="1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2:34" ht="15.75" hidden="1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2:34" ht="15.75" hidden="1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2:34" ht="15.75" hidden="1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2:34" ht="15.75" hidden="1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2:34" ht="15.75" hidden="1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2:34" ht="15.75" hidden="1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2:34" ht="15.75" hidden="1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2:34" ht="15.75" hidden="1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2:34" ht="15.75" hidden="1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2:34" ht="15.75" hidden="1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2:34" ht="15.75" hidden="1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2:34" ht="15.75" hidden="1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2:34" ht="15.75" hidden="1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2:34" ht="15.75" hidden="1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2:34" ht="15.75" hidden="1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2:34" ht="15.75" hidden="1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2:34" ht="15.75" hidden="1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2:34" ht="15.75" hidden="1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2:34" ht="15.75" hidden="1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2:34" ht="15.75" customHeight="1" x14ac:dyDescent="0.25"/>
    <row r="246" spans="2:34" ht="15.75" customHeight="1" x14ac:dyDescent="0.25"/>
    <row r="247" spans="2:34" ht="15.75" customHeight="1" x14ac:dyDescent="0.25"/>
    <row r="248" spans="2:34" ht="15.75" customHeight="1" x14ac:dyDescent="0.25"/>
    <row r="249" spans="2:34" ht="15.75" customHeight="1" x14ac:dyDescent="0.25"/>
    <row r="250" spans="2:34" ht="15.75" customHeight="1" x14ac:dyDescent="0.25"/>
    <row r="251" spans="2:34" ht="15.75" customHeight="1" x14ac:dyDescent="0.25"/>
    <row r="252" spans="2:34" ht="15.75" customHeight="1" x14ac:dyDescent="0.25"/>
    <row r="253" spans="2:34" ht="15.75" customHeight="1" x14ac:dyDescent="0.25"/>
    <row r="254" spans="2:34" ht="15.75" customHeight="1" x14ac:dyDescent="0.25"/>
    <row r="255" spans="2:34" ht="15.75" customHeight="1" x14ac:dyDescent="0.25"/>
    <row r="256" spans="2:3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44" priority="1" operator="lessThan">
      <formula>0</formula>
    </cfRule>
  </conditionalFormatting>
  <conditionalFormatting sqref="C4">
    <cfRule type="cellIs" dxfId="143" priority="2" operator="greaterThan">
      <formula>0</formula>
    </cfRule>
  </conditionalFormatting>
  <conditionalFormatting sqref="C4">
    <cfRule type="cellIs" dxfId="142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1001"/>
  <sheetViews>
    <sheetView showGridLines="0" workbookViewId="0">
      <selection activeCell="C28" sqref="C28"/>
    </sheetView>
  </sheetViews>
  <sheetFormatPr defaultColWidth="14.42578125" defaultRowHeight="15" customHeight="1" x14ac:dyDescent="0.25"/>
  <cols>
    <col min="1" max="1" width="1.7109375" customWidth="1"/>
    <col min="2" max="2" width="18.85546875" customWidth="1"/>
    <col min="3" max="3" width="10.140625" customWidth="1"/>
    <col min="4" max="4" width="7.140625" customWidth="1"/>
    <col min="5" max="8" width="8.5703125" customWidth="1"/>
    <col min="9" max="9" width="8.7109375" customWidth="1"/>
    <col min="10" max="10" width="8.5703125" customWidth="1"/>
    <col min="11" max="35" width="10.140625" customWidth="1"/>
    <col min="36" max="36" width="3" customWidth="1"/>
    <col min="37" max="37" width="14.42578125" hidden="1" customWidth="1"/>
    <col min="38" max="38" width="5.5703125" hidden="1" customWidth="1"/>
    <col min="39" max="39" width="5.7109375" hidden="1" customWidth="1"/>
  </cols>
  <sheetData>
    <row r="1" spans="1:39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</row>
    <row r="2" spans="1:39" x14ac:dyDescent="0.25">
      <c r="A2" s="96"/>
      <c r="B2" s="74" t="s">
        <v>45</v>
      </c>
      <c r="C2" s="75">
        <f>SUM(C7:C29)</f>
        <v>-2126.09</v>
      </c>
      <c r="D2" s="12"/>
      <c r="E2" s="48">
        <f t="shared" ref="E2:AI2" si="0">E6/$C$2</f>
        <v>0.12298162354368819</v>
      </c>
      <c r="F2" s="48">
        <f t="shared" si="0"/>
        <v>0</v>
      </c>
      <c r="G2" s="48">
        <f t="shared" si="0"/>
        <v>5.1550028455991988E-3</v>
      </c>
      <c r="H2" s="48">
        <f t="shared" si="0"/>
        <v>7.5725862969112309E-2</v>
      </c>
      <c r="I2" s="48">
        <f t="shared" si="0"/>
        <v>6.5848576494880271E-3</v>
      </c>
      <c r="J2" s="48">
        <f t="shared" si="0"/>
        <v>2.3517348748171526E-3</v>
      </c>
      <c r="K2" s="48">
        <f t="shared" si="0"/>
        <v>0.27381249147496106</v>
      </c>
      <c r="L2" s="48">
        <f t="shared" si="0"/>
        <v>3.9429186911184376E-2</v>
      </c>
      <c r="M2" s="48">
        <f t="shared" si="0"/>
        <v>3.6221420541933787E-2</v>
      </c>
      <c r="N2" s="48">
        <f t="shared" si="0"/>
        <v>0</v>
      </c>
      <c r="O2" s="48">
        <f t="shared" si="0"/>
        <v>1.2388939320536758E-2</v>
      </c>
      <c r="P2" s="48">
        <f t="shared" si="0"/>
        <v>1.8813878998537221E-2</v>
      </c>
      <c r="Q2" s="48">
        <f t="shared" si="0"/>
        <v>1.0432295904688887E-2</v>
      </c>
      <c r="R2" s="48">
        <f t="shared" si="0"/>
        <v>1.1612866811847099E-2</v>
      </c>
      <c r="S2" s="48">
        <f t="shared" si="0"/>
        <v>2.8620613426524746E-2</v>
      </c>
      <c r="T2" s="48">
        <f t="shared" si="0"/>
        <v>1.4345582736384629E-2</v>
      </c>
      <c r="U2" s="48">
        <f t="shared" si="0"/>
        <v>4.7034697496343052E-3</v>
      </c>
      <c r="V2" s="48">
        <f t="shared" si="0"/>
        <v>2.4401601061102774E-2</v>
      </c>
      <c r="W2" s="48">
        <f t="shared" si="0"/>
        <v>2.5869083622988676E-2</v>
      </c>
      <c r="X2" s="48">
        <f t="shared" si="0"/>
        <v>1.1758674374085763E-3</v>
      </c>
      <c r="Y2" s="48">
        <f t="shared" si="0"/>
        <v>1.1711639676589419E-2</v>
      </c>
      <c r="Z2" s="48">
        <f t="shared" si="0"/>
        <v>0</v>
      </c>
      <c r="AA2" s="48">
        <f t="shared" si="0"/>
        <v>6.8369636280684265E-2</v>
      </c>
      <c r="AB2" s="48">
        <f t="shared" si="0"/>
        <v>0</v>
      </c>
      <c r="AC2" s="48">
        <f t="shared" si="0"/>
        <v>0</v>
      </c>
      <c r="AD2" s="48">
        <f t="shared" si="0"/>
        <v>3.9979492871891594E-3</v>
      </c>
      <c r="AE2" s="48">
        <f t="shared" si="0"/>
        <v>1.7638011561128642E-2</v>
      </c>
      <c r="AF2" s="48">
        <f t="shared" si="0"/>
        <v>0</v>
      </c>
      <c r="AG2" s="48">
        <f t="shared" si="0"/>
        <v>5.0933873918789882E-2</v>
      </c>
      <c r="AH2" s="48">
        <f t="shared" si="0"/>
        <v>4.8695022317963958E-2</v>
      </c>
      <c r="AI2" s="48">
        <f t="shared" si="0"/>
        <v>2.187113433579952E-3</v>
      </c>
      <c r="AJ2" s="97"/>
    </row>
    <row r="3" spans="1:39" hidden="1" x14ac:dyDescent="0.25">
      <c r="A3" s="96"/>
      <c r="B3" s="76"/>
      <c r="C3" s="77"/>
      <c r="D3" s="1"/>
      <c r="E3" s="55" t="str">
        <f t="shared" ref="E3:AI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96"/>
      <c r="AL3" s="78" t="s">
        <v>0</v>
      </c>
      <c r="AM3" s="1" t="s">
        <v>64</v>
      </c>
    </row>
    <row r="4" spans="1:39" x14ac:dyDescent="0.25">
      <c r="A4" s="96"/>
      <c r="B4" s="79" t="s">
        <v>47</v>
      </c>
      <c r="C4" s="102">
        <f>C31+C2</f>
        <v>165.80999999999995</v>
      </c>
      <c r="D4" s="104" t="s">
        <v>7</v>
      </c>
      <c r="E4" s="105" t="str">
        <f t="shared" ref="E4:AI4" si="2">TEXT(E5,"ddd")</f>
        <v>Sat</v>
      </c>
      <c r="F4" s="105" t="str">
        <f t="shared" si="2"/>
        <v>Sun</v>
      </c>
      <c r="G4" s="105" t="str">
        <f t="shared" si="2"/>
        <v>Mon</v>
      </c>
      <c r="H4" s="105" t="str">
        <f t="shared" si="2"/>
        <v>Tue</v>
      </c>
      <c r="I4" s="105" t="str">
        <f t="shared" si="2"/>
        <v>Wed</v>
      </c>
      <c r="J4" s="105" t="str">
        <f t="shared" si="2"/>
        <v>Thu</v>
      </c>
      <c r="K4" s="105" t="str">
        <f t="shared" si="2"/>
        <v>Fri</v>
      </c>
      <c r="L4" s="105" t="str">
        <f t="shared" si="2"/>
        <v>Sat</v>
      </c>
      <c r="M4" s="105" t="str">
        <f t="shared" si="2"/>
        <v>Sun</v>
      </c>
      <c r="N4" s="105" t="str">
        <f t="shared" si="2"/>
        <v>Mon</v>
      </c>
      <c r="O4" s="105" t="str">
        <f t="shared" si="2"/>
        <v>Tue</v>
      </c>
      <c r="P4" s="105" t="str">
        <f t="shared" si="2"/>
        <v>Wed</v>
      </c>
      <c r="Q4" s="105" t="str">
        <f t="shared" si="2"/>
        <v>Thu</v>
      </c>
      <c r="R4" s="105" t="str">
        <f t="shared" si="2"/>
        <v>Fri</v>
      </c>
      <c r="S4" s="105" t="str">
        <f t="shared" si="2"/>
        <v>Sat</v>
      </c>
      <c r="T4" s="105" t="str">
        <f t="shared" si="2"/>
        <v>Sun</v>
      </c>
      <c r="U4" s="105" t="str">
        <f t="shared" si="2"/>
        <v>Mon</v>
      </c>
      <c r="V4" s="105" t="str">
        <f t="shared" si="2"/>
        <v>Tue</v>
      </c>
      <c r="W4" s="105" t="str">
        <f t="shared" si="2"/>
        <v>Wed</v>
      </c>
      <c r="X4" s="105" t="str">
        <f t="shared" si="2"/>
        <v>Thu</v>
      </c>
      <c r="Y4" s="105" t="str">
        <f t="shared" si="2"/>
        <v>Fri</v>
      </c>
      <c r="Z4" s="105" t="str">
        <f t="shared" si="2"/>
        <v>Sat</v>
      </c>
      <c r="AA4" s="105" t="str">
        <f t="shared" si="2"/>
        <v>Sun</v>
      </c>
      <c r="AB4" s="105" t="str">
        <f t="shared" si="2"/>
        <v>Mon</v>
      </c>
      <c r="AC4" s="105" t="str">
        <f t="shared" si="2"/>
        <v>Tue</v>
      </c>
      <c r="AD4" s="105" t="str">
        <f t="shared" si="2"/>
        <v>Wed</v>
      </c>
      <c r="AE4" s="105" t="str">
        <f t="shared" si="2"/>
        <v>Thu</v>
      </c>
      <c r="AF4" s="105" t="str">
        <f t="shared" si="2"/>
        <v>Fri</v>
      </c>
      <c r="AG4" s="105" t="str">
        <f t="shared" si="2"/>
        <v>Sat</v>
      </c>
      <c r="AH4" s="105" t="str">
        <f t="shared" si="2"/>
        <v>Sun</v>
      </c>
      <c r="AI4" s="105" t="str">
        <f t="shared" si="2"/>
        <v>Mon</v>
      </c>
      <c r="AJ4" s="96"/>
      <c r="AL4" s="78">
        <v>2018</v>
      </c>
      <c r="AM4" s="56">
        <f ca="1">TODAY()</f>
        <v>43926</v>
      </c>
    </row>
    <row r="5" spans="1:39" x14ac:dyDescent="0.25">
      <c r="A5" s="96"/>
      <c r="B5" s="81" t="s">
        <v>51</v>
      </c>
      <c r="C5" s="108">
        <f>C4/C31</f>
        <v>7.2346088398272154E-2</v>
      </c>
      <c r="D5" s="109"/>
      <c r="E5" s="111">
        <f>DATE($AL$4,$AL$6,1)</f>
        <v>43435</v>
      </c>
      <c r="F5" s="111">
        <f t="shared" ref="F5:AI5" si="3">E5+1</f>
        <v>43436</v>
      </c>
      <c r="G5" s="111">
        <f t="shared" si="3"/>
        <v>43437</v>
      </c>
      <c r="H5" s="111">
        <f t="shared" si="3"/>
        <v>43438</v>
      </c>
      <c r="I5" s="111">
        <f t="shared" si="3"/>
        <v>43439</v>
      </c>
      <c r="J5" s="111">
        <f t="shared" si="3"/>
        <v>43440</v>
      </c>
      <c r="K5" s="111">
        <f t="shared" si="3"/>
        <v>43441</v>
      </c>
      <c r="L5" s="111">
        <f t="shared" si="3"/>
        <v>43442</v>
      </c>
      <c r="M5" s="111">
        <f t="shared" si="3"/>
        <v>43443</v>
      </c>
      <c r="N5" s="111">
        <f t="shared" si="3"/>
        <v>43444</v>
      </c>
      <c r="O5" s="111">
        <f t="shared" si="3"/>
        <v>43445</v>
      </c>
      <c r="P5" s="111">
        <f t="shared" si="3"/>
        <v>43446</v>
      </c>
      <c r="Q5" s="111">
        <f t="shared" si="3"/>
        <v>43447</v>
      </c>
      <c r="R5" s="111">
        <f t="shared" si="3"/>
        <v>43448</v>
      </c>
      <c r="S5" s="111">
        <f t="shared" si="3"/>
        <v>43449</v>
      </c>
      <c r="T5" s="111">
        <f t="shared" si="3"/>
        <v>43450</v>
      </c>
      <c r="U5" s="111">
        <f t="shared" si="3"/>
        <v>43451</v>
      </c>
      <c r="V5" s="111">
        <f t="shared" si="3"/>
        <v>43452</v>
      </c>
      <c r="W5" s="111">
        <f t="shared" si="3"/>
        <v>43453</v>
      </c>
      <c r="X5" s="111">
        <f t="shared" si="3"/>
        <v>43454</v>
      </c>
      <c r="Y5" s="111">
        <f t="shared" si="3"/>
        <v>43455</v>
      </c>
      <c r="Z5" s="111">
        <f t="shared" si="3"/>
        <v>43456</v>
      </c>
      <c r="AA5" s="111">
        <f t="shared" si="3"/>
        <v>43457</v>
      </c>
      <c r="AB5" s="111">
        <f t="shared" si="3"/>
        <v>43458</v>
      </c>
      <c r="AC5" s="111">
        <f t="shared" si="3"/>
        <v>43459</v>
      </c>
      <c r="AD5" s="111">
        <f t="shared" si="3"/>
        <v>43460</v>
      </c>
      <c r="AE5" s="111">
        <f t="shared" si="3"/>
        <v>43461</v>
      </c>
      <c r="AF5" s="111">
        <f t="shared" si="3"/>
        <v>43462</v>
      </c>
      <c r="AG5" s="111">
        <f t="shared" si="3"/>
        <v>43463</v>
      </c>
      <c r="AH5" s="111">
        <f t="shared" si="3"/>
        <v>43464</v>
      </c>
      <c r="AI5" s="111">
        <f t="shared" si="3"/>
        <v>43465</v>
      </c>
      <c r="AJ5" s="96"/>
      <c r="AL5" s="78" t="s">
        <v>1</v>
      </c>
      <c r="AM5" s="1" t="str">
        <f ca="1">IF(V5=AM4,"sim","não")</f>
        <v>não</v>
      </c>
    </row>
    <row r="6" spans="1:39" x14ac:dyDescent="0.25">
      <c r="A6" s="96"/>
      <c r="B6" s="83"/>
      <c r="C6" s="15" t="s">
        <v>62</v>
      </c>
      <c r="D6" s="113">
        <f t="shared" ref="D6:AI6" si="4">SUM(D7:D29)</f>
        <v>1</v>
      </c>
      <c r="E6" s="114">
        <f t="shared" si="4"/>
        <v>-261.47000000000003</v>
      </c>
      <c r="F6" s="114">
        <f t="shared" si="4"/>
        <v>0</v>
      </c>
      <c r="G6" s="114">
        <f t="shared" si="4"/>
        <v>-10.96</v>
      </c>
      <c r="H6" s="114">
        <f t="shared" si="4"/>
        <v>-161</v>
      </c>
      <c r="I6" s="114">
        <f t="shared" si="4"/>
        <v>-14</v>
      </c>
      <c r="J6" s="114">
        <f t="shared" si="4"/>
        <v>-5</v>
      </c>
      <c r="K6" s="114">
        <f t="shared" si="4"/>
        <v>-582.15</v>
      </c>
      <c r="L6" s="114">
        <f t="shared" si="4"/>
        <v>-83.83</v>
      </c>
      <c r="M6" s="114">
        <f t="shared" si="4"/>
        <v>-77.010000000000005</v>
      </c>
      <c r="N6" s="114">
        <f t="shared" si="4"/>
        <v>0</v>
      </c>
      <c r="O6" s="114">
        <f t="shared" si="4"/>
        <v>-26.34</v>
      </c>
      <c r="P6" s="114">
        <f t="shared" si="4"/>
        <v>-40</v>
      </c>
      <c r="Q6" s="114">
        <f t="shared" si="4"/>
        <v>-22.18</v>
      </c>
      <c r="R6" s="114">
        <f t="shared" si="4"/>
        <v>-24.69</v>
      </c>
      <c r="S6" s="114">
        <f t="shared" si="4"/>
        <v>-60.85</v>
      </c>
      <c r="T6" s="114">
        <f t="shared" si="4"/>
        <v>-30.5</v>
      </c>
      <c r="U6" s="114">
        <f t="shared" si="4"/>
        <v>-10</v>
      </c>
      <c r="V6" s="114">
        <f t="shared" si="4"/>
        <v>-51.88</v>
      </c>
      <c r="W6" s="114">
        <f t="shared" si="4"/>
        <v>-55</v>
      </c>
      <c r="X6" s="114">
        <f t="shared" si="4"/>
        <v>-2.5</v>
      </c>
      <c r="Y6" s="114">
        <f t="shared" si="4"/>
        <v>-24.9</v>
      </c>
      <c r="Z6" s="114">
        <f t="shared" si="4"/>
        <v>0</v>
      </c>
      <c r="AA6" s="114">
        <f t="shared" si="4"/>
        <v>-145.36000000000001</v>
      </c>
      <c r="AB6" s="114">
        <f t="shared" si="4"/>
        <v>0</v>
      </c>
      <c r="AC6" s="114">
        <f t="shared" si="4"/>
        <v>0</v>
      </c>
      <c r="AD6" s="114">
        <f t="shared" si="4"/>
        <v>-8.5</v>
      </c>
      <c r="AE6" s="114">
        <f t="shared" si="4"/>
        <v>-37.5</v>
      </c>
      <c r="AF6" s="114">
        <f t="shared" si="4"/>
        <v>0</v>
      </c>
      <c r="AG6" s="114">
        <f t="shared" si="4"/>
        <v>-108.28999999999999</v>
      </c>
      <c r="AH6" s="114">
        <f t="shared" si="4"/>
        <v>-103.53</v>
      </c>
      <c r="AI6" s="114">
        <f t="shared" si="4"/>
        <v>-4.6500000000000004</v>
      </c>
      <c r="AJ6" s="96"/>
      <c r="AL6" s="78">
        <v>12</v>
      </c>
      <c r="AM6" s="1"/>
    </row>
    <row r="7" spans="1:39" x14ac:dyDescent="0.25">
      <c r="A7" s="96"/>
      <c r="B7" s="86" t="s">
        <v>20</v>
      </c>
      <c r="C7" s="87">
        <f t="shared" ref="C7:C30" si="5">SUM(E7:AI7)</f>
        <v>-271.75</v>
      </c>
      <c r="D7" s="88">
        <f t="shared" ref="D7:D30" si="6">C7/$C$2</f>
        <v>0.12781679044631222</v>
      </c>
      <c r="E7" s="89">
        <v>-20</v>
      </c>
      <c r="F7" s="89" t="s">
        <v>66</v>
      </c>
      <c r="G7" s="89" t="s">
        <v>66</v>
      </c>
      <c r="H7" s="89" t="s">
        <v>66</v>
      </c>
      <c r="I7" s="89" t="s">
        <v>66</v>
      </c>
      <c r="J7" s="89" t="s">
        <v>66</v>
      </c>
      <c r="K7" s="89" t="s">
        <v>66</v>
      </c>
      <c r="L7" s="89">
        <v>-20</v>
      </c>
      <c r="M7" s="89">
        <v>-29</v>
      </c>
      <c r="N7" s="89" t="s">
        <v>66</v>
      </c>
      <c r="O7" s="89">
        <v>-13.8</v>
      </c>
      <c r="P7" s="89" t="s">
        <v>66</v>
      </c>
      <c r="Q7" s="89" t="s">
        <v>66</v>
      </c>
      <c r="R7" s="89" t="s">
        <v>66</v>
      </c>
      <c r="S7" s="89">
        <f>-24-18</f>
        <v>-42</v>
      </c>
      <c r="T7" s="89" t="s">
        <v>66</v>
      </c>
      <c r="U7" s="89" t="s">
        <v>66</v>
      </c>
      <c r="V7" s="89" t="s">
        <v>66</v>
      </c>
      <c r="W7" s="89">
        <v>-35</v>
      </c>
      <c r="X7" s="89" t="s">
        <v>66</v>
      </c>
      <c r="Y7" s="89">
        <v>-24.9</v>
      </c>
      <c r="Z7" s="89" t="s">
        <v>66</v>
      </c>
      <c r="AA7" s="89" t="s">
        <v>66</v>
      </c>
      <c r="AB7" s="89" t="s">
        <v>66</v>
      </c>
      <c r="AC7" s="89" t="s">
        <v>66</v>
      </c>
      <c r="AD7" s="89" t="s">
        <v>66</v>
      </c>
      <c r="AE7" s="89">
        <f>-61.5+30</f>
        <v>-31.5</v>
      </c>
      <c r="AF7" s="89" t="s">
        <v>66</v>
      </c>
      <c r="AG7" s="89" t="s">
        <v>66</v>
      </c>
      <c r="AH7" s="89">
        <f>-44.55-7-4</f>
        <v>-55.55</v>
      </c>
      <c r="AI7" s="89" t="s">
        <v>66</v>
      </c>
      <c r="AJ7" s="97"/>
    </row>
    <row r="8" spans="1:39" x14ac:dyDescent="0.25">
      <c r="A8" s="96"/>
      <c r="B8" s="86" t="s">
        <v>21</v>
      </c>
      <c r="C8" s="87">
        <f t="shared" si="5"/>
        <v>-43.629999999999995</v>
      </c>
      <c r="D8" s="91">
        <f t="shared" si="6"/>
        <v>2.0521238517654469E-2</v>
      </c>
      <c r="E8" s="92">
        <v>-9.9</v>
      </c>
      <c r="F8" s="92" t="s">
        <v>66</v>
      </c>
      <c r="G8" s="92" t="s">
        <v>66</v>
      </c>
      <c r="H8" s="92" t="s">
        <v>66</v>
      </c>
      <c r="I8" s="92" t="s">
        <v>66</v>
      </c>
      <c r="J8" s="92" t="s">
        <v>66</v>
      </c>
      <c r="K8" s="92">
        <v>-9.9</v>
      </c>
      <c r="L8" s="92">
        <f>-13.93+7</f>
        <v>-6.93</v>
      </c>
      <c r="M8" s="92" t="s">
        <v>66</v>
      </c>
      <c r="N8" s="92" t="s">
        <v>66</v>
      </c>
      <c r="O8" s="92" t="s">
        <v>66</v>
      </c>
      <c r="P8" s="92" t="s">
        <v>66</v>
      </c>
      <c r="Q8" s="92" t="s">
        <v>66</v>
      </c>
      <c r="R8" s="92" t="s">
        <v>66</v>
      </c>
      <c r="S8" s="92" t="s">
        <v>66</v>
      </c>
      <c r="T8" s="92" t="s">
        <v>66</v>
      </c>
      <c r="U8" s="92" t="s">
        <v>66</v>
      </c>
      <c r="V8" s="92" t="s">
        <v>66</v>
      </c>
      <c r="W8" s="92" t="s">
        <v>66</v>
      </c>
      <c r="X8" s="92" t="s">
        <v>66</v>
      </c>
      <c r="Y8" s="92" t="s">
        <v>66</v>
      </c>
      <c r="Z8" s="92" t="s">
        <v>66</v>
      </c>
      <c r="AA8" s="92" t="s">
        <v>66</v>
      </c>
      <c r="AB8" s="92" t="s">
        <v>66</v>
      </c>
      <c r="AC8" s="92" t="s">
        <v>66</v>
      </c>
      <c r="AD8" s="92" t="s">
        <v>66</v>
      </c>
      <c r="AE8" s="92" t="s">
        <v>66</v>
      </c>
      <c r="AF8" s="92" t="s">
        <v>66</v>
      </c>
      <c r="AG8" s="92">
        <v>-16.899999999999999</v>
      </c>
      <c r="AH8" s="92" t="s">
        <v>66</v>
      </c>
      <c r="AI8" s="92" t="s">
        <v>66</v>
      </c>
      <c r="AJ8" s="97"/>
      <c r="AL8" s="54"/>
    </row>
    <row r="9" spans="1:39" x14ac:dyDescent="0.25">
      <c r="A9" s="96"/>
      <c r="B9" s="86" t="s">
        <v>91</v>
      </c>
      <c r="C9" s="87">
        <f t="shared" si="5"/>
        <v>-40.98</v>
      </c>
      <c r="D9" s="93">
        <f t="shared" si="6"/>
        <v>1.927481903400138E-2</v>
      </c>
      <c r="E9" s="94" t="s">
        <v>66</v>
      </c>
      <c r="F9" s="94" t="s">
        <v>66</v>
      </c>
      <c r="G9" s="94" t="s">
        <v>66</v>
      </c>
      <c r="H9" s="94">
        <v>-11</v>
      </c>
      <c r="I9" s="94" t="s">
        <v>66</v>
      </c>
      <c r="J9" s="94">
        <v>-5</v>
      </c>
      <c r="K9" s="94" t="s">
        <v>66</v>
      </c>
      <c r="L9" s="94" t="s">
        <v>66</v>
      </c>
      <c r="M9" s="94" t="s">
        <v>66</v>
      </c>
      <c r="N9" s="94" t="s">
        <v>66</v>
      </c>
      <c r="O9" s="94">
        <v>-5.5</v>
      </c>
      <c r="P9" s="94" t="s">
        <v>66</v>
      </c>
      <c r="Q9" s="94">
        <v>-13.18</v>
      </c>
      <c r="R9" s="94">
        <v>-3.8</v>
      </c>
      <c r="S9" s="94" t="s">
        <v>66</v>
      </c>
      <c r="T9" s="94" t="s">
        <v>66</v>
      </c>
      <c r="U9" s="94" t="s">
        <v>66</v>
      </c>
      <c r="V9" s="94" t="s">
        <v>66</v>
      </c>
      <c r="W9" s="94" t="s">
        <v>66</v>
      </c>
      <c r="X9" s="94">
        <v>-2.5</v>
      </c>
      <c r="Y9" s="94" t="s">
        <v>66</v>
      </c>
      <c r="Z9" s="94" t="s">
        <v>66</v>
      </c>
      <c r="AA9" s="94" t="s">
        <v>66</v>
      </c>
      <c r="AB9" s="94" t="s">
        <v>66</v>
      </c>
      <c r="AC9" s="94" t="s">
        <v>66</v>
      </c>
      <c r="AD9" s="94" t="s">
        <v>66</v>
      </c>
      <c r="AE9" s="94" t="s">
        <v>66</v>
      </c>
      <c r="AF9" s="94" t="s">
        <v>66</v>
      </c>
      <c r="AG9" s="94" t="s">
        <v>66</v>
      </c>
      <c r="AH9" s="94" t="s">
        <v>66</v>
      </c>
      <c r="AI9" s="94" t="s">
        <v>66</v>
      </c>
      <c r="AJ9" s="97"/>
      <c r="AL9" s="54"/>
    </row>
    <row r="10" spans="1:39" x14ac:dyDescent="0.25">
      <c r="A10" s="96"/>
      <c r="B10" s="86" t="s">
        <v>22</v>
      </c>
      <c r="C10" s="87">
        <f t="shared" si="5"/>
        <v>-22.5</v>
      </c>
      <c r="D10" s="91">
        <f t="shared" si="6"/>
        <v>1.0582806936677186E-2</v>
      </c>
      <c r="E10" s="92" t="s">
        <v>66</v>
      </c>
      <c r="F10" s="92" t="s">
        <v>66</v>
      </c>
      <c r="G10" s="92" t="s">
        <v>66</v>
      </c>
      <c r="H10" s="92" t="s">
        <v>66</v>
      </c>
      <c r="I10" s="92" t="s">
        <v>66</v>
      </c>
      <c r="J10" s="92" t="s">
        <v>66</v>
      </c>
      <c r="K10" s="92">
        <v>-5</v>
      </c>
      <c r="L10" s="92" t="s">
        <v>66</v>
      </c>
      <c r="M10" s="92" t="s">
        <v>66</v>
      </c>
      <c r="N10" s="92" t="s">
        <v>66</v>
      </c>
      <c r="O10" s="92" t="s">
        <v>66</v>
      </c>
      <c r="P10" s="92" t="s">
        <v>66</v>
      </c>
      <c r="Q10" s="92">
        <v>-9</v>
      </c>
      <c r="R10" s="92" t="s">
        <v>66</v>
      </c>
      <c r="S10" s="92" t="s">
        <v>66</v>
      </c>
      <c r="T10" s="92" t="s">
        <v>66</v>
      </c>
      <c r="U10" s="92" t="s">
        <v>66</v>
      </c>
      <c r="V10" s="92" t="s">
        <v>66</v>
      </c>
      <c r="W10" s="92" t="s">
        <v>66</v>
      </c>
      <c r="X10" s="92" t="s">
        <v>66</v>
      </c>
      <c r="Y10" s="92" t="s">
        <v>66</v>
      </c>
      <c r="Z10" s="92" t="s">
        <v>66</v>
      </c>
      <c r="AA10" s="92" t="s">
        <v>66</v>
      </c>
      <c r="AB10" s="92" t="s">
        <v>66</v>
      </c>
      <c r="AC10" s="92" t="s">
        <v>66</v>
      </c>
      <c r="AD10" s="92">
        <f>-4.5-4</f>
        <v>-8.5</v>
      </c>
      <c r="AE10" s="92" t="s">
        <v>66</v>
      </c>
      <c r="AF10" s="92" t="s">
        <v>66</v>
      </c>
      <c r="AG10" s="92" t="s">
        <v>66</v>
      </c>
      <c r="AH10" s="92" t="s">
        <v>66</v>
      </c>
      <c r="AI10" s="92" t="s">
        <v>66</v>
      </c>
      <c r="AJ10" s="97"/>
      <c r="AL10" s="54"/>
    </row>
    <row r="11" spans="1:39" x14ac:dyDescent="0.25">
      <c r="A11" s="96"/>
      <c r="B11" s="86" t="s">
        <v>23</v>
      </c>
      <c r="C11" s="87">
        <f t="shared" si="5"/>
        <v>-9.5399999999999991</v>
      </c>
      <c r="D11" s="93">
        <f t="shared" si="6"/>
        <v>4.4871101411511263E-3</v>
      </c>
      <c r="E11" s="94">
        <v>-2.5</v>
      </c>
      <c r="F11" s="94" t="s">
        <v>66</v>
      </c>
      <c r="G11" s="94" t="s">
        <v>66</v>
      </c>
      <c r="H11" s="94" t="s">
        <v>66</v>
      </c>
      <c r="I11" s="94" t="s">
        <v>66</v>
      </c>
      <c r="J11" s="94" t="s">
        <v>66</v>
      </c>
      <c r="K11" s="94" t="s">
        <v>66</v>
      </c>
      <c r="L11" s="94" t="s">
        <v>66</v>
      </c>
      <c r="M11" s="94" t="s">
        <v>66</v>
      </c>
      <c r="N11" s="94" t="s">
        <v>66</v>
      </c>
      <c r="O11" s="94">
        <v>-7.04</v>
      </c>
      <c r="P11" s="94" t="s">
        <v>66</v>
      </c>
      <c r="Q11" s="94" t="s">
        <v>66</v>
      </c>
      <c r="R11" s="94" t="s">
        <v>66</v>
      </c>
      <c r="S11" s="94" t="s">
        <v>66</v>
      </c>
      <c r="T11" s="94"/>
      <c r="U11" s="94" t="s">
        <v>66</v>
      </c>
      <c r="V11" s="94" t="s">
        <v>66</v>
      </c>
      <c r="W11" s="94" t="s">
        <v>66</v>
      </c>
      <c r="X11" s="94" t="s">
        <v>66</v>
      </c>
      <c r="Y11" s="94" t="s">
        <v>66</v>
      </c>
      <c r="Z11" s="94" t="s">
        <v>66</v>
      </c>
      <c r="AA11" s="94" t="s">
        <v>66</v>
      </c>
      <c r="AB11" s="94" t="s">
        <v>66</v>
      </c>
      <c r="AC11" s="94" t="s">
        <v>66</v>
      </c>
      <c r="AD11" s="94" t="s">
        <v>66</v>
      </c>
      <c r="AE11" s="94" t="s">
        <v>66</v>
      </c>
      <c r="AF11" s="94" t="s">
        <v>66</v>
      </c>
      <c r="AG11" s="94" t="s">
        <v>66</v>
      </c>
      <c r="AH11" s="94" t="s">
        <v>66</v>
      </c>
      <c r="AI11" s="94" t="s">
        <v>66</v>
      </c>
      <c r="AJ11" s="97"/>
    </row>
    <row r="12" spans="1:39" x14ac:dyDescent="0.25">
      <c r="A12" s="96"/>
      <c r="B12" s="86" t="s">
        <v>81</v>
      </c>
      <c r="C12" s="87">
        <f t="shared" si="5"/>
        <v>-20</v>
      </c>
      <c r="D12" s="91">
        <f t="shared" si="6"/>
        <v>9.4069394992686104E-3</v>
      </c>
      <c r="E12" s="92" t="s">
        <v>66</v>
      </c>
      <c r="F12" s="92" t="s">
        <v>66</v>
      </c>
      <c r="G12" s="92" t="s">
        <v>66</v>
      </c>
      <c r="H12" s="92" t="s">
        <v>66</v>
      </c>
      <c r="I12" s="92" t="s">
        <v>66</v>
      </c>
      <c r="J12" s="92" t="s">
        <v>66</v>
      </c>
      <c r="K12" s="92" t="s">
        <v>66</v>
      </c>
      <c r="L12" s="92">
        <f>-20</f>
        <v>-20</v>
      </c>
      <c r="M12" s="92" t="s">
        <v>66</v>
      </c>
      <c r="N12" s="92" t="s">
        <v>66</v>
      </c>
      <c r="O12" s="92" t="s">
        <v>66</v>
      </c>
      <c r="P12" s="92" t="s">
        <v>66</v>
      </c>
      <c r="Q12" s="92" t="s">
        <v>66</v>
      </c>
      <c r="R12" s="92" t="s">
        <v>66</v>
      </c>
      <c r="S12" s="92" t="s">
        <v>66</v>
      </c>
      <c r="T12" s="92" t="s">
        <v>66</v>
      </c>
      <c r="U12" s="92" t="s">
        <v>66</v>
      </c>
      <c r="V12" s="92" t="s">
        <v>66</v>
      </c>
      <c r="W12" s="92" t="s">
        <v>66</v>
      </c>
      <c r="X12" s="92" t="s">
        <v>66</v>
      </c>
      <c r="Y12" s="92" t="s">
        <v>66</v>
      </c>
      <c r="Z12" s="92" t="s">
        <v>66</v>
      </c>
      <c r="AA12" s="92" t="s">
        <v>66</v>
      </c>
      <c r="AB12" s="92" t="s">
        <v>66</v>
      </c>
      <c r="AC12" s="92" t="s">
        <v>66</v>
      </c>
      <c r="AD12" s="92" t="s">
        <v>66</v>
      </c>
      <c r="AE12" s="92" t="s">
        <v>66</v>
      </c>
      <c r="AF12" s="92" t="s">
        <v>66</v>
      </c>
      <c r="AG12" s="92" t="s">
        <v>66</v>
      </c>
      <c r="AH12" s="92" t="s">
        <v>66</v>
      </c>
      <c r="AI12" s="92" t="s">
        <v>66</v>
      </c>
      <c r="AJ12" s="97"/>
    </row>
    <row r="13" spans="1:39" x14ac:dyDescent="0.25">
      <c r="A13" s="96"/>
      <c r="B13" s="86" t="s">
        <v>24</v>
      </c>
      <c r="C13" s="87">
        <f t="shared" si="5"/>
        <v>-181.48</v>
      </c>
      <c r="D13" s="93">
        <f t="shared" si="6"/>
        <v>8.5358569016363364E-2</v>
      </c>
      <c r="E13" s="94">
        <v>-5.5</v>
      </c>
      <c r="F13" s="94" t="s">
        <v>66</v>
      </c>
      <c r="G13" s="94">
        <v>-10.96</v>
      </c>
      <c r="H13" s="94" t="s">
        <v>66</v>
      </c>
      <c r="I13" s="94" t="s">
        <v>66</v>
      </c>
      <c r="J13" s="94" t="s">
        <v>66</v>
      </c>
      <c r="K13" s="94" t="s">
        <v>66</v>
      </c>
      <c r="L13" s="94" t="s">
        <v>66</v>
      </c>
      <c r="M13" s="94">
        <f>-22.03-25.98</f>
        <v>-48.010000000000005</v>
      </c>
      <c r="N13" s="94" t="s">
        <v>66</v>
      </c>
      <c r="O13" s="94" t="s">
        <v>66</v>
      </c>
      <c r="P13" s="94">
        <v>-40</v>
      </c>
      <c r="Q13" s="94" t="s">
        <v>66</v>
      </c>
      <c r="R13" s="94" t="s">
        <v>66</v>
      </c>
      <c r="S13" s="94" t="s">
        <v>66</v>
      </c>
      <c r="T13" s="94">
        <v>-20.5</v>
      </c>
      <c r="U13" s="94">
        <v>-10</v>
      </c>
      <c r="V13" s="94">
        <v>-1.89</v>
      </c>
      <c r="W13" s="94" t="s">
        <v>66</v>
      </c>
      <c r="X13" s="94" t="s">
        <v>66</v>
      </c>
      <c r="Y13" s="94" t="s">
        <v>66</v>
      </c>
      <c r="Z13" s="94" t="s">
        <v>66</v>
      </c>
      <c r="AA13" s="94">
        <f>-33.97</f>
        <v>-33.97</v>
      </c>
      <c r="AB13" s="94" t="s">
        <v>66</v>
      </c>
      <c r="AC13" s="94" t="s">
        <v>66</v>
      </c>
      <c r="AD13" s="94" t="s">
        <v>66</v>
      </c>
      <c r="AE13" s="94">
        <v>-6</v>
      </c>
      <c r="AF13" s="94" t="s">
        <v>66</v>
      </c>
      <c r="AG13" s="94" t="s">
        <v>66</v>
      </c>
      <c r="AH13" s="94" t="s">
        <v>66</v>
      </c>
      <c r="AI13" s="94">
        <v>-4.6500000000000004</v>
      </c>
      <c r="AJ13" s="97"/>
    </row>
    <row r="14" spans="1:39" x14ac:dyDescent="0.25">
      <c r="A14" s="96"/>
      <c r="B14" s="86" t="s">
        <v>27</v>
      </c>
      <c r="C14" s="87">
        <f t="shared" si="5"/>
        <v>-180.69</v>
      </c>
      <c r="D14" s="91">
        <f t="shared" si="6"/>
        <v>8.4986994906142255E-2</v>
      </c>
      <c r="E14" s="92" t="s">
        <v>66</v>
      </c>
      <c r="F14" s="92" t="s">
        <v>66</v>
      </c>
      <c r="G14" s="92" t="s">
        <v>66</v>
      </c>
      <c r="H14" s="92">
        <v>-150</v>
      </c>
      <c r="I14" s="92" t="s">
        <v>66</v>
      </c>
      <c r="J14" s="92" t="s">
        <v>66</v>
      </c>
      <c r="K14" s="92" t="s">
        <v>66</v>
      </c>
      <c r="L14" s="92" t="s">
        <v>66</v>
      </c>
      <c r="M14" s="92" t="s">
        <v>66</v>
      </c>
      <c r="N14" s="92" t="s">
        <v>66</v>
      </c>
      <c r="O14" s="92" t="s">
        <v>92</v>
      </c>
      <c r="P14" s="92" t="s">
        <v>66</v>
      </c>
      <c r="Q14" s="92" t="s">
        <v>66</v>
      </c>
      <c r="R14" s="92" t="s">
        <v>66</v>
      </c>
      <c r="S14" s="92" t="s">
        <v>66</v>
      </c>
      <c r="T14" s="92" t="s">
        <v>66</v>
      </c>
      <c r="U14" s="92" t="s">
        <v>66</v>
      </c>
      <c r="V14" s="92" t="s">
        <v>67</v>
      </c>
      <c r="W14" s="92" t="s">
        <v>66</v>
      </c>
      <c r="X14" s="92" t="s">
        <v>66</v>
      </c>
      <c r="Y14" s="92" t="s">
        <v>66</v>
      </c>
      <c r="Z14" s="92" t="s">
        <v>66</v>
      </c>
      <c r="AA14" s="92">
        <v>-30.69</v>
      </c>
      <c r="AB14" s="92" t="s">
        <v>66</v>
      </c>
      <c r="AC14" s="92" t="s">
        <v>92</v>
      </c>
      <c r="AD14" s="92" t="s">
        <v>66</v>
      </c>
      <c r="AE14" s="92" t="s">
        <v>66</v>
      </c>
      <c r="AF14" s="92" t="s">
        <v>66</v>
      </c>
      <c r="AG14" s="92" t="s">
        <v>66</v>
      </c>
      <c r="AH14" s="92" t="s">
        <v>66</v>
      </c>
      <c r="AI14" s="92" t="s">
        <v>66</v>
      </c>
      <c r="AJ14" s="97"/>
    </row>
    <row r="15" spans="1:39" x14ac:dyDescent="0.25">
      <c r="A15" s="96"/>
      <c r="B15" s="86" t="s">
        <v>28</v>
      </c>
      <c r="C15" s="87">
        <f t="shared" si="5"/>
        <v>-57.75</v>
      </c>
      <c r="D15" s="93">
        <f t="shared" si="6"/>
        <v>2.7162537804138111E-2</v>
      </c>
      <c r="E15" s="94">
        <v>-20.5</v>
      </c>
      <c r="F15" s="94" t="s">
        <v>66</v>
      </c>
      <c r="G15" s="94" t="s">
        <v>66</v>
      </c>
      <c r="H15" s="94" t="s">
        <v>66</v>
      </c>
      <c r="I15" s="94" t="s">
        <v>66</v>
      </c>
      <c r="J15" s="94" t="s">
        <v>66</v>
      </c>
      <c r="K15" s="94">
        <v>-17.25</v>
      </c>
      <c r="L15" s="94" t="s">
        <v>66</v>
      </c>
      <c r="M15" s="94" t="s">
        <v>66</v>
      </c>
      <c r="N15" s="94" t="s">
        <v>66</v>
      </c>
      <c r="O15" s="94" t="s">
        <v>66</v>
      </c>
      <c r="P15" s="94" t="s">
        <v>66</v>
      </c>
      <c r="Q15" s="94" t="s">
        <v>66</v>
      </c>
      <c r="R15" s="94" t="s">
        <v>66</v>
      </c>
      <c r="S15" s="94" t="s">
        <v>66</v>
      </c>
      <c r="T15" s="94" t="s">
        <v>66</v>
      </c>
      <c r="U15" s="94" t="s">
        <v>66</v>
      </c>
      <c r="V15" s="94" t="s">
        <v>66</v>
      </c>
      <c r="W15" s="94">
        <v>-20</v>
      </c>
      <c r="X15" s="94" t="s">
        <v>66</v>
      </c>
      <c r="Y15" s="94" t="s">
        <v>66</v>
      </c>
      <c r="Z15" s="94" t="s">
        <v>66</v>
      </c>
      <c r="AA15" s="94" t="s">
        <v>66</v>
      </c>
      <c r="AB15" s="94" t="s">
        <v>66</v>
      </c>
      <c r="AC15" s="94" t="s">
        <v>66</v>
      </c>
      <c r="AD15" s="94" t="s">
        <v>66</v>
      </c>
      <c r="AE15" s="94" t="s">
        <v>66</v>
      </c>
      <c r="AF15" s="94" t="s">
        <v>66</v>
      </c>
      <c r="AG15" s="94" t="s">
        <v>66</v>
      </c>
      <c r="AH15" s="94" t="s">
        <v>66</v>
      </c>
      <c r="AI15" s="94" t="s">
        <v>66</v>
      </c>
      <c r="AJ15" s="97"/>
    </row>
    <row r="16" spans="1:39" x14ac:dyDescent="0.25">
      <c r="A16" s="96"/>
      <c r="B16" s="86" t="s">
        <v>89</v>
      </c>
      <c r="C16" s="87">
        <f t="shared" si="5"/>
        <v>-73</v>
      </c>
      <c r="D16" s="91">
        <f t="shared" si="6"/>
        <v>3.4335329172330425E-2</v>
      </c>
      <c r="E16" s="92">
        <v>-10</v>
      </c>
      <c r="F16" s="92" t="s">
        <v>66</v>
      </c>
      <c r="G16" s="92" t="s">
        <v>66</v>
      </c>
      <c r="H16" s="92" t="s">
        <v>66</v>
      </c>
      <c r="I16" s="92" t="s">
        <v>66</v>
      </c>
      <c r="J16" s="92" t="s">
        <v>66</v>
      </c>
      <c r="K16" s="92" t="s">
        <v>66</v>
      </c>
      <c r="L16" s="92">
        <v>-10</v>
      </c>
      <c r="M16" s="92" t="s">
        <v>66</v>
      </c>
      <c r="N16" s="92" t="s">
        <v>66</v>
      </c>
      <c r="O16" s="92" t="s">
        <v>66</v>
      </c>
      <c r="P16" s="92" t="s">
        <v>66</v>
      </c>
      <c r="Q16" s="92" t="s">
        <v>66</v>
      </c>
      <c r="R16" s="92">
        <f>-3-10</f>
        <v>-13</v>
      </c>
      <c r="S16" s="92" t="s">
        <v>66</v>
      </c>
      <c r="T16" s="92">
        <v>-10</v>
      </c>
      <c r="U16" s="92" t="s">
        <v>66</v>
      </c>
      <c r="V16" s="92" t="s">
        <v>66</v>
      </c>
      <c r="W16" s="92" t="s">
        <v>66</v>
      </c>
      <c r="X16" s="92" t="s">
        <v>66</v>
      </c>
      <c r="Y16" s="92" t="s">
        <v>66</v>
      </c>
      <c r="Z16" s="92" t="s">
        <v>66</v>
      </c>
      <c r="AA16" s="92" t="s">
        <v>66</v>
      </c>
      <c r="AB16" s="92" t="s">
        <v>66</v>
      </c>
      <c r="AC16" s="92" t="s">
        <v>66</v>
      </c>
      <c r="AD16" s="92" t="s">
        <v>66</v>
      </c>
      <c r="AE16" s="92" t="s">
        <v>66</v>
      </c>
      <c r="AF16" s="92" t="s">
        <v>66</v>
      </c>
      <c r="AG16" s="92" t="s">
        <v>66</v>
      </c>
      <c r="AH16" s="92">
        <f>-40+10</f>
        <v>-30</v>
      </c>
      <c r="AI16" s="92" t="s">
        <v>66</v>
      </c>
      <c r="AJ16" s="97"/>
    </row>
    <row r="17" spans="1:39" x14ac:dyDescent="0.25">
      <c r="A17" s="96"/>
      <c r="B17" s="86" t="s">
        <v>29</v>
      </c>
      <c r="C17" s="87">
        <f t="shared" si="5"/>
        <v>-71.89</v>
      </c>
      <c r="D17" s="93">
        <f t="shared" si="6"/>
        <v>3.3813244030121016E-2</v>
      </c>
      <c r="E17" s="94" t="s">
        <v>66</v>
      </c>
      <c r="F17" s="94" t="s">
        <v>66</v>
      </c>
      <c r="G17" s="94" t="s">
        <v>66</v>
      </c>
      <c r="H17" s="94" t="s">
        <v>66</v>
      </c>
      <c r="I17" s="94" t="s">
        <v>66</v>
      </c>
      <c r="J17" s="94" t="s">
        <v>66</v>
      </c>
      <c r="K17" s="94" t="s">
        <v>66</v>
      </c>
      <c r="L17" s="94">
        <v>-26.9</v>
      </c>
      <c r="M17" s="94" t="s">
        <v>66</v>
      </c>
      <c r="N17" s="94" t="s">
        <v>66</v>
      </c>
      <c r="O17" s="94" t="s">
        <v>66</v>
      </c>
      <c r="P17" s="94" t="s">
        <v>66</v>
      </c>
      <c r="Q17" s="94" t="s">
        <v>66</v>
      </c>
      <c r="R17" s="94" t="s">
        <v>66</v>
      </c>
      <c r="S17" s="94" t="s">
        <v>66</v>
      </c>
      <c r="T17" s="94" t="s">
        <v>66</v>
      </c>
      <c r="U17" s="94" t="s">
        <v>66</v>
      </c>
      <c r="V17" s="94" t="s">
        <v>66</v>
      </c>
      <c r="W17" s="94" t="s">
        <v>66</v>
      </c>
      <c r="X17" s="94" t="s">
        <v>66</v>
      </c>
      <c r="Y17" s="94">
        <f>40-40</f>
        <v>0</v>
      </c>
      <c r="Z17" s="94" t="s">
        <v>66</v>
      </c>
      <c r="AA17" s="94" t="s">
        <v>66</v>
      </c>
      <c r="AB17" s="94" t="s">
        <v>66</v>
      </c>
      <c r="AC17" s="94" t="s">
        <v>66</v>
      </c>
      <c r="AD17" s="94" t="s">
        <v>66</v>
      </c>
      <c r="AE17" s="94" t="s">
        <v>66</v>
      </c>
      <c r="AF17" s="94" t="s">
        <v>66</v>
      </c>
      <c r="AG17" s="94">
        <v>-44.99</v>
      </c>
      <c r="AH17" s="94" t="s">
        <v>66</v>
      </c>
      <c r="AI17" s="94" t="s">
        <v>66</v>
      </c>
      <c r="AJ17" s="97"/>
    </row>
    <row r="18" spans="1:39" x14ac:dyDescent="0.25">
      <c r="A18" s="96"/>
      <c r="B18" s="86" t="s">
        <v>31</v>
      </c>
      <c r="C18" s="87">
        <f t="shared" si="5"/>
        <v>-96</v>
      </c>
      <c r="D18" s="91">
        <f t="shared" si="6"/>
        <v>4.5153309596489326E-2</v>
      </c>
      <c r="E18" s="92">
        <v>-96</v>
      </c>
      <c r="F18" s="92" t="s">
        <v>66</v>
      </c>
      <c r="G18" s="92" t="s">
        <v>66</v>
      </c>
      <c r="H18" s="92" t="s">
        <v>66</v>
      </c>
      <c r="I18" s="92" t="s">
        <v>66</v>
      </c>
      <c r="J18" s="92" t="s">
        <v>66</v>
      </c>
      <c r="K18" s="92" t="s">
        <v>66</v>
      </c>
      <c r="L18" s="92" t="s">
        <v>66</v>
      </c>
      <c r="M18" s="92" t="s">
        <v>66</v>
      </c>
      <c r="N18" s="92" t="s">
        <v>66</v>
      </c>
      <c r="O18" s="92" t="s">
        <v>66</v>
      </c>
      <c r="P18" s="92" t="s">
        <v>66</v>
      </c>
      <c r="Q18" s="92" t="s">
        <v>66</v>
      </c>
      <c r="R18" s="92" t="s">
        <v>66</v>
      </c>
      <c r="S18" s="92" t="s">
        <v>66</v>
      </c>
      <c r="T18" s="92" t="s">
        <v>66</v>
      </c>
      <c r="U18" s="92" t="s">
        <v>66</v>
      </c>
      <c r="V18" s="92" t="s">
        <v>66</v>
      </c>
      <c r="W18" s="92" t="s">
        <v>66</v>
      </c>
      <c r="X18" s="92" t="s">
        <v>66</v>
      </c>
      <c r="Y18" s="92" t="s">
        <v>66</v>
      </c>
      <c r="Z18" s="92" t="s">
        <v>66</v>
      </c>
      <c r="AA18" s="92" t="s">
        <v>66</v>
      </c>
      <c r="AB18" s="92" t="s">
        <v>66</v>
      </c>
      <c r="AC18" s="92" t="s">
        <v>66</v>
      </c>
      <c r="AD18" s="92" t="s">
        <v>66</v>
      </c>
      <c r="AE18" s="92" t="s">
        <v>66</v>
      </c>
      <c r="AF18" s="92" t="s">
        <v>66</v>
      </c>
      <c r="AG18" s="92" t="s">
        <v>66</v>
      </c>
      <c r="AH18" s="92" t="s">
        <v>66</v>
      </c>
      <c r="AI18" s="92" t="s">
        <v>66</v>
      </c>
      <c r="AJ18" s="97"/>
    </row>
    <row r="19" spans="1:39" x14ac:dyDescent="0.25">
      <c r="A19" s="96"/>
      <c r="B19" s="86" t="s">
        <v>32</v>
      </c>
      <c r="C19" s="87">
        <f t="shared" si="5"/>
        <v>-78</v>
      </c>
      <c r="D19" s="93">
        <f t="shared" si="6"/>
        <v>3.6687064047147576E-2</v>
      </c>
      <c r="E19" s="94">
        <v>-78</v>
      </c>
      <c r="F19" s="94" t="s">
        <v>66</v>
      </c>
      <c r="G19" s="94" t="s">
        <v>66</v>
      </c>
      <c r="H19" s="94" t="s">
        <v>66</v>
      </c>
      <c r="I19" s="94" t="s">
        <v>66</v>
      </c>
      <c r="J19" s="94" t="s">
        <v>66</v>
      </c>
      <c r="K19" s="94" t="s">
        <v>66</v>
      </c>
      <c r="L19" s="94" t="s">
        <v>66</v>
      </c>
      <c r="M19" s="94" t="s">
        <v>66</v>
      </c>
      <c r="N19" s="94" t="s">
        <v>66</v>
      </c>
      <c r="O19" s="94" t="s">
        <v>66</v>
      </c>
      <c r="P19" s="94" t="s">
        <v>66</v>
      </c>
      <c r="Q19" s="94" t="s">
        <v>66</v>
      </c>
      <c r="R19" s="94" t="s">
        <v>66</v>
      </c>
      <c r="S19" s="94" t="s">
        <v>66</v>
      </c>
      <c r="T19" s="94" t="s">
        <v>66</v>
      </c>
      <c r="U19" s="94" t="s">
        <v>66</v>
      </c>
      <c r="V19" s="94" t="s">
        <v>66</v>
      </c>
      <c r="W19" s="94" t="s">
        <v>66</v>
      </c>
      <c r="X19" s="94" t="s">
        <v>66</v>
      </c>
      <c r="Y19" s="94" t="s">
        <v>66</v>
      </c>
      <c r="Z19" s="94" t="s">
        <v>66</v>
      </c>
      <c r="AA19" s="94" t="s">
        <v>66</v>
      </c>
      <c r="AB19" s="94" t="s">
        <v>66</v>
      </c>
      <c r="AC19" s="94" t="s">
        <v>66</v>
      </c>
      <c r="AD19" s="94" t="s">
        <v>66</v>
      </c>
      <c r="AE19" s="94" t="s">
        <v>66</v>
      </c>
      <c r="AF19" s="94" t="s">
        <v>66</v>
      </c>
      <c r="AG19" s="94" t="s">
        <v>66</v>
      </c>
      <c r="AH19" s="94" t="s">
        <v>66</v>
      </c>
      <c r="AI19" s="94" t="s">
        <v>66</v>
      </c>
      <c r="AJ19" s="97"/>
    </row>
    <row r="20" spans="1:39" x14ac:dyDescent="0.25">
      <c r="A20" s="96"/>
      <c r="B20" s="86" t="s">
        <v>33</v>
      </c>
      <c r="C20" s="87">
        <f t="shared" si="5"/>
        <v>-92.490000000000009</v>
      </c>
      <c r="D20" s="91">
        <f t="shared" si="6"/>
        <v>4.3502391714367691E-2</v>
      </c>
      <c r="E20" s="92">
        <v>-19.07</v>
      </c>
      <c r="F20" s="92" t="s">
        <v>66</v>
      </c>
      <c r="G20" s="92" t="s">
        <v>66</v>
      </c>
      <c r="H20" s="92" t="s">
        <v>66</v>
      </c>
      <c r="I20" s="92" t="s">
        <v>66</v>
      </c>
      <c r="J20" s="92" t="s">
        <v>66</v>
      </c>
      <c r="K20" s="92" t="s">
        <v>66</v>
      </c>
      <c r="L20" s="92" t="s">
        <v>66</v>
      </c>
      <c r="M20" s="92" t="s">
        <v>66</v>
      </c>
      <c r="N20" s="92" t="s">
        <v>66</v>
      </c>
      <c r="O20" s="92" t="s">
        <v>66</v>
      </c>
      <c r="P20" s="92" t="s">
        <v>66</v>
      </c>
      <c r="Q20" s="92" t="s">
        <v>66</v>
      </c>
      <c r="R20" s="92">
        <v>-7.89</v>
      </c>
      <c r="S20" s="92">
        <v>-18.850000000000001</v>
      </c>
      <c r="T20" s="92" t="s">
        <v>66</v>
      </c>
      <c r="U20" s="92" t="s">
        <v>66</v>
      </c>
      <c r="V20" s="92" t="s">
        <v>66</v>
      </c>
      <c r="W20" s="92" t="s">
        <v>66</v>
      </c>
      <c r="X20" s="92" t="s">
        <v>66</v>
      </c>
      <c r="Y20" s="92" t="s">
        <v>66</v>
      </c>
      <c r="Z20" s="92" t="s">
        <v>66</v>
      </c>
      <c r="AA20" s="92">
        <f>-14.6-14.1</f>
        <v>-28.7</v>
      </c>
      <c r="AB20" s="92" t="s">
        <v>66</v>
      </c>
      <c r="AC20" s="92" t="s">
        <v>66</v>
      </c>
      <c r="AD20" s="92" t="s">
        <v>66</v>
      </c>
      <c r="AE20" s="92" t="s">
        <v>66</v>
      </c>
      <c r="AF20" s="92" t="s">
        <v>66</v>
      </c>
      <c r="AG20" s="92" t="s">
        <v>66</v>
      </c>
      <c r="AH20" s="92">
        <v>-17.98</v>
      </c>
      <c r="AI20" s="92" t="s">
        <v>66</v>
      </c>
      <c r="AJ20" s="97"/>
    </row>
    <row r="21" spans="1:39" ht="15.75" customHeight="1" x14ac:dyDescent="0.25">
      <c r="A21" s="96"/>
      <c r="B21" s="86" t="s">
        <v>34</v>
      </c>
      <c r="C21" s="87">
        <f t="shared" si="5"/>
        <v>0</v>
      </c>
      <c r="D21" s="93">
        <f t="shared" si="6"/>
        <v>0</v>
      </c>
      <c r="E21" s="94" t="s">
        <v>66</v>
      </c>
      <c r="F21" s="94" t="s">
        <v>66</v>
      </c>
      <c r="G21" s="94" t="s">
        <v>66</v>
      </c>
      <c r="H21" s="94" t="s">
        <v>66</v>
      </c>
      <c r="I21" s="94" t="s">
        <v>66</v>
      </c>
      <c r="J21" s="94" t="s">
        <v>66</v>
      </c>
      <c r="K21" s="94" t="s">
        <v>66</v>
      </c>
      <c r="L21" s="94" t="s">
        <v>66</v>
      </c>
      <c r="M21" s="94" t="s">
        <v>66</v>
      </c>
      <c r="N21" s="94" t="s">
        <v>66</v>
      </c>
      <c r="O21" s="94" t="s">
        <v>66</v>
      </c>
      <c r="P21" s="94" t="s">
        <v>66</v>
      </c>
      <c r="Q21" s="94" t="s">
        <v>66</v>
      </c>
      <c r="R21" s="94" t="s">
        <v>66</v>
      </c>
      <c r="S21" s="94" t="s">
        <v>66</v>
      </c>
      <c r="T21" s="94" t="s">
        <v>66</v>
      </c>
      <c r="U21" s="94" t="s">
        <v>66</v>
      </c>
      <c r="V21" s="94" t="s">
        <v>66</v>
      </c>
      <c r="W21" s="94" t="s">
        <v>66</v>
      </c>
      <c r="X21" s="94" t="s">
        <v>66</v>
      </c>
      <c r="Y21" s="94" t="s">
        <v>66</v>
      </c>
      <c r="Z21" s="94" t="s">
        <v>66</v>
      </c>
      <c r="AA21" s="94" t="s">
        <v>66</v>
      </c>
      <c r="AB21" s="94" t="s">
        <v>66</v>
      </c>
      <c r="AC21" s="94" t="s">
        <v>66</v>
      </c>
      <c r="AD21" s="94" t="s">
        <v>66</v>
      </c>
      <c r="AE21" s="94" t="s">
        <v>66</v>
      </c>
      <c r="AF21" s="94" t="s">
        <v>66</v>
      </c>
      <c r="AG21" s="94" t="s">
        <v>66</v>
      </c>
      <c r="AH21" s="94" t="s">
        <v>66</v>
      </c>
      <c r="AI21" s="94" t="s">
        <v>66</v>
      </c>
      <c r="AJ21" s="97"/>
      <c r="AL21" s="86"/>
      <c r="AM21" s="95"/>
    </row>
    <row r="22" spans="1:39" ht="15.75" customHeight="1" x14ac:dyDescent="0.25">
      <c r="A22" s="96"/>
      <c r="B22" s="86" t="s">
        <v>35</v>
      </c>
      <c r="C22" s="87">
        <f t="shared" si="5"/>
        <v>0</v>
      </c>
      <c r="D22" s="91">
        <f t="shared" si="6"/>
        <v>0</v>
      </c>
      <c r="E22" s="92" t="s">
        <v>66</v>
      </c>
      <c r="F22" s="92" t="s">
        <v>66</v>
      </c>
      <c r="G22" s="92" t="s">
        <v>66</v>
      </c>
      <c r="H22" s="92" t="s">
        <v>66</v>
      </c>
      <c r="I22" s="92" t="s">
        <v>66</v>
      </c>
      <c r="J22" s="92" t="s">
        <v>66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 t="s">
        <v>66</v>
      </c>
      <c r="Q22" s="92" t="s">
        <v>66</v>
      </c>
      <c r="R22" s="92" t="s">
        <v>66</v>
      </c>
      <c r="S22" s="92" t="s">
        <v>66</v>
      </c>
      <c r="T22" s="92" t="s">
        <v>66</v>
      </c>
      <c r="U22" s="92" t="s">
        <v>66</v>
      </c>
      <c r="V22" s="92" t="s">
        <v>66</v>
      </c>
      <c r="W22" s="92" t="s">
        <v>66</v>
      </c>
      <c r="X22" s="92" t="s">
        <v>66</v>
      </c>
      <c r="Y22" s="92" t="s">
        <v>66</v>
      </c>
      <c r="Z22" s="92" t="s">
        <v>66</v>
      </c>
      <c r="AA22" s="92" t="s">
        <v>66</v>
      </c>
      <c r="AB22" s="92" t="s">
        <v>66</v>
      </c>
      <c r="AC22" s="92" t="s">
        <v>66</v>
      </c>
      <c r="AD22" s="92" t="s">
        <v>66</v>
      </c>
      <c r="AE22" s="92" t="s">
        <v>66</v>
      </c>
      <c r="AF22" s="92" t="s">
        <v>66</v>
      </c>
      <c r="AG22" s="92" t="s">
        <v>66</v>
      </c>
      <c r="AH22" s="92" t="s">
        <v>66</v>
      </c>
      <c r="AI22" s="92" t="s">
        <v>66</v>
      </c>
      <c r="AJ22" s="97"/>
    </row>
    <row r="23" spans="1:39" ht="15.75" customHeight="1" x14ac:dyDescent="0.25">
      <c r="A23" s="96"/>
      <c r="B23" s="86" t="s">
        <v>36</v>
      </c>
      <c r="C23" s="87">
        <f t="shared" si="5"/>
        <v>0</v>
      </c>
      <c r="D23" s="93">
        <f t="shared" si="6"/>
        <v>0</v>
      </c>
      <c r="E23" s="94" t="s">
        <v>66</v>
      </c>
      <c r="F23" s="94" t="s">
        <v>66</v>
      </c>
      <c r="G23" s="94" t="s">
        <v>66</v>
      </c>
      <c r="H23" s="94" t="s">
        <v>66</v>
      </c>
      <c r="I23" s="94" t="s">
        <v>66</v>
      </c>
      <c r="J23" s="94" t="s">
        <v>66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 t="s">
        <v>66</v>
      </c>
      <c r="R23" s="94" t="s">
        <v>66</v>
      </c>
      <c r="S23" s="94" t="s">
        <v>66</v>
      </c>
      <c r="T23" s="94" t="s">
        <v>66</v>
      </c>
      <c r="U23" s="94" t="s">
        <v>66</v>
      </c>
      <c r="V23" s="94" t="s">
        <v>66</v>
      </c>
      <c r="W23" s="94" t="s">
        <v>66</v>
      </c>
      <c r="X23" s="94" t="s">
        <v>66</v>
      </c>
      <c r="Y23" s="94" t="s">
        <v>66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4" t="s">
        <v>66</v>
      </c>
      <c r="AH23" s="94" t="s">
        <v>66</v>
      </c>
      <c r="AI23" s="94" t="s">
        <v>66</v>
      </c>
      <c r="AJ23" s="97"/>
    </row>
    <row r="24" spans="1:39" ht="15.75" customHeight="1" x14ac:dyDescent="0.25">
      <c r="A24" s="96"/>
      <c r="B24" s="86" t="s">
        <v>39</v>
      </c>
      <c r="C24" s="87">
        <f t="shared" si="5"/>
        <v>-98.4</v>
      </c>
      <c r="D24" s="91">
        <f t="shared" si="6"/>
        <v>4.6282142336401565E-2</v>
      </c>
      <c r="E24" s="92" t="s">
        <v>66</v>
      </c>
      <c r="F24" s="92" t="s">
        <v>66</v>
      </c>
      <c r="G24" s="92" t="s">
        <v>66</v>
      </c>
      <c r="H24" s="92" t="s">
        <v>66</v>
      </c>
      <c r="I24" s="92" t="s">
        <v>66</v>
      </c>
      <c r="J24" s="92" t="s">
        <v>66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>
        <f>-32-20</f>
        <v>-52</v>
      </c>
      <c r="AB24" s="92" t="s">
        <v>66</v>
      </c>
      <c r="AC24" s="92" t="s">
        <v>66</v>
      </c>
      <c r="AD24" s="92" t="s">
        <v>66</v>
      </c>
      <c r="AE24" s="92" t="s">
        <v>66</v>
      </c>
      <c r="AF24" s="92" t="s">
        <v>66</v>
      </c>
      <c r="AG24" s="92">
        <v>-46.4</v>
      </c>
      <c r="AH24" s="92" t="s">
        <v>66</v>
      </c>
      <c r="AI24" s="92" t="s">
        <v>66</v>
      </c>
      <c r="AJ24" s="97"/>
    </row>
    <row r="25" spans="1:39" ht="15.75" customHeight="1" x14ac:dyDescent="0.25">
      <c r="A25" s="96"/>
      <c r="B25" s="86" t="s">
        <v>40</v>
      </c>
      <c r="C25" s="87">
        <f t="shared" si="5"/>
        <v>0</v>
      </c>
      <c r="D25" s="93">
        <f t="shared" si="6"/>
        <v>0</v>
      </c>
      <c r="E25" s="94" t="s">
        <v>66</v>
      </c>
      <c r="F25" s="94" t="s">
        <v>66</v>
      </c>
      <c r="G25" s="94" t="s">
        <v>66</v>
      </c>
      <c r="H25" s="94" t="s">
        <v>66</v>
      </c>
      <c r="I25" s="94" t="s">
        <v>66</v>
      </c>
      <c r="J25" s="94" t="s">
        <v>66</v>
      </c>
      <c r="K25" s="94" t="s">
        <v>66</v>
      </c>
      <c r="L25" s="94" t="s">
        <v>66</v>
      </c>
      <c r="M25" s="94" t="s">
        <v>66</v>
      </c>
      <c r="N25" s="94" t="s">
        <v>66</v>
      </c>
      <c r="O25" s="94" t="s">
        <v>66</v>
      </c>
      <c r="P25" s="94" t="s">
        <v>66</v>
      </c>
      <c r="Q25" s="94" t="s">
        <v>66</v>
      </c>
      <c r="R25" s="94" t="s">
        <v>66</v>
      </c>
      <c r="S25" s="94" t="s">
        <v>66</v>
      </c>
      <c r="T25" s="94" t="s">
        <v>66</v>
      </c>
      <c r="U25" s="94" t="s">
        <v>66</v>
      </c>
      <c r="V25" s="94" t="s">
        <v>66</v>
      </c>
      <c r="W25" s="94" t="s">
        <v>66</v>
      </c>
      <c r="X25" s="94" t="s">
        <v>66</v>
      </c>
      <c r="Y25" s="94" t="s">
        <v>66</v>
      </c>
      <c r="Z25" s="94" t="s">
        <v>66</v>
      </c>
      <c r="AA25" s="94" t="s">
        <v>66</v>
      </c>
      <c r="AB25" s="94" t="s">
        <v>66</v>
      </c>
      <c r="AC25" s="94" t="s">
        <v>66</v>
      </c>
      <c r="AD25" s="94" t="s">
        <v>66</v>
      </c>
      <c r="AE25" s="94" t="s">
        <v>66</v>
      </c>
      <c r="AF25" s="94" t="s">
        <v>66</v>
      </c>
      <c r="AG25" s="94" t="s">
        <v>66</v>
      </c>
      <c r="AH25" s="94" t="s">
        <v>66</v>
      </c>
      <c r="AI25" s="94" t="s">
        <v>66</v>
      </c>
      <c r="AJ25" s="97"/>
    </row>
    <row r="26" spans="1:39" ht="15.75" customHeight="1" x14ac:dyDescent="0.25">
      <c r="A26" s="96"/>
      <c r="B26" s="86" t="s">
        <v>41</v>
      </c>
      <c r="C26" s="87">
        <f t="shared" si="5"/>
        <v>-49.99</v>
      </c>
      <c r="D26" s="91">
        <f t="shared" si="6"/>
        <v>2.3512645278421892E-2</v>
      </c>
      <c r="E26" s="92" t="s">
        <v>66</v>
      </c>
      <c r="F26" s="92" t="s">
        <v>66</v>
      </c>
      <c r="G26" s="92" t="s">
        <v>66</v>
      </c>
      <c r="H26" s="92" t="s">
        <v>66</v>
      </c>
      <c r="I26" s="92" t="s">
        <v>66</v>
      </c>
      <c r="J26" s="92" t="s">
        <v>66</v>
      </c>
      <c r="K26" s="92" t="s">
        <v>66</v>
      </c>
      <c r="L26" s="92" t="s">
        <v>66</v>
      </c>
      <c r="M26" s="92" t="s">
        <v>66</v>
      </c>
      <c r="N26" s="92" t="s">
        <v>66</v>
      </c>
      <c r="O26" s="92" t="s">
        <v>66</v>
      </c>
      <c r="P26" s="92" t="s">
        <v>66</v>
      </c>
      <c r="Q26" s="92" t="s">
        <v>66</v>
      </c>
      <c r="R26" s="92" t="s">
        <v>66</v>
      </c>
      <c r="S26" s="92" t="s">
        <v>66</v>
      </c>
      <c r="T26" s="92" t="s">
        <v>66</v>
      </c>
      <c r="U26" s="92" t="s">
        <v>66</v>
      </c>
      <c r="V26" s="92">
        <v>-49.99</v>
      </c>
      <c r="W26" s="92" t="s">
        <v>66</v>
      </c>
      <c r="X26" s="92" t="s">
        <v>66</v>
      </c>
      <c r="Y26" s="92" t="s">
        <v>66</v>
      </c>
      <c r="Z26" s="92" t="s">
        <v>66</v>
      </c>
      <c r="AA26" s="92" t="s">
        <v>66</v>
      </c>
      <c r="AB26" s="92" t="s">
        <v>66</v>
      </c>
      <c r="AC26" s="92" t="s">
        <v>66</v>
      </c>
      <c r="AD26" s="92" t="s">
        <v>66</v>
      </c>
      <c r="AE26" s="92" t="s">
        <v>66</v>
      </c>
      <c r="AF26" s="92" t="s">
        <v>66</v>
      </c>
      <c r="AG26" s="92" t="s">
        <v>66</v>
      </c>
      <c r="AH26" s="92" t="s">
        <v>66</v>
      </c>
      <c r="AI26" s="92" t="s">
        <v>66</v>
      </c>
      <c r="AJ26" s="97"/>
    </row>
    <row r="27" spans="1:39" ht="15.75" customHeight="1" x14ac:dyDescent="0.25">
      <c r="A27" s="246"/>
      <c r="B27" s="86" t="s">
        <v>208</v>
      </c>
      <c r="C27" s="87">
        <f>-522/3</f>
        <v>-174</v>
      </c>
      <c r="D27" s="91">
        <f t="shared" si="6"/>
        <v>8.1840373643636902E-2</v>
      </c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247"/>
    </row>
    <row r="28" spans="1:39" ht="15.75" customHeight="1" x14ac:dyDescent="0.25">
      <c r="A28" s="96"/>
      <c r="B28" s="86" t="s">
        <v>72</v>
      </c>
      <c r="C28" s="87">
        <f t="shared" si="5"/>
        <v>-550</v>
      </c>
      <c r="D28" s="93">
        <f t="shared" si="6"/>
        <v>0.25869083622988676</v>
      </c>
      <c r="E28" s="94" t="s">
        <v>66</v>
      </c>
      <c r="F28" s="94" t="s">
        <v>66</v>
      </c>
      <c r="G28" s="94" t="s">
        <v>66</v>
      </c>
      <c r="H28" s="94" t="s">
        <v>66</v>
      </c>
      <c r="I28" s="94" t="s">
        <v>66</v>
      </c>
      <c r="J28" s="94" t="s">
        <v>66</v>
      </c>
      <c r="K28" s="94">
        <v>-550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4" t="s">
        <v>66</v>
      </c>
      <c r="AJ28" s="97"/>
    </row>
    <row r="29" spans="1:39" ht="15.75" customHeight="1" x14ac:dyDescent="0.25">
      <c r="A29" s="96"/>
      <c r="B29" s="86" t="s">
        <v>42</v>
      </c>
      <c r="C29" s="87">
        <f t="shared" si="5"/>
        <v>-14</v>
      </c>
      <c r="D29" s="91">
        <f t="shared" si="6"/>
        <v>6.5848576494880271E-3</v>
      </c>
      <c r="E29" s="92" t="s">
        <v>66</v>
      </c>
      <c r="F29" s="92" t="s">
        <v>66</v>
      </c>
      <c r="G29" s="92" t="s">
        <v>66</v>
      </c>
      <c r="H29" s="92" t="s">
        <v>66</v>
      </c>
      <c r="I29" s="92">
        <v>-14</v>
      </c>
      <c r="J29" s="92" t="s">
        <v>66</v>
      </c>
      <c r="K29" s="92" t="s">
        <v>66</v>
      </c>
      <c r="L29" s="92" t="s">
        <v>66</v>
      </c>
      <c r="M29" s="92" t="s">
        <v>66</v>
      </c>
      <c r="N29" s="92" t="s">
        <v>66</v>
      </c>
      <c r="O29" s="92" t="s">
        <v>66</v>
      </c>
      <c r="P29" s="92" t="s">
        <v>66</v>
      </c>
      <c r="Q29" s="92" t="s">
        <v>66</v>
      </c>
      <c r="R29" s="92" t="s">
        <v>66</v>
      </c>
      <c r="S29" s="92" t="s">
        <v>66</v>
      </c>
      <c r="T29" s="92" t="s">
        <v>66</v>
      </c>
      <c r="U29" s="92" t="s">
        <v>66</v>
      </c>
      <c r="V29" s="92" t="s">
        <v>66</v>
      </c>
      <c r="W29" s="92" t="s">
        <v>66</v>
      </c>
      <c r="X29" s="92" t="s">
        <v>66</v>
      </c>
      <c r="Y29" s="92" t="s">
        <v>66</v>
      </c>
      <c r="Z29" s="92" t="s">
        <v>66</v>
      </c>
      <c r="AA29" s="92" t="s">
        <v>66</v>
      </c>
      <c r="AB29" s="92" t="s">
        <v>66</v>
      </c>
      <c r="AC29" s="92" t="s">
        <v>66</v>
      </c>
      <c r="AD29" s="92" t="s">
        <v>66</v>
      </c>
      <c r="AE29" s="92" t="s">
        <v>66</v>
      </c>
      <c r="AF29" s="92" t="s">
        <v>66</v>
      </c>
      <c r="AG29" s="92" t="s">
        <v>66</v>
      </c>
      <c r="AH29" s="92" t="s">
        <v>66</v>
      </c>
      <c r="AI29" s="92" t="s">
        <v>66</v>
      </c>
      <c r="AJ29" s="97"/>
    </row>
    <row r="30" spans="1:39" ht="15.75" customHeight="1" x14ac:dyDescent="0.25">
      <c r="A30" s="96"/>
      <c r="B30" s="86" t="s">
        <v>96</v>
      </c>
      <c r="C30" s="87">
        <f t="shared" si="5"/>
        <v>25</v>
      </c>
      <c r="D30" s="91">
        <f t="shared" si="6"/>
        <v>-1.1758674374085763E-2</v>
      </c>
      <c r="E30" s="136" t="s">
        <v>66</v>
      </c>
      <c r="F30" s="136" t="s">
        <v>66</v>
      </c>
      <c r="G30" s="136" t="s">
        <v>66</v>
      </c>
      <c r="H30" s="136" t="s">
        <v>66</v>
      </c>
      <c r="I30" s="136" t="s">
        <v>66</v>
      </c>
      <c r="J30" s="136" t="s">
        <v>66</v>
      </c>
      <c r="K30" s="136" t="s">
        <v>66</v>
      </c>
      <c r="L30" s="136">
        <v>25</v>
      </c>
      <c r="M30" s="136" t="s">
        <v>66</v>
      </c>
      <c r="N30" s="136" t="s">
        <v>66</v>
      </c>
      <c r="O30" s="136" t="s">
        <v>66</v>
      </c>
      <c r="P30" s="136" t="s">
        <v>66</v>
      </c>
      <c r="Q30" s="136" t="s">
        <v>66</v>
      </c>
      <c r="R30" s="136" t="s">
        <v>66</v>
      </c>
      <c r="S30" s="136" t="s">
        <v>66</v>
      </c>
      <c r="T30" s="136" t="s">
        <v>66</v>
      </c>
      <c r="U30" s="136" t="s">
        <v>66</v>
      </c>
      <c r="V30" s="136" t="s">
        <v>66</v>
      </c>
      <c r="W30" s="136" t="s">
        <v>66</v>
      </c>
      <c r="X30" s="136" t="s">
        <v>66</v>
      </c>
      <c r="Y30" s="136" t="s">
        <v>66</v>
      </c>
      <c r="Z30" s="136" t="s">
        <v>66</v>
      </c>
      <c r="AA30" s="136" t="s">
        <v>66</v>
      </c>
      <c r="AB30" s="136" t="s">
        <v>66</v>
      </c>
      <c r="AC30" s="136" t="s">
        <v>66</v>
      </c>
      <c r="AD30" s="136" t="s">
        <v>66</v>
      </c>
      <c r="AE30" s="136" t="s">
        <v>66</v>
      </c>
      <c r="AF30" s="136" t="s">
        <v>66</v>
      </c>
      <c r="AG30" s="136" t="s">
        <v>66</v>
      </c>
      <c r="AH30" s="136" t="s">
        <v>66</v>
      </c>
      <c r="AI30" s="136" t="s">
        <v>66</v>
      </c>
      <c r="AJ30" s="97"/>
    </row>
    <row r="31" spans="1:39" ht="15.75" customHeight="1" x14ac:dyDescent="0.25">
      <c r="A31" s="96"/>
      <c r="B31" s="99" t="s">
        <v>44</v>
      </c>
      <c r="C31" s="124">
        <f>SUM(E30:AH31)</f>
        <v>2291.9</v>
      </c>
      <c r="D31" s="125"/>
      <c r="E31" s="126"/>
      <c r="F31" s="126"/>
      <c r="G31" s="126"/>
      <c r="H31" s="126"/>
      <c r="I31" s="126"/>
      <c r="J31" s="126">
        <v>2056.9</v>
      </c>
      <c r="K31" s="126"/>
      <c r="L31" s="126"/>
      <c r="M31" s="126"/>
      <c r="N31" s="126"/>
      <c r="O31" s="126"/>
      <c r="P31" s="126"/>
      <c r="Q31" s="126"/>
      <c r="R31" s="126">
        <v>50</v>
      </c>
      <c r="S31" s="126"/>
      <c r="T31" s="126"/>
      <c r="U31" s="126"/>
      <c r="V31" s="126"/>
      <c r="W31" s="126"/>
      <c r="X31" s="126"/>
      <c r="Y31" s="126"/>
      <c r="Z31" s="126"/>
      <c r="AA31" s="126">
        <v>100</v>
      </c>
      <c r="AB31" s="126">
        <v>60</v>
      </c>
      <c r="AC31" s="126"/>
      <c r="AD31" s="126"/>
      <c r="AE31" s="126"/>
      <c r="AF31" s="126"/>
      <c r="AG31" s="126"/>
      <c r="AH31" s="126"/>
      <c r="AI31" s="126">
        <v>-100</v>
      </c>
      <c r="AJ31" s="97"/>
    </row>
    <row r="32" spans="1:39" ht="15.75" customHeight="1" x14ac:dyDescent="0.25">
      <c r="A32" s="96"/>
      <c r="B32" s="83"/>
      <c r="C32" s="12"/>
      <c r="D32" s="106"/>
      <c r="E32" s="107">
        <f t="shared" ref="E32:AI32" si="7">E5</f>
        <v>43435</v>
      </c>
      <c r="F32" s="107">
        <f t="shared" si="7"/>
        <v>43436</v>
      </c>
      <c r="G32" s="107">
        <f t="shared" si="7"/>
        <v>43437</v>
      </c>
      <c r="H32" s="107">
        <f t="shared" si="7"/>
        <v>43438</v>
      </c>
      <c r="I32" s="107">
        <f t="shared" si="7"/>
        <v>43439</v>
      </c>
      <c r="J32" s="107">
        <f t="shared" si="7"/>
        <v>43440</v>
      </c>
      <c r="K32" s="107">
        <f t="shared" si="7"/>
        <v>43441</v>
      </c>
      <c r="L32" s="107">
        <f t="shared" si="7"/>
        <v>43442</v>
      </c>
      <c r="M32" s="107">
        <f t="shared" si="7"/>
        <v>43443</v>
      </c>
      <c r="N32" s="107">
        <f t="shared" si="7"/>
        <v>43444</v>
      </c>
      <c r="O32" s="107">
        <f t="shared" si="7"/>
        <v>43445</v>
      </c>
      <c r="P32" s="107">
        <f t="shared" si="7"/>
        <v>43446</v>
      </c>
      <c r="Q32" s="107">
        <f t="shared" si="7"/>
        <v>43447</v>
      </c>
      <c r="R32" s="107">
        <f t="shared" si="7"/>
        <v>43448</v>
      </c>
      <c r="S32" s="107">
        <f t="shared" si="7"/>
        <v>43449</v>
      </c>
      <c r="T32" s="107">
        <f t="shared" si="7"/>
        <v>43450</v>
      </c>
      <c r="U32" s="107">
        <f t="shared" si="7"/>
        <v>43451</v>
      </c>
      <c r="V32" s="107">
        <f t="shared" si="7"/>
        <v>43452</v>
      </c>
      <c r="W32" s="107">
        <f t="shared" si="7"/>
        <v>43453</v>
      </c>
      <c r="X32" s="107">
        <f t="shared" si="7"/>
        <v>43454</v>
      </c>
      <c r="Y32" s="107">
        <f t="shared" si="7"/>
        <v>43455</v>
      </c>
      <c r="Z32" s="107">
        <f t="shared" si="7"/>
        <v>43456</v>
      </c>
      <c r="AA32" s="107">
        <f t="shared" si="7"/>
        <v>43457</v>
      </c>
      <c r="AB32" s="107">
        <f t="shared" si="7"/>
        <v>43458</v>
      </c>
      <c r="AC32" s="107">
        <f t="shared" si="7"/>
        <v>43459</v>
      </c>
      <c r="AD32" s="107">
        <f t="shared" si="7"/>
        <v>43460</v>
      </c>
      <c r="AE32" s="107">
        <f t="shared" si="7"/>
        <v>43461</v>
      </c>
      <c r="AF32" s="107">
        <f t="shared" si="7"/>
        <v>43462</v>
      </c>
      <c r="AG32" s="107">
        <f t="shared" si="7"/>
        <v>43463</v>
      </c>
      <c r="AH32" s="107">
        <f t="shared" si="7"/>
        <v>43464</v>
      </c>
      <c r="AI32" s="107">
        <f t="shared" si="7"/>
        <v>43465</v>
      </c>
      <c r="AJ32" s="97"/>
    </row>
    <row r="33" spans="1:37" ht="15.75" customHeight="1" x14ac:dyDescent="0.25">
      <c r="A33" s="96"/>
      <c r="B33" s="110" t="s">
        <v>79</v>
      </c>
      <c r="C33" s="58"/>
      <c r="D33" s="66"/>
      <c r="E33" s="112">
        <f t="shared" ref="E33:AI33" si="8">SUM($E$6:E6)</f>
        <v>-261.47000000000003</v>
      </c>
      <c r="F33" s="112">
        <f t="shared" si="8"/>
        <v>-261.47000000000003</v>
      </c>
      <c r="G33" s="112">
        <f t="shared" si="8"/>
        <v>-272.43</v>
      </c>
      <c r="H33" s="112">
        <f t="shared" si="8"/>
        <v>-433.43</v>
      </c>
      <c r="I33" s="112">
        <f t="shared" si="8"/>
        <v>-447.43</v>
      </c>
      <c r="J33" s="112">
        <f t="shared" si="8"/>
        <v>-452.43</v>
      </c>
      <c r="K33" s="112">
        <f t="shared" si="8"/>
        <v>-1034.58</v>
      </c>
      <c r="L33" s="112">
        <f t="shared" si="8"/>
        <v>-1118.4099999999999</v>
      </c>
      <c r="M33" s="112">
        <f t="shared" si="8"/>
        <v>-1195.4199999999998</v>
      </c>
      <c r="N33" s="112">
        <f t="shared" si="8"/>
        <v>-1195.4199999999998</v>
      </c>
      <c r="O33" s="112">
        <f t="shared" si="8"/>
        <v>-1221.7599999999998</v>
      </c>
      <c r="P33" s="112">
        <f t="shared" si="8"/>
        <v>-1261.7599999999998</v>
      </c>
      <c r="Q33" s="112">
        <f t="shared" si="8"/>
        <v>-1283.9399999999998</v>
      </c>
      <c r="R33" s="112">
        <f t="shared" si="8"/>
        <v>-1308.6299999999999</v>
      </c>
      <c r="S33" s="112">
        <f t="shared" si="8"/>
        <v>-1369.4799999999998</v>
      </c>
      <c r="T33" s="112">
        <f t="shared" si="8"/>
        <v>-1399.9799999999998</v>
      </c>
      <c r="U33" s="112">
        <f t="shared" si="8"/>
        <v>-1409.9799999999998</v>
      </c>
      <c r="V33" s="112">
        <f t="shared" si="8"/>
        <v>-1461.86</v>
      </c>
      <c r="W33" s="112">
        <f t="shared" si="8"/>
        <v>-1516.86</v>
      </c>
      <c r="X33" s="112">
        <f t="shared" si="8"/>
        <v>-1519.36</v>
      </c>
      <c r="Y33" s="112">
        <f t="shared" si="8"/>
        <v>-1544.26</v>
      </c>
      <c r="Z33" s="112">
        <f t="shared" si="8"/>
        <v>-1544.26</v>
      </c>
      <c r="AA33" s="112">
        <f t="shared" si="8"/>
        <v>-1689.62</v>
      </c>
      <c r="AB33" s="112">
        <f t="shared" si="8"/>
        <v>-1689.62</v>
      </c>
      <c r="AC33" s="112">
        <f t="shared" si="8"/>
        <v>-1689.62</v>
      </c>
      <c r="AD33" s="112">
        <f t="shared" si="8"/>
        <v>-1698.12</v>
      </c>
      <c r="AE33" s="112">
        <f t="shared" si="8"/>
        <v>-1735.62</v>
      </c>
      <c r="AF33" s="112">
        <f t="shared" si="8"/>
        <v>-1735.62</v>
      </c>
      <c r="AG33" s="112">
        <f t="shared" si="8"/>
        <v>-1843.9099999999999</v>
      </c>
      <c r="AH33" s="112">
        <f t="shared" si="8"/>
        <v>-1947.4399999999998</v>
      </c>
      <c r="AI33" s="112">
        <f t="shared" si="8"/>
        <v>-1952.09</v>
      </c>
      <c r="AJ33" s="97"/>
    </row>
    <row r="34" spans="1:37" ht="15.75" customHeight="1" x14ac:dyDescent="0.25">
      <c r="A34" s="96"/>
      <c r="B34" s="99" t="s">
        <v>69</v>
      </c>
      <c r="C34" s="44"/>
      <c r="D34" s="115">
        <f>'Nov2018'!AH44</f>
        <v>2100.1399999999994</v>
      </c>
      <c r="E34" s="73">
        <f t="shared" ref="E34:AI34" si="9">D42+E6+E31</f>
        <v>1838.6699999999994</v>
      </c>
      <c r="F34" s="73">
        <f t="shared" si="9"/>
        <v>1838.6699999999994</v>
      </c>
      <c r="G34" s="73">
        <f t="shared" si="9"/>
        <v>1827.7099999999994</v>
      </c>
      <c r="H34" s="73">
        <f t="shared" si="9"/>
        <v>1666.7099999999994</v>
      </c>
      <c r="I34" s="73">
        <f t="shared" si="9"/>
        <v>1652.7099999999994</v>
      </c>
      <c r="J34" s="73">
        <f t="shared" si="9"/>
        <v>3704.6099999999997</v>
      </c>
      <c r="K34" s="73">
        <f t="shared" si="9"/>
        <v>3122.4599999999996</v>
      </c>
      <c r="L34" s="73">
        <f t="shared" si="9"/>
        <v>3038.6299999999997</v>
      </c>
      <c r="M34" s="73">
        <f t="shared" si="9"/>
        <v>2961.6199999999994</v>
      </c>
      <c r="N34" s="73">
        <f t="shared" si="9"/>
        <v>2961.6199999999994</v>
      </c>
      <c r="O34" s="73">
        <f t="shared" si="9"/>
        <v>2935.2799999999993</v>
      </c>
      <c r="P34" s="73">
        <f t="shared" si="9"/>
        <v>2895.2799999999993</v>
      </c>
      <c r="Q34" s="73">
        <f t="shared" si="9"/>
        <v>2873.0999999999995</v>
      </c>
      <c r="R34" s="73">
        <f t="shared" si="9"/>
        <v>2898.4099999999994</v>
      </c>
      <c r="S34" s="73">
        <f t="shared" si="9"/>
        <v>2837.5599999999995</v>
      </c>
      <c r="T34" s="73">
        <f t="shared" si="9"/>
        <v>2807.0599999999995</v>
      </c>
      <c r="U34" s="73">
        <f t="shared" si="9"/>
        <v>2797.0599999999995</v>
      </c>
      <c r="V34" s="73">
        <f t="shared" si="9"/>
        <v>2745.1799999999994</v>
      </c>
      <c r="W34" s="73">
        <f t="shared" si="9"/>
        <v>2690.1799999999994</v>
      </c>
      <c r="X34" s="73">
        <f t="shared" si="9"/>
        <v>2687.6799999999994</v>
      </c>
      <c r="Y34" s="73">
        <f t="shared" si="9"/>
        <v>2662.7799999999993</v>
      </c>
      <c r="Z34" s="73">
        <f t="shared" si="9"/>
        <v>2662.7799999999993</v>
      </c>
      <c r="AA34" s="73">
        <f t="shared" si="9"/>
        <v>2617.4199999999992</v>
      </c>
      <c r="AB34" s="73">
        <f t="shared" si="9"/>
        <v>2677.4199999999992</v>
      </c>
      <c r="AC34" s="73">
        <f t="shared" si="9"/>
        <v>2677.4199999999992</v>
      </c>
      <c r="AD34" s="73">
        <f t="shared" si="9"/>
        <v>2668.9199999999992</v>
      </c>
      <c r="AE34" s="73">
        <f t="shared" si="9"/>
        <v>2631.4199999999992</v>
      </c>
      <c r="AF34" s="73">
        <f t="shared" si="9"/>
        <v>2631.4199999999992</v>
      </c>
      <c r="AG34" s="73">
        <f t="shared" si="9"/>
        <v>2523.1299999999992</v>
      </c>
      <c r="AH34" s="73">
        <f t="shared" si="9"/>
        <v>2419.599999999999</v>
      </c>
      <c r="AI34" s="73">
        <f t="shared" si="9"/>
        <v>2314.9499999999989</v>
      </c>
      <c r="AJ34" s="97"/>
    </row>
    <row r="35" spans="1:37" ht="15.75" customHeight="1" x14ac:dyDescent="0.25">
      <c r="A35" s="96"/>
      <c r="B35" s="83" t="s">
        <v>61</v>
      </c>
      <c r="C35" s="12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W35" s="1">
        <v>54</v>
      </c>
      <c r="X35" s="1"/>
      <c r="Y35" s="1"/>
      <c r="Z35" s="1"/>
      <c r="AA35" s="1"/>
      <c r="AB35" s="1"/>
      <c r="AC35" s="1"/>
      <c r="AD35" s="1"/>
      <c r="AE35" s="1"/>
      <c r="AF35" s="1"/>
      <c r="AG35" s="1">
        <v>250</v>
      </c>
      <c r="AH35" s="1"/>
      <c r="AI35" s="1"/>
      <c r="AJ35" s="97"/>
    </row>
    <row r="36" spans="1:37" ht="15.75" customHeight="1" x14ac:dyDescent="0.25">
      <c r="A36" s="96"/>
      <c r="B36" s="83" t="s">
        <v>70</v>
      </c>
      <c r="C36" s="12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W36" s="7">
        <v>-514.16999999999996</v>
      </c>
      <c r="X36" s="1"/>
      <c r="Y36" s="1"/>
      <c r="Z36" s="1"/>
      <c r="AA36" s="1"/>
      <c r="AB36" s="1"/>
      <c r="AC36" s="1"/>
      <c r="AD36" s="1"/>
      <c r="AE36" s="1"/>
      <c r="AF36" s="1"/>
      <c r="AG36" s="1">
        <v>-734.43</v>
      </c>
      <c r="AH36" s="1"/>
      <c r="AI36" s="1"/>
      <c r="AJ36" s="97"/>
    </row>
    <row r="37" spans="1:37" ht="15.75" customHeight="1" x14ac:dyDescent="0.25">
      <c r="A37" s="96"/>
      <c r="B37" s="83" t="s">
        <v>71</v>
      </c>
      <c r="C37" s="12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W37" s="1">
        <v>540.30999999999995</v>
      </c>
      <c r="X37" s="1"/>
      <c r="Y37" s="1"/>
      <c r="Z37" s="1"/>
      <c r="AA37" s="1"/>
      <c r="AB37" s="1"/>
      <c r="AC37" s="1"/>
      <c r="AD37" s="1"/>
      <c r="AE37" s="1"/>
      <c r="AF37" s="1"/>
      <c r="AG37" s="1">
        <v>897.81</v>
      </c>
      <c r="AH37" s="1"/>
      <c r="AI37" s="1"/>
      <c r="AJ37" s="97"/>
    </row>
    <row r="38" spans="1:37" ht="15.75" customHeight="1" x14ac:dyDescent="0.25">
      <c r="A38" s="96"/>
      <c r="B38" s="83" t="s">
        <v>85</v>
      </c>
      <c r="C38" s="12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W38" s="7">
        <v>769.75</v>
      </c>
      <c r="X38" s="50"/>
      <c r="Y38" s="1"/>
      <c r="Z38" s="1"/>
      <c r="AA38" s="1"/>
      <c r="AB38" s="1"/>
      <c r="AC38" s="1"/>
      <c r="AD38" s="1"/>
      <c r="AE38" s="1"/>
      <c r="AF38" s="1"/>
      <c r="AG38" s="1">
        <v>769.75</v>
      </c>
      <c r="AH38" s="1"/>
      <c r="AI38" s="1"/>
      <c r="AJ38" s="97"/>
    </row>
    <row r="39" spans="1:37" ht="15.75" customHeight="1" x14ac:dyDescent="0.25">
      <c r="A39" s="96"/>
      <c r="B39" s="83" t="s">
        <v>95</v>
      </c>
      <c r="C39" s="12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W39" s="1">
        <v>800</v>
      </c>
      <c r="X39" s="1"/>
      <c r="Y39" s="1"/>
      <c r="Z39" s="1"/>
      <c r="AA39" s="1"/>
      <c r="AB39" s="1"/>
      <c r="AC39" s="1"/>
      <c r="AD39" s="1"/>
      <c r="AE39" s="1"/>
      <c r="AF39" s="1"/>
      <c r="AG39" s="1">
        <v>800</v>
      </c>
      <c r="AH39" s="1"/>
      <c r="AI39" s="1"/>
      <c r="AJ39" s="97"/>
    </row>
    <row r="40" spans="1:37" ht="15.75" customHeight="1" x14ac:dyDescent="0.25">
      <c r="A40" s="96"/>
      <c r="B40" s="83" t="s">
        <v>73</v>
      </c>
      <c r="C40" s="12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W40" s="1">
        <v>1300</v>
      </c>
      <c r="X40" s="1"/>
      <c r="Y40" s="1"/>
      <c r="Z40" s="1"/>
      <c r="AA40" s="1"/>
      <c r="AB40" s="1"/>
      <c r="AC40" s="1"/>
      <c r="AD40" s="1"/>
      <c r="AE40" s="1"/>
      <c r="AF40" s="1"/>
      <c r="AG40" s="1">
        <v>1300</v>
      </c>
      <c r="AH40" s="1"/>
      <c r="AI40" s="1"/>
      <c r="AJ40" s="97"/>
    </row>
    <row r="41" spans="1:37" ht="15.75" customHeight="1" x14ac:dyDescent="0.25">
      <c r="A41" s="96"/>
      <c r="B41" s="116" t="s">
        <v>63</v>
      </c>
      <c r="C41" s="68"/>
      <c r="D41" s="68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63"/>
      <c r="W41" s="44">
        <v>890.75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>
        <v>892.28</v>
      </c>
      <c r="AH41" s="44"/>
      <c r="AI41" s="44"/>
      <c r="AJ41" s="97"/>
    </row>
    <row r="42" spans="1:37" ht="15.75" customHeight="1" x14ac:dyDescent="0.25">
      <c r="A42" s="96"/>
      <c r="B42" s="86" t="s">
        <v>80</v>
      </c>
      <c r="C42" s="12"/>
      <c r="D42" s="50">
        <f t="shared" ref="D42:AI42" si="10">D34</f>
        <v>2100.1399999999994</v>
      </c>
      <c r="E42" s="50">
        <f t="shared" si="10"/>
        <v>1838.6699999999994</v>
      </c>
      <c r="F42" s="50">
        <f t="shared" si="10"/>
        <v>1838.6699999999994</v>
      </c>
      <c r="G42" s="50">
        <f t="shared" si="10"/>
        <v>1827.7099999999994</v>
      </c>
      <c r="H42" s="50">
        <f t="shared" si="10"/>
        <v>1666.7099999999994</v>
      </c>
      <c r="I42" s="50">
        <f t="shared" si="10"/>
        <v>1652.7099999999994</v>
      </c>
      <c r="J42" s="50">
        <f t="shared" si="10"/>
        <v>3704.6099999999997</v>
      </c>
      <c r="K42" s="50">
        <f t="shared" si="10"/>
        <v>3122.4599999999996</v>
      </c>
      <c r="L42" s="50">
        <f t="shared" si="10"/>
        <v>3038.6299999999997</v>
      </c>
      <c r="M42" s="50">
        <f t="shared" si="10"/>
        <v>2961.6199999999994</v>
      </c>
      <c r="N42" s="50">
        <f t="shared" si="10"/>
        <v>2961.6199999999994</v>
      </c>
      <c r="O42" s="50">
        <f t="shared" si="10"/>
        <v>2935.2799999999993</v>
      </c>
      <c r="P42" s="50">
        <f t="shared" si="10"/>
        <v>2895.2799999999993</v>
      </c>
      <c r="Q42" s="50">
        <f t="shared" si="10"/>
        <v>2873.0999999999995</v>
      </c>
      <c r="R42" s="50">
        <f t="shared" si="10"/>
        <v>2898.4099999999994</v>
      </c>
      <c r="S42" s="50">
        <f t="shared" si="10"/>
        <v>2837.5599999999995</v>
      </c>
      <c r="T42" s="50">
        <f t="shared" si="10"/>
        <v>2807.0599999999995</v>
      </c>
      <c r="U42" s="50">
        <f t="shared" si="10"/>
        <v>2797.0599999999995</v>
      </c>
      <c r="V42" s="50">
        <f t="shared" si="10"/>
        <v>2745.1799999999994</v>
      </c>
      <c r="W42" s="50">
        <f t="shared" si="10"/>
        <v>2690.1799999999994</v>
      </c>
      <c r="X42" s="50">
        <f t="shared" si="10"/>
        <v>2687.6799999999994</v>
      </c>
      <c r="Y42" s="50">
        <f t="shared" si="10"/>
        <v>2662.7799999999993</v>
      </c>
      <c r="Z42" s="50">
        <f t="shared" si="10"/>
        <v>2662.7799999999993</v>
      </c>
      <c r="AA42" s="73">
        <f t="shared" si="10"/>
        <v>2617.4199999999992</v>
      </c>
      <c r="AB42" s="50">
        <f t="shared" si="10"/>
        <v>2677.4199999999992</v>
      </c>
      <c r="AC42" s="50">
        <f t="shared" si="10"/>
        <v>2677.4199999999992</v>
      </c>
      <c r="AD42" s="50">
        <f t="shared" si="10"/>
        <v>2668.9199999999992</v>
      </c>
      <c r="AE42" s="50">
        <f t="shared" si="10"/>
        <v>2631.4199999999992</v>
      </c>
      <c r="AF42" s="50">
        <f t="shared" si="10"/>
        <v>2631.4199999999992</v>
      </c>
      <c r="AG42" s="50">
        <f t="shared" si="10"/>
        <v>2523.1299999999992</v>
      </c>
      <c r="AH42" s="50">
        <f t="shared" si="10"/>
        <v>2419.599999999999</v>
      </c>
      <c r="AI42" s="50">
        <f t="shared" si="10"/>
        <v>2314.9499999999989</v>
      </c>
      <c r="AJ42" s="97"/>
    </row>
    <row r="43" spans="1:37" ht="15.75" customHeight="1" x14ac:dyDescent="0.25">
      <c r="A43" s="96"/>
      <c r="B43" s="117" t="s">
        <v>74</v>
      </c>
      <c r="C43" s="70"/>
      <c r="D43" s="70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71"/>
      <c r="Q43" s="71"/>
      <c r="R43" s="71"/>
      <c r="S43" s="71"/>
      <c r="T43" s="71"/>
      <c r="U43" s="69"/>
      <c r="V43" s="138"/>
      <c r="W43" s="71">
        <f>SUM(W35:W41)</f>
        <v>3840.64</v>
      </c>
      <c r="X43" s="71"/>
      <c r="Y43" s="71"/>
      <c r="Z43" s="71"/>
      <c r="AA43" s="1"/>
      <c r="AB43" s="71"/>
      <c r="AC43" s="71"/>
      <c r="AD43" s="71"/>
      <c r="AE43" s="71"/>
      <c r="AF43" s="71"/>
      <c r="AG43" s="71">
        <f>SUM(AG35:AG41)</f>
        <v>4175.41</v>
      </c>
      <c r="AH43" s="69"/>
      <c r="AI43" s="69"/>
      <c r="AJ43" s="97"/>
    </row>
    <row r="44" spans="1:37" ht="9" customHeight="1" x14ac:dyDescent="0.25">
      <c r="A44" s="96"/>
      <c r="B44" s="97"/>
      <c r="C44" s="127"/>
      <c r="D44" s="12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6"/>
    </row>
    <row r="45" spans="1:37" ht="15.7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7" ht="15.75" customHeight="1" x14ac:dyDescent="0.25">
      <c r="B46" s="1"/>
      <c r="C46" s="1"/>
      <c r="D46" s="1"/>
      <c r="K46" s="5"/>
      <c r="L46" s="5"/>
      <c r="M46" s="5"/>
      <c r="N46" s="128"/>
      <c r="O46" s="5"/>
      <c r="P46" s="5"/>
      <c r="Q46" s="5"/>
      <c r="R46" s="128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7" ht="15.75" customHeight="1" x14ac:dyDescent="0.25">
      <c r="B47" s="1"/>
      <c r="C47" s="1"/>
      <c r="D47" s="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7" ht="15.75" customHeight="1" x14ac:dyDescent="0.25">
      <c r="B48" s="1"/>
      <c r="C48" s="1"/>
      <c r="D48" s="1"/>
      <c r="E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K48" s="128"/>
    </row>
    <row r="49" spans="2:35" ht="15.75" customHeight="1" x14ac:dyDescent="0.25">
      <c r="B49" s="1"/>
      <c r="C49" s="1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</row>
    <row r="50" spans="2:35" ht="15.75" customHeight="1" x14ac:dyDescent="0.25">
      <c r="B50" s="1"/>
      <c r="C50" s="1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</row>
    <row r="51" spans="2:35" ht="15.75" customHeight="1" x14ac:dyDescent="0.25"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2:35" ht="15.75" customHeight="1" x14ac:dyDescent="0.25">
      <c r="I52" s="1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</row>
    <row r="53" spans="2:35" ht="15.75" customHeight="1" x14ac:dyDescent="0.25"/>
    <row r="54" spans="2:35" ht="15.75" customHeight="1" x14ac:dyDescent="0.25"/>
    <row r="55" spans="2:35" ht="15.7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2:35" ht="15.7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2:35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2:35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2:35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5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2:35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2:35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2:35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2:35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2:35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2:35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2:35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2:35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2:35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2:35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2:35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2:35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2:35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2:35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2:35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2:35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2:35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2:35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2:35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2:35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2:35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2:35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2:35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2:35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2:35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2:35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2:35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2:35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2:35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2:35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2:35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2:35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2:35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2:35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2:35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ht="15.75" customHeight="1" x14ac:dyDescent="0.25"/>
    <row r="245" spans="2:35" ht="15.75" customHeight="1" x14ac:dyDescent="0.25"/>
    <row r="246" spans="2:35" ht="15.75" customHeight="1" x14ac:dyDescent="0.25"/>
    <row r="247" spans="2:35" ht="15.75" customHeight="1" x14ac:dyDescent="0.25"/>
    <row r="248" spans="2:35" ht="15.75" customHeight="1" x14ac:dyDescent="0.25"/>
    <row r="249" spans="2:35" ht="15.75" customHeight="1" x14ac:dyDescent="0.25"/>
    <row r="250" spans="2:35" ht="15.75" customHeight="1" x14ac:dyDescent="0.25"/>
    <row r="251" spans="2:35" ht="15.75" customHeight="1" x14ac:dyDescent="0.25"/>
    <row r="252" spans="2:35" ht="15.75" customHeight="1" x14ac:dyDescent="0.25"/>
    <row r="253" spans="2:35" ht="15.75" customHeight="1" x14ac:dyDescent="0.25"/>
    <row r="254" spans="2:35" ht="15.75" customHeight="1" x14ac:dyDescent="0.25"/>
    <row r="255" spans="2:35" ht="15.75" customHeight="1" x14ac:dyDescent="0.25"/>
    <row r="256" spans="2:3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41" priority="1" operator="lessThan">
      <formula>0</formula>
    </cfRule>
  </conditionalFormatting>
  <conditionalFormatting sqref="C4">
    <cfRule type="cellIs" dxfId="140" priority="2" operator="greaterThan">
      <formula>0</formula>
    </cfRule>
  </conditionalFormatting>
  <conditionalFormatting sqref="C4">
    <cfRule type="cellIs" dxfId="139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1001"/>
  <sheetViews>
    <sheetView showGridLines="0" zoomScale="80" zoomScaleNormal="80" workbookViewId="0">
      <selection activeCell="B29" sqref="B29:D29"/>
    </sheetView>
  </sheetViews>
  <sheetFormatPr defaultColWidth="14.42578125" defaultRowHeight="15" customHeight="1" x14ac:dyDescent="0.25"/>
  <cols>
    <col min="1" max="1" width="1.7109375" customWidth="1"/>
    <col min="2" max="2" width="18.85546875" customWidth="1"/>
    <col min="3" max="3" width="10.140625" customWidth="1"/>
    <col min="4" max="4" width="7.140625" customWidth="1"/>
    <col min="5" max="8" width="8.5703125" customWidth="1"/>
    <col min="9" max="9" width="8.7109375" customWidth="1"/>
    <col min="10" max="10" width="8.5703125" customWidth="1"/>
    <col min="11" max="35" width="10.140625" customWidth="1"/>
    <col min="36" max="36" width="3" customWidth="1"/>
    <col min="37" max="37" width="14.42578125" hidden="1" customWidth="1"/>
    <col min="38" max="38" width="5.5703125" hidden="1" customWidth="1"/>
    <col min="39" max="39" width="5.7109375" hidden="1" customWidth="1"/>
  </cols>
  <sheetData>
    <row r="1" spans="1:39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</row>
    <row r="2" spans="1:39" x14ac:dyDescent="0.25">
      <c r="A2" s="96"/>
      <c r="B2" s="74" t="s">
        <v>45</v>
      </c>
      <c r="C2" s="75">
        <f>SUM(C8:C31)</f>
        <v>-1872.2216666666666</v>
      </c>
      <c r="D2" s="12"/>
      <c r="E2" s="48">
        <f t="shared" ref="E2:AI2" si="0">E6/$C$2</f>
        <v>0</v>
      </c>
      <c r="F2" s="48">
        <f t="shared" si="0"/>
        <v>6.4858772955125515E-2</v>
      </c>
      <c r="G2" s="48">
        <f t="shared" si="0"/>
        <v>1.2551932507991843E-2</v>
      </c>
      <c r="H2" s="48">
        <f t="shared" si="0"/>
        <v>2.5637989803557807E-2</v>
      </c>
      <c r="I2" s="48">
        <f t="shared" si="0"/>
        <v>0</v>
      </c>
      <c r="J2" s="48">
        <f t="shared" si="0"/>
        <v>1.9976267055272126E-2</v>
      </c>
      <c r="K2" s="48">
        <f t="shared" si="0"/>
        <v>0.29376863316576651</v>
      </c>
      <c r="L2" s="48">
        <f t="shared" si="0"/>
        <v>2.451632774965215E-2</v>
      </c>
      <c r="M2" s="48">
        <f t="shared" si="0"/>
        <v>0</v>
      </c>
      <c r="N2" s="48">
        <f t="shared" si="0"/>
        <v>5.5922865259010468E-3</v>
      </c>
      <c r="O2" s="48">
        <f t="shared" si="0"/>
        <v>6.1264113134751677E-3</v>
      </c>
      <c r="P2" s="48">
        <f t="shared" si="0"/>
        <v>3.6229684341152625E-2</v>
      </c>
      <c r="Q2" s="48">
        <f t="shared" si="0"/>
        <v>6.6247497402818226E-2</v>
      </c>
      <c r="R2" s="48">
        <f t="shared" si="0"/>
        <v>1.2391695071719605E-2</v>
      </c>
      <c r="S2" s="48">
        <f t="shared" si="0"/>
        <v>2.0740065501503115E-2</v>
      </c>
      <c r="T2" s="48">
        <f t="shared" si="0"/>
        <v>1.1777451566009367E-2</v>
      </c>
      <c r="U2" s="48">
        <f t="shared" si="0"/>
        <v>8.011871813611815E-2</v>
      </c>
      <c r="V2" s="48">
        <f t="shared" si="0"/>
        <v>0</v>
      </c>
      <c r="W2" s="48">
        <f t="shared" si="0"/>
        <v>1.068249575148242E-2</v>
      </c>
      <c r="X2" s="48">
        <f t="shared" si="0"/>
        <v>1.5249262685241153E-2</v>
      </c>
      <c r="Y2" s="48">
        <f t="shared" si="0"/>
        <v>0</v>
      </c>
      <c r="Z2" s="48">
        <f t="shared" si="0"/>
        <v>8.8824952173576308E-3</v>
      </c>
      <c r="AA2" s="48">
        <f t="shared" si="0"/>
        <v>0</v>
      </c>
      <c r="AB2" s="48">
        <f t="shared" si="0"/>
        <v>0</v>
      </c>
      <c r="AC2" s="48">
        <f t="shared" si="0"/>
        <v>2.5627307307806324E-2</v>
      </c>
      <c r="AD2" s="48">
        <f t="shared" si="0"/>
        <v>1.2818994901778904E-2</v>
      </c>
      <c r="AE2" s="48">
        <f t="shared" si="0"/>
        <v>5.5853429036625823E-2</v>
      </c>
      <c r="AF2" s="48">
        <f t="shared" si="0"/>
        <v>4.6020191697386262E-2</v>
      </c>
      <c r="AG2" s="48">
        <f t="shared" si="0"/>
        <v>0</v>
      </c>
      <c r="AH2" s="48">
        <f t="shared" si="0"/>
        <v>0</v>
      </c>
      <c r="AI2" s="48">
        <f t="shared" si="0"/>
        <v>6.4094974508894518E-3</v>
      </c>
      <c r="AJ2" s="97"/>
    </row>
    <row r="3" spans="1:39" hidden="1" x14ac:dyDescent="0.25">
      <c r="A3" s="96"/>
      <c r="B3" s="76"/>
      <c r="C3" s="77"/>
      <c r="D3" s="1"/>
      <c r="E3" s="55" t="str">
        <f t="shared" ref="E3:AI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96"/>
      <c r="AL3" s="78" t="s">
        <v>0</v>
      </c>
      <c r="AM3" s="1" t="s">
        <v>64</v>
      </c>
    </row>
    <row r="4" spans="1:39" x14ac:dyDescent="0.25">
      <c r="A4" s="96"/>
      <c r="B4" s="79" t="s">
        <v>47</v>
      </c>
      <c r="C4" s="102">
        <f>C33+C2</f>
        <v>258.67833333333351</v>
      </c>
      <c r="D4" s="104" t="s">
        <v>7</v>
      </c>
      <c r="E4" s="105" t="str">
        <f t="shared" ref="E4:AI4" si="2">TEXT(E5,"ddd")</f>
        <v>Tue</v>
      </c>
      <c r="F4" s="105" t="str">
        <f t="shared" si="2"/>
        <v>Wed</v>
      </c>
      <c r="G4" s="105" t="str">
        <f t="shared" si="2"/>
        <v>Thu</v>
      </c>
      <c r="H4" s="105" t="str">
        <f t="shared" si="2"/>
        <v>Fri</v>
      </c>
      <c r="I4" s="105" t="str">
        <f t="shared" si="2"/>
        <v>Sat</v>
      </c>
      <c r="J4" s="105" t="str">
        <f t="shared" si="2"/>
        <v>Sun</v>
      </c>
      <c r="K4" s="105" t="str">
        <f t="shared" si="2"/>
        <v>Mon</v>
      </c>
      <c r="L4" s="105" t="str">
        <f t="shared" si="2"/>
        <v>Tue</v>
      </c>
      <c r="M4" s="105" t="str">
        <f t="shared" si="2"/>
        <v>Wed</v>
      </c>
      <c r="N4" s="105" t="str">
        <f t="shared" si="2"/>
        <v>Thu</v>
      </c>
      <c r="O4" s="105" t="str">
        <f t="shared" si="2"/>
        <v>Fri</v>
      </c>
      <c r="P4" s="105" t="str">
        <f t="shared" si="2"/>
        <v>Sat</v>
      </c>
      <c r="Q4" s="105" t="str">
        <f t="shared" si="2"/>
        <v>Sun</v>
      </c>
      <c r="R4" s="105" t="str">
        <f t="shared" si="2"/>
        <v>Mon</v>
      </c>
      <c r="S4" s="105" t="str">
        <f t="shared" si="2"/>
        <v>Tue</v>
      </c>
      <c r="T4" s="105" t="str">
        <f t="shared" si="2"/>
        <v>Wed</v>
      </c>
      <c r="U4" s="105" t="str">
        <f t="shared" si="2"/>
        <v>Thu</v>
      </c>
      <c r="V4" s="105" t="str">
        <f t="shared" si="2"/>
        <v>Fri</v>
      </c>
      <c r="W4" s="105" t="str">
        <f t="shared" si="2"/>
        <v>Sat</v>
      </c>
      <c r="X4" s="105" t="str">
        <f t="shared" si="2"/>
        <v>Sun</v>
      </c>
      <c r="Y4" s="105" t="str">
        <f t="shared" si="2"/>
        <v>Mon</v>
      </c>
      <c r="Z4" s="105" t="str">
        <f t="shared" si="2"/>
        <v>Tue</v>
      </c>
      <c r="AA4" s="105" t="str">
        <f t="shared" si="2"/>
        <v>Wed</v>
      </c>
      <c r="AB4" s="105" t="str">
        <f t="shared" si="2"/>
        <v>Thu</v>
      </c>
      <c r="AC4" s="105" t="str">
        <f t="shared" si="2"/>
        <v>Fri</v>
      </c>
      <c r="AD4" s="105" t="str">
        <f t="shared" si="2"/>
        <v>Sat</v>
      </c>
      <c r="AE4" s="105" t="str">
        <f t="shared" si="2"/>
        <v>Sun</v>
      </c>
      <c r="AF4" s="105" t="str">
        <f t="shared" si="2"/>
        <v>Mon</v>
      </c>
      <c r="AG4" s="105" t="str">
        <f t="shared" si="2"/>
        <v>Tue</v>
      </c>
      <c r="AH4" s="105" t="str">
        <f t="shared" si="2"/>
        <v>Wed</v>
      </c>
      <c r="AI4" s="105" t="str">
        <f t="shared" si="2"/>
        <v>Thu</v>
      </c>
      <c r="AJ4" s="96"/>
      <c r="AL4" s="78">
        <v>2019</v>
      </c>
      <c r="AM4" s="56">
        <f ca="1">TODAY()</f>
        <v>43926</v>
      </c>
    </row>
    <row r="5" spans="1:39" x14ac:dyDescent="0.25">
      <c r="A5" s="96"/>
      <c r="B5" s="81" t="s">
        <v>51</v>
      </c>
      <c r="C5" s="108">
        <f>C4/C33</f>
        <v>0.12139393370563306</v>
      </c>
      <c r="D5" s="109"/>
      <c r="E5" s="111">
        <f>DATE($AL$4,$AL$6,1)</f>
        <v>43466</v>
      </c>
      <c r="F5" s="111">
        <f t="shared" ref="F5:AI5" si="3">E5+1</f>
        <v>43467</v>
      </c>
      <c r="G5" s="111">
        <f t="shared" si="3"/>
        <v>43468</v>
      </c>
      <c r="H5" s="111">
        <f t="shared" si="3"/>
        <v>43469</v>
      </c>
      <c r="I5" s="111">
        <f t="shared" si="3"/>
        <v>43470</v>
      </c>
      <c r="J5" s="111">
        <f t="shared" si="3"/>
        <v>43471</v>
      </c>
      <c r="K5" s="111">
        <f t="shared" si="3"/>
        <v>43472</v>
      </c>
      <c r="L5" s="111">
        <f t="shared" si="3"/>
        <v>43473</v>
      </c>
      <c r="M5" s="111">
        <f t="shared" si="3"/>
        <v>43474</v>
      </c>
      <c r="N5" s="111">
        <f t="shared" si="3"/>
        <v>43475</v>
      </c>
      <c r="O5" s="111">
        <f t="shared" si="3"/>
        <v>43476</v>
      </c>
      <c r="P5" s="111">
        <f t="shared" si="3"/>
        <v>43477</v>
      </c>
      <c r="Q5" s="111">
        <f t="shared" si="3"/>
        <v>43478</v>
      </c>
      <c r="R5" s="111">
        <f t="shared" si="3"/>
        <v>43479</v>
      </c>
      <c r="S5" s="111">
        <f t="shared" si="3"/>
        <v>43480</v>
      </c>
      <c r="T5" s="111">
        <f t="shared" si="3"/>
        <v>43481</v>
      </c>
      <c r="U5" s="111">
        <f t="shared" si="3"/>
        <v>43482</v>
      </c>
      <c r="V5" s="111">
        <f t="shared" si="3"/>
        <v>43483</v>
      </c>
      <c r="W5" s="111">
        <f t="shared" si="3"/>
        <v>43484</v>
      </c>
      <c r="X5" s="111">
        <f t="shared" si="3"/>
        <v>43485</v>
      </c>
      <c r="Y5" s="111">
        <f t="shared" si="3"/>
        <v>43486</v>
      </c>
      <c r="Z5" s="111">
        <f t="shared" si="3"/>
        <v>43487</v>
      </c>
      <c r="AA5" s="111">
        <f t="shared" si="3"/>
        <v>43488</v>
      </c>
      <c r="AB5" s="111">
        <f t="shared" si="3"/>
        <v>43489</v>
      </c>
      <c r="AC5" s="111">
        <f t="shared" si="3"/>
        <v>43490</v>
      </c>
      <c r="AD5" s="111">
        <f t="shared" si="3"/>
        <v>43491</v>
      </c>
      <c r="AE5" s="111">
        <f t="shared" si="3"/>
        <v>43492</v>
      </c>
      <c r="AF5" s="111">
        <f t="shared" si="3"/>
        <v>43493</v>
      </c>
      <c r="AG5" s="111">
        <f t="shared" si="3"/>
        <v>43494</v>
      </c>
      <c r="AH5" s="111">
        <f t="shared" si="3"/>
        <v>43495</v>
      </c>
      <c r="AI5" s="111">
        <f t="shared" si="3"/>
        <v>43496</v>
      </c>
      <c r="AJ5" s="96"/>
      <c r="AL5" s="78" t="s">
        <v>1</v>
      </c>
      <c r="AM5" s="1" t="str">
        <f ca="1">IF(V5=AM4,"sim","não")</f>
        <v>não</v>
      </c>
    </row>
    <row r="6" spans="1:39" x14ac:dyDescent="0.25">
      <c r="A6" s="96"/>
      <c r="B6" s="83"/>
      <c r="C6" s="15" t="s">
        <v>62</v>
      </c>
      <c r="D6" s="113">
        <f>SUM(D8:D31)</f>
        <v>0.99999999999999989</v>
      </c>
      <c r="E6" s="114">
        <f t="shared" ref="E6:AI6" si="4">SUM(E7:E31)</f>
        <v>0</v>
      </c>
      <c r="F6" s="114">
        <f t="shared" si="4"/>
        <v>-121.43</v>
      </c>
      <c r="G6" s="114">
        <f t="shared" si="4"/>
        <v>-23.5</v>
      </c>
      <c r="H6" s="114">
        <f t="shared" si="4"/>
        <v>-48</v>
      </c>
      <c r="I6" s="114">
        <f t="shared" si="4"/>
        <v>0</v>
      </c>
      <c r="J6" s="114">
        <f t="shared" si="4"/>
        <v>-37.400000000000006</v>
      </c>
      <c r="K6" s="114">
        <f t="shared" si="4"/>
        <v>-550</v>
      </c>
      <c r="L6" s="114">
        <f t="shared" si="4"/>
        <v>-45.9</v>
      </c>
      <c r="M6" s="114">
        <f t="shared" si="4"/>
        <v>0</v>
      </c>
      <c r="N6" s="114">
        <f t="shared" si="4"/>
        <v>-10.47</v>
      </c>
      <c r="O6" s="114">
        <f t="shared" si="4"/>
        <v>-11.47</v>
      </c>
      <c r="P6" s="114">
        <f t="shared" si="4"/>
        <v>-67.83</v>
      </c>
      <c r="Q6" s="114">
        <f t="shared" si="4"/>
        <v>-124.03</v>
      </c>
      <c r="R6" s="114">
        <f t="shared" si="4"/>
        <v>-23.2</v>
      </c>
      <c r="S6" s="114">
        <f t="shared" si="4"/>
        <v>-38.83</v>
      </c>
      <c r="T6" s="114">
        <f t="shared" si="4"/>
        <v>-22.05</v>
      </c>
      <c r="U6" s="114">
        <f t="shared" si="4"/>
        <v>-150</v>
      </c>
      <c r="V6" s="114">
        <f t="shared" si="4"/>
        <v>0</v>
      </c>
      <c r="W6" s="114">
        <f t="shared" si="4"/>
        <v>-20</v>
      </c>
      <c r="X6" s="114">
        <f t="shared" si="4"/>
        <v>-28.55</v>
      </c>
      <c r="Y6" s="114">
        <f t="shared" si="4"/>
        <v>0</v>
      </c>
      <c r="Z6" s="114">
        <f t="shared" si="4"/>
        <v>-16.63</v>
      </c>
      <c r="AA6" s="114">
        <f t="shared" si="4"/>
        <v>0</v>
      </c>
      <c r="AB6" s="114">
        <f t="shared" si="4"/>
        <v>0</v>
      </c>
      <c r="AC6" s="114">
        <f t="shared" si="4"/>
        <v>-47.98</v>
      </c>
      <c r="AD6" s="114">
        <f t="shared" si="4"/>
        <v>-24</v>
      </c>
      <c r="AE6" s="114">
        <f t="shared" si="4"/>
        <v>-104.57</v>
      </c>
      <c r="AF6" s="114">
        <f t="shared" si="4"/>
        <v>-86.16</v>
      </c>
      <c r="AG6" s="114">
        <f t="shared" si="4"/>
        <v>0</v>
      </c>
      <c r="AH6" s="114">
        <f t="shared" si="4"/>
        <v>0</v>
      </c>
      <c r="AI6" s="114">
        <f t="shared" si="4"/>
        <v>-12</v>
      </c>
      <c r="AJ6" s="96"/>
      <c r="AL6" s="78">
        <v>1</v>
      </c>
      <c r="AM6" s="1"/>
    </row>
    <row r="7" spans="1:39" x14ac:dyDescent="0.25">
      <c r="A7" s="96"/>
      <c r="B7" s="83" t="s">
        <v>90</v>
      </c>
      <c r="C7" s="15"/>
      <c r="D7" s="91" t="s">
        <v>66</v>
      </c>
      <c r="E7" s="92" t="s">
        <v>66</v>
      </c>
      <c r="F7" s="92" t="s">
        <v>66</v>
      </c>
      <c r="G7" s="92" t="s">
        <v>66</v>
      </c>
      <c r="H7" s="92" t="s">
        <v>66</v>
      </c>
      <c r="I7" s="92" t="s">
        <v>66</v>
      </c>
      <c r="J7" s="92" t="s">
        <v>66</v>
      </c>
      <c r="K7" s="92" t="s">
        <v>66</v>
      </c>
      <c r="L7" s="92" t="s">
        <v>66</v>
      </c>
      <c r="M7" s="92" t="s">
        <v>66</v>
      </c>
      <c r="N7" s="92" t="s">
        <v>66</v>
      </c>
      <c r="O7" s="92" t="s">
        <v>66</v>
      </c>
      <c r="P7" s="92" t="s">
        <v>66</v>
      </c>
      <c r="Q7" s="92" t="s">
        <v>66</v>
      </c>
      <c r="R7" s="92" t="s">
        <v>66</v>
      </c>
      <c r="S7" s="92" t="s">
        <v>66</v>
      </c>
      <c r="T7" s="92" t="s">
        <v>66</v>
      </c>
      <c r="U7" s="92" t="s">
        <v>66</v>
      </c>
      <c r="V7" s="92" t="s">
        <v>66</v>
      </c>
      <c r="W7" s="92" t="s">
        <v>66</v>
      </c>
      <c r="X7" s="92" t="s">
        <v>66</v>
      </c>
      <c r="Y7" s="92" t="s">
        <v>66</v>
      </c>
      <c r="Z7" s="92" t="s">
        <v>66</v>
      </c>
      <c r="AA7" s="92" t="s">
        <v>66</v>
      </c>
      <c r="AB7" s="92" t="s">
        <v>66</v>
      </c>
      <c r="AC7" s="92" t="s">
        <v>66</v>
      </c>
      <c r="AD7" s="92" t="s">
        <v>66</v>
      </c>
      <c r="AE7" s="92" t="s">
        <v>66</v>
      </c>
      <c r="AF7" s="92" t="s">
        <v>66</v>
      </c>
      <c r="AG7" s="92" t="s">
        <v>66</v>
      </c>
      <c r="AH7" s="92" t="s">
        <v>66</v>
      </c>
      <c r="AI7" s="92" t="s">
        <v>66</v>
      </c>
      <c r="AJ7" s="96" t="s">
        <v>66</v>
      </c>
      <c r="AL7" s="78"/>
      <c r="AM7" s="1"/>
    </row>
    <row r="8" spans="1:39" x14ac:dyDescent="0.25">
      <c r="A8" s="96"/>
      <c r="B8" s="86" t="s">
        <v>20</v>
      </c>
      <c r="C8" s="87">
        <f t="shared" ref="C8:C32" si="5">SUM(E8:AI8)</f>
        <v>-190.19</v>
      </c>
      <c r="D8" s="88">
        <f t="shared" ref="D8:D32" si="6">C8/$C$2</f>
        <v>0.10158519334872207</v>
      </c>
      <c r="E8" s="89" t="s">
        <v>66</v>
      </c>
      <c r="F8" s="89">
        <v>-6.99</v>
      </c>
      <c r="G8" s="89" t="s">
        <v>66</v>
      </c>
      <c r="H8" s="89" t="s">
        <v>66</v>
      </c>
      <c r="I8" s="89" t="s">
        <v>66</v>
      </c>
      <c r="J8" s="89" t="s">
        <v>66</v>
      </c>
      <c r="K8" s="89" t="s">
        <v>66</v>
      </c>
      <c r="L8" s="89">
        <v>-19</v>
      </c>
      <c r="M8" s="89" t="s">
        <v>66</v>
      </c>
      <c r="N8" s="89" t="s">
        <v>66</v>
      </c>
      <c r="O8" s="89" t="s">
        <v>66</v>
      </c>
      <c r="P8" s="89" t="s">
        <v>66</v>
      </c>
      <c r="Q8" s="89">
        <v>-36</v>
      </c>
      <c r="R8" s="89">
        <v>-23.2</v>
      </c>
      <c r="S8" s="89" t="s">
        <v>66</v>
      </c>
      <c r="T8" s="89" t="s">
        <v>66</v>
      </c>
      <c r="U8" s="89" t="s">
        <v>66</v>
      </c>
      <c r="V8" s="89" t="s">
        <v>66</v>
      </c>
      <c r="W8" s="89" t="s">
        <v>66</v>
      </c>
      <c r="X8" s="89" t="s">
        <v>66</v>
      </c>
      <c r="Y8" s="89" t="s">
        <v>66</v>
      </c>
      <c r="Z8" s="89" t="s">
        <v>66</v>
      </c>
      <c r="AA8" s="89" t="s">
        <v>66</v>
      </c>
      <c r="AB8" s="89" t="s">
        <v>66</v>
      </c>
      <c r="AC8" s="89" t="s">
        <v>66</v>
      </c>
      <c r="AD8" s="89">
        <v>-20</v>
      </c>
      <c r="AE8" s="89">
        <v>-20</v>
      </c>
      <c r="AF8" s="89">
        <v>-53</v>
      </c>
      <c r="AG8" s="89" t="s">
        <v>66</v>
      </c>
      <c r="AH8" s="89" t="s">
        <v>66</v>
      </c>
      <c r="AI8" s="89">
        <v>-12</v>
      </c>
      <c r="AJ8" s="97"/>
    </row>
    <row r="9" spans="1:39" x14ac:dyDescent="0.25">
      <c r="A9" s="96"/>
      <c r="B9" s="86" t="s">
        <v>21</v>
      </c>
      <c r="C9" s="87">
        <f t="shared" si="5"/>
        <v>-47.03</v>
      </c>
      <c r="D9" s="91">
        <f t="shared" si="6"/>
        <v>2.5119888759610909E-2</v>
      </c>
      <c r="E9" s="92" t="s">
        <v>66</v>
      </c>
      <c r="F9" s="92" t="s">
        <v>66</v>
      </c>
      <c r="G9" s="92" t="s">
        <v>66</v>
      </c>
      <c r="H9" s="92" t="s">
        <v>66</v>
      </c>
      <c r="I9" s="92" t="s">
        <v>66</v>
      </c>
      <c r="J9" s="92" t="s">
        <v>66</v>
      </c>
      <c r="K9" s="92" t="s">
        <v>66</v>
      </c>
      <c r="L9" s="92" t="s">
        <v>66</v>
      </c>
      <c r="M9" s="92" t="s">
        <v>66</v>
      </c>
      <c r="N9" s="92" t="s">
        <v>66</v>
      </c>
      <c r="O9" s="92" t="s">
        <v>66</v>
      </c>
      <c r="P9" s="92" t="s">
        <v>66</v>
      </c>
      <c r="Q9" s="92" t="s">
        <v>66</v>
      </c>
      <c r="R9" s="92" t="s">
        <v>66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 t="s">
        <v>66</v>
      </c>
      <c r="Z9" s="92">
        <v>-16.63</v>
      </c>
      <c r="AA9" s="92" t="s">
        <v>66</v>
      </c>
      <c r="AB9" s="92" t="s">
        <v>66</v>
      </c>
      <c r="AC9" s="92" t="s">
        <v>66</v>
      </c>
      <c r="AD9" s="92" t="s">
        <v>66</v>
      </c>
      <c r="AE9" s="92">
        <v>-17.95</v>
      </c>
      <c r="AF9" s="92">
        <v>-12.45</v>
      </c>
      <c r="AG9" s="92" t="s">
        <v>66</v>
      </c>
      <c r="AH9" s="92" t="s">
        <v>66</v>
      </c>
      <c r="AI9" s="92" t="s">
        <v>66</v>
      </c>
      <c r="AJ9" s="97"/>
      <c r="AL9" s="54"/>
    </row>
    <row r="10" spans="1:39" x14ac:dyDescent="0.25">
      <c r="A10" s="96"/>
      <c r="B10" s="86" t="s">
        <v>91</v>
      </c>
      <c r="C10" s="87">
        <f t="shared" si="5"/>
        <v>-3.8</v>
      </c>
      <c r="D10" s="93">
        <f t="shared" si="6"/>
        <v>2.0296741927816595E-3</v>
      </c>
      <c r="E10" s="94" t="s">
        <v>66</v>
      </c>
      <c r="F10" s="94">
        <v>-3.8</v>
      </c>
      <c r="G10" s="94" t="s">
        <v>66</v>
      </c>
      <c r="H10" s="94" t="s">
        <v>66</v>
      </c>
      <c r="I10" s="94" t="s">
        <v>66</v>
      </c>
      <c r="J10" s="94" t="s">
        <v>66</v>
      </c>
      <c r="K10" s="94" t="s">
        <v>66</v>
      </c>
      <c r="L10" s="94" t="s">
        <v>66</v>
      </c>
      <c r="M10" s="94" t="s">
        <v>66</v>
      </c>
      <c r="N10" s="94" t="s">
        <v>66</v>
      </c>
      <c r="O10" s="94" t="s">
        <v>66</v>
      </c>
      <c r="P10" s="94" t="s">
        <v>66</v>
      </c>
      <c r="Q10" s="94" t="s">
        <v>66</v>
      </c>
      <c r="R10" s="94" t="s">
        <v>66</v>
      </c>
      <c r="S10" s="94" t="s">
        <v>66</v>
      </c>
      <c r="T10" s="94" t="s">
        <v>66</v>
      </c>
      <c r="U10" s="94" t="s">
        <v>66</v>
      </c>
      <c r="V10" s="94" t="s">
        <v>66</v>
      </c>
      <c r="W10" s="94" t="s">
        <v>66</v>
      </c>
      <c r="X10" s="94" t="s">
        <v>66</v>
      </c>
      <c r="Y10" s="94" t="s">
        <v>66</v>
      </c>
      <c r="Z10" s="94" t="s">
        <v>66</v>
      </c>
      <c r="AA10" s="94" t="s">
        <v>66</v>
      </c>
      <c r="AB10" s="94" t="s">
        <v>66</v>
      </c>
      <c r="AC10" s="94" t="s">
        <v>66</v>
      </c>
      <c r="AD10" s="94" t="s">
        <v>66</v>
      </c>
      <c r="AE10" s="94" t="s">
        <v>66</v>
      </c>
      <c r="AF10" s="94" t="s">
        <v>66</v>
      </c>
      <c r="AG10" s="94" t="s">
        <v>66</v>
      </c>
      <c r="AH10" s="94" t="s">
        <v>66</v>
      </c>
      <c r="AI10" s="94" t="s">
        <v>66</v>
      </c>
      <c r="AJ10" s="97"/>
      <c r="AL10" s="54"/>
    </row>
    <row r="11" spans="1:39" x14ac:dyDescent="0.25">
      <c r="A11" s="96"/>
      <c r="B11" s="86" t="s">
        <v>22</v>
      </c>
      <c r="C11" s="87">
        <f t="shared" si="5"/>
        <v>-12.23</v>
      </c>
      <c r="D11" s="91">
        <f t="shared" si="6"/>
        <v>6.5323461520314999E-3</v>
      </c>
      <c r="E11" s="92" t="s">
        <v>66</v>
      </c>
      <c r="F11" s="92" t="s">
        <v>66</v>
      </c>
      <c r="G11" s="92">
        <v>-3.5</v>
      </c>
      <c r="H11" s="92" t="s">
        <v>66</v>
      </c>
      <c r="I11" s="92" t="s">
        <v>66</v>
      </c>
      <c r="J11" s="92" t="s">
        <v>66</v>
      </c>
      <c r="K11" s="92" t="s">
        <v>66</v>
      </c>
      <c r="L11" s="92" t="s">
        <v>66</v>
      </c>
      <c r="M11" s="92" t="s">
        <v>66</v>
      </c>
      <c r="N11" s="92" t="s">
        <v>66</v>
      </c>
      <c r="O11" s="92" t="s">
        <v>66</v>
      </c>
      <c r="P11" s="92" t="s">
        <v>66</v>
      </c>
      <c r="Q11" s="92" t="s">
        <v>66</v>
      </c>
      <c r="R11" s="92" t="s">
        <v>66</v>
      </c>
      <c r="S11" s="92">
        <v>-8.73</v>
      </c>
      <c r="T11" s="92" t="s">
        <v>66</v>
      </c>
      <c r="U11" s="92" t="s">
        <v>66</v>
      </c>
      <c r="V11" s="92" t="s">
        <v>66</v>
      </c>
      <c r="W11" s="92" t="s">
        <v>66</v>
      </c>
      <c r="X11" s="92" t="s">
        <v>66</v>
      </c>
      <c r="Y11" s="92" t="s">
        <v>66</v>
      </c>
      <c r="Z11" s="92" t="s">
        <v>66</v>
      </c>
      <c r="AA11" s="92" t="s">
        <v>66</v>
      </c>
      <c r="AB11" s="92" t="s">
        <v>66</v>
      </c>
      <c r="AC11" s="92" t="s">
        <v>66</v>
      </c>
      <c r="AD11" s="92" t="s">
        <v>66</v>
      </c>
      <c r="AE11" s="92" t="s">
        <v>66</v>
      </c>
      <c r="AF11" s="92" t="s">
        <v>66</v>
      </c>
      <c r="AG11" s="92" t="s">
        <v>66</v>
      </c>
      <c r="AH11" s="92" t="s">
        <v>66</v>
      </c>
      <c r="AI11" s="92" t="s">
        <v>66</v>
      </c>
      <c r="AJ11" s="97"/>
      <c r="AL11" s="54"/>
    </row>
    <row r="12" spans="1:39" x14ac:dyDescent="0.25">
      <c r="A12" s="96"/>
      <c r="B12" s="86" t="s">
        <v>23</v>
      </c>
      <c r="C12" s="87">
        <f t="shared" si="5"/>
        <v>-15.47</v>
      </c>
      <c r="D12" s="93">
        <f t="shared" si="6"/>
        <v>8.2629104637716513E-3</v>
      </c>
      <c r="E12" s="94" t="s">
        <v>66</v>
      </c>
      <c r="F12" s="94" t="s">
        <v>66</v>
      </c>
      <c r="G12" s="94" t="s">
        <v>66</v>
      </c>
      <c r="H12" s="94" t="s">
        <v>66</v>
      </c>
      <c r="I12" s="94" t="s">
        <v>66</v>
      </c>
      <c r="J12" s="94" t="s">
        <v>66</v>
      </c>
      <c r="K12" s="94" t="s">
        <v>66</v>
      </c>
      <c r="L12" s="94" t="s">
        <v>66</v>
      </c>
      <c r="M12" s="94" t="s">
        <v>66</v>
      </c>
      <c r="N12" s="94" t="s">
        <v>66</v>
      </c>
      <c r="O12" s="94">
        <v>-11.47</v>
      </c>
      <c r="P12" s="94" t="s">
        <v>66</v>
      </c>
      <c r="Q12" s="94" t="s">
        <v>66</v>
      </c>
      <c r="R12" s="94" t="s">
        <v>66</v>
      </c>
      <c r="S12" s="94" t="s">
        <v>66</v>
      </c>
      <c r="T12" s="94" t="s">
        <v>66</v>
      </c>
      <c r="U12" s="94" t="s">
        <v>66</v>
      </c>
      <c r="V12" s="94" t="s">
        <v>66</v>
      </c>
      <c r="W12" s="94" t="s">
        <v>66</v>
      </c>
      <c r="X12" s="94" t="s">
        <v>66</v>
      </c>
      <c r="Y12" s="94" t="s">
        <v>66</v>
      </c>
      <c r="Z12" s="94" t="s">
        <v>66</v>
      </c>
      <c r="AA12" s="94" t="s">
        <v>66</v>
      </c>
      <c r="AB12" s="94" t="s">
        <v>66</v>
      </c>
      <c r="AC12" s="94" t="s">
        <v>66</v>
      </c>
      <c r="AD12" s="94">
        <v>-4</v>
      </c>
      <c r="AE12" s="94" t="s">
        <v>66</v>
      </c>
      <c r="AF12" s="94" t="s">
        <v>66</v>
      </c>
      <c r="AG12" s="94" t="s">
        <v>66</v>
      </c>
      <c r="AH12" s="94" t="s">
        <v>66</v>
      </c>
      <c r="AI12" s="94" t="s">
        <v>66</v>
      </c>
      <c r="AJ12" s="97"/>
    </row>
    <row r="13" spans="1:39" x14ac:dyDescent="0.25">
      <c r="A13" s="96"/>
      <c r="B13" s="86" t="s">
        <v>81</v>
      </c>
      <c r="C13" s="87">
        <f t="shared" si="5"/>
        <v>-20</v>
      </c>
      <c r="D13" s="91">
        <f t="shared" si="6"/>
        <v>1.068249575148242E-2</v>
      </c>
      <c r="E13" s="92" t="s">
        <v>66</v>
      </c>
      <c r="F13" s="92" t="s">
        <v>66</v>
      </c>
      <c r="G13" s="92">
        <v>-20</v>
      </c>
      <c r="H13" s="92" t="s">
        <v>66</v>
      </c>
      <c r="I13" s="92" t="s">
        <v>66</v>
      </c>
      <c r="J13" s="92" t="s">
        <v>66</v>
      </c>
      <c r="K13" s="92" t="s">
        <v>66</v>
      </c>
      <c r="L13" s="92" t="s">
        <v>66</v>
      </c>
      <c r="M13" s="92" t="s">
        <v>66</v>
      </c>
      <c r="N13" s="92" t="s">
        <v>66</v>
      </c>
      <c r="O13" s="92" t="s">
        <v>66</v>
      </c>
      <c r="P13" s="92" t="s">
        <v>66</v>
      </c>
      <c r="Q13" s="92" t="s">
        <v>66</v>
      </c>
      <c r="R13" s="92" t="s">
        <v>66</v>
      </c>
      <c r="S13" s="92" t="s">
        <v>66</v>
      </c>
      <c r="T13" s="92" t="s">
        <v>66</v>
      </c>
      <c r="U13" s="92" t="s">
        <v>66</v>
      </c>
      <c r="V13" s="92" t="s">
        <v>66</v>
      </c>
      <c r="W13" s="92" t="s">
        <v>66</v>
      </c>
      <c r="X13" s="92" t="s">
        <v>66</v>
      </c>
      <c r="Y13" s="92" t="s">
        <v>66</v>
      </c>
      <c r="Z13" s="92" t="s">
        <v>66</v>
      </c>
      <c r="AA13" s="92" t="s">
        <v>66</v>
      </c>
      <c r="AB13" s="92" t="s">
        <v>66</v>
      </c>
      <c r="AC13" s="92" t="s">
        <v>66</v>
      </c>
      <c r="AD13" s="92" t="s">
        <v>66</v>
      </c>
      <c r="AE13" s="92" t="s">
        <v>66</v>
      </c>
      <c r="AF13" s="92" t="s">
        <v>66</v>
      </c>
      <c r="AG13" s="92" t="s">
        <v>66</v>
      </c>
      <c r="AH13" s="92" t="s">
        <v>66</v>
      </c>
      <c r="AI13" s="92" t="s">
        <v>66</v>
      </c>
      <c r="AJ13" s="97"/>
    </row>
    <row r="14" spans="1:39" x14ac:dyDescent="0.25">
      <c r="A14" s="96"/>
      <c r="B14" s="86" t="s">
        <v>24</v>
      </c>
      <c r="C14" s="87">
        <f t="shared" si="5"/>
        <v>-120.59</v>
      </c>
      <c r="D14" s="93">
        <f t="shared" si="6"/>
        <v>6.4410108133563251E-2</v>
      </c>
      <c r="E14" s="94" t="s">
        <v>66</v>
      </c>
      <c r="F14" s="94">
        <v>-12.77</v>
      </c>
      <c r="G14" s="94" t="s">
        <v>66</v>
      </c>
      <c r="H14" s="94" t="s">
        <v>66</v>
      </c>
      <c r="I14" s="94" t="s">
        <v>66</v>
      </c>
      <c r="J14" s="94">
        <v>-21.42</v>
      </c>
      <c r="K14" s="94" t="s">
        <v>66</v>
      </c>
      <c r="L14" s="94" t="s">
        <v>66</v>
      </c>
      <c r="M14" s="94" t="s">
        <v>66</v>
      </c>
      <c r="N14" s="94">
        <v>-10.47</v>
      </c>
      <c r="O14" s="94" t="s">
        <v>66</v>
      </c>
      <c r="P14" s="94">
        <v>-4.9000000000000004</v>
      </c>
      <c r="Q14" s="94">
        <v>-17.73</v>
      </c>
      <c r="R14" s="94" t="s">
        <v>66</v>
      </c>
      <c r="S14" s="94" t="s">
        <v>66</v>
      </c>
      <c r="T14" s="94" t="s">
        <v>66</v>
      </c>
      <c r="U14" s="94" t="s">
        <v>66</v>
      </c>
      <c r="V14" s="133" t="s">
        <v>66</v>
      </c>
      <c r="W14" s="94" t="s">
        <v>66</v>
      </c>
      <c r="X14" s="94">
        <v>-28.55</v>
      </c>
      <c r="Y14" s="94" t="s">
        <v>66</v>
      </c>
      <c r="Z14" s="94" t="s">
        <v>66</v>
      </c>
      <c r="AA14" s="94" t="s">
        <v>66</v>
      </c>
      <c r="AB14" s="94" t="s">
        <v>66</v>
      </c>
      <c r="AC14" s="94" t="s">
        <v>66</v>
      </c>
      <c r="AD14" s="94" t="s">
        <v>66</v>
      </c>
      <c r="AE14" s="94">
        <v>-14.04</v>
      </c>
      <c r="AF14" s="94">
        <v>-10.71</v>
      </c>
      <c r="AG14" s="94" t="s">
        <v>66</v>
      </c>
      <c r="AH14" s="94" t="s">
        <v>66</v>
      </c>
      <c r="AI14" s="94" t="s">
        <v>66</v>
      </c>
      <c r="AJ14" s="97"/>
    </row>
    <row r="15" spans="1:39" x14ac:dyDescent="0.25">
      <c r="A15" s="96"/>
      <c r="B15" s="86" t="s">
        <v>27</v>
      </c>
      <c r="C15" s="87">
        <f t="shared" si="5"/>
        <v>-296.73</v>
      </c>
      <c r="D15" s="91">
        <f t="shared" si="6"/>
        <v>0.15849084821686893</v>
      </c>
      <c r="E15" s="92" t="s">
        <v>66</v>
      </c>
      <c r="F15" s="92">
        <v>-12</v>
      </c>
      <c r="G15" s="92" t="s">
        <v>66</v>
      </c>
      <c r="H15" s="92">
        <v>-48</v>
      </c>
      <c r="I15" s="92" t="s">
        <v>66</v>
      </c>
      <c r="J15" s="92" t="s">
        <v>66</v>
      </c>
      <c r="K15" s="92" t="s">
        <v>66</v>
      </c>
      <c r="L15" s="92" t="s">
        <v>66</v>
      </c>
      <c r="M15" s="92" t="s">
        <v>66</v>
      </c>
      <c r="N15" s="92" t="s">
        <v>66</v>
      </c>
      <c r="O15" s="92" t="s">
        <v>66</v>
      </c>
      <c r="P15" s="92" t="s">
        <v>66</v>
      </c>
      <c r="Q15" s="92">
        <v>-44.15</v>
      </c>
      <c r="R15" s="92" t="s">
        <v>66</v>
      </c>
      <c r="S15" s="92" t="s">
        <v>66</v>
      </c>
      <c r="T15" s="92" t="s">
        <v>66</v>
      </c>
      <c r="U15" s="92">
        <v>-150</v>
      </c>
      <c r="V15" s="92" t="s">
        <v>66</v>
      </c>
      <c r="W15" s="92" t="s">
        <v>66</v>
      </c>
      <c r="X15" s="92" t="s">
        <v>66</v>
      </c>
      <c r="Y15" s="92" t="s">
        <v>66</v>
      </c>
      <c r="Z15" s="92" t="s">
        <v>66</v>
      </c>
      <c r="AA15" s="92" t="s">
        <v>66</v>
      </c>
      <c r="AB15" s="92" t="s">
        <v>66</v>
      </c>
      <c r="AC15" s="92" t="s">
        <v>66</v>
      </c>
      <c r="AD15" s="92" t="s">
        <v>66</v>
      </c>
      <c r="AE15" s="92">
        <v>-42.58</v>
      </c>
      <c r="AF15" s="92" t="s">
        <v>66</v>
      </c>
      <c r="AG15" s="92" t="s">
        <v>66</v>
      </c>
      <c r="AH15" s="92" t="s">
        <v>66</v>
      </c>
      <c r="AI15" s="92" t="s">
        <v>66</v>
      </c>
      <c r="AJ15" s="97"/>
    </row>
    <row r="16" spans="1:39" x14ac:dyDescent="0.25">
      <c r="A16" s="96"/>
      <c r="B16" s="86" t="s">
        <v>28</v>
      </c>
      <c r="C16" s="87">
        <f t="shared" si="5"/>
        <v>0</v>
      </c>
      <c r="D16" s="93">
        <f t="shared" si="6"/>
        <v>0</v>
      </c>
      <c r="E16" s="94" t="s">
        <v>66</v>
      </c>
      <c r="F16" s="94" t="s">
        <v>66</v>
      </c>
      <c r="G16" s="94" t="s">
        <v>66</v>
      </c>
      <c r="H16" s="94" t="s">
        <v>66</v>
      </c>
      <c r="I16" s="94" t="s">
        <v>66</v>
      </c>
      <c r="J16" s="94" t="s">
        <v>66</v>
      </c>
      <c r="K16" s="94" t="s">
        <v>66</v>
      </c>
      <c r="L16" s="94" t="s">
        <v>66</v>
      </c>
      <c r="M16" s="94" t="s">
        <v>66</v>
      </c>
      <c r="N16" s="94" t="s">
        <v>66</v>
      </c>
      <c r="O16" s="94" t="s">
        <v>66</v>
      </c>
      <c r="P16" s="94" t="s">
        <v>66</v>
      </c>
      <c r="Q16" s="94" t="s">
        <v>66</v>
      </c>
      <c r="R16" s="94" t="s">
        <v>66</v>
      </c>
      <c r="S16" s="94" t="s">
        <v>66</v>
      </c>
      <c r="T16" s="94" t="s">
        <v>66</v>
      </c>
      <c r="U16" s="94" t="s">
        <v>66</v>
      </c>
      <c r="V16" s="94" t="s">
        <v>66</v>
      </c>
      <c r="W16" s="94" t="s">
        <v>66</v>
      </c>
      <c r="X16" s="94" t="s">
        <v>66</v>
      </c>
      <c r="Y16" s="94" t="s">
        <v>66</v>
      </c>
      <c r="Z16" s="94" t="s">
        <v>66</v>
      </c>
      <c r="AA16" s="94" t="s">
        <v>66</v>
      </c>
      <c r="AB16" s="94" t="s">
        <v>66</v>
      </c>
      <c r="AC16" s="94" t="s">
        <v>66</v>
      </c>
      <c r="AD16" s="94" t="s">
        <v>66</v>
      </c>
      <c r="AE16" s="94" t="s">
        <v>66</v>
      </c>
      <c r="AF16" s="94" t="s">
        <v>66</v>
      </c>
      <c r="AG16" s="94" t="s">
        <v>66</v>
      </c>
      <c r="AH16" s="94" t="s">
        <v>66</v>
      </c>
      <c r="AI16" s="94" t="s">
        <v>66</v>
      </c>
      <c r="AJ16" s="97"/>
    </row>
    <row r="17" spans="1:39" x14ac:dyDescent="0.25">
      <c r="A17" s="96"/>
      <c r="B17" s="86" t="s">
        <v>89</v>
      </c>
      <c r="C17" s="87">
        <f t="shared" si="5"/>
        <v>-40</v>
      </c>
      <c r="D17" s="91">
        <f t="shared" si="6"/>
        <v>2.136499150296484E-2</v>
      </c>
      <c r="E17" s="92" t="s">
        <v>66</v>
      </c>
      <c r="F17" s="92" t="s">
        <v>66</v>
      </c>
      <c r="G17" s="92" t="s">
        <v>66</v>
      </c>
      <c r="H17" s="92" t="s">
        <v>66</v>
      </c>
      <c r="I17" s="92" t="s">
        <v>66</v>
      </c>
      <c r="J17" s="92" t="s">
        <v>66</v>
      </c>
      <c r="K17" s="92" t="s">
        <v>66</v>
      </c>
      <c r="L17" s="92" t="s">
        <v>66</v>
      </c>
      <c r="M17" s="92" t="s">
        <v>66</v>
      </c>
      <c r="N17" s="92" t="s">
        <v>66</v>
      </c>
      <c r="O17" s="92" t="s">
        <v>66</v>
      </c>
      <c r="P17" s="92" t="s">
        <v>66</v>
      </c>
      <c r="Q17" s="92" t="s">
        <v>66</v>
      </c>
      <c r="R17" s="92" t="s">
        <v>66</v>
      </c>
      <c r="S17" s="92" t="s">
        <v>66</v>
      </c>
      <c r="T17" s="92" t="s">
        <v>66</v>
      </c>
      <c r="U17" s="92" t="s">
        <v>66</v>
      </c>
      <c r="V17" s="92" t="s">
        <v>66</v>
      </c>
      <c r="W17" s="92">
        <v>-20</v>
      </c>
      <c r="X17" s="92" t="s">
        <v>66</v>
      </c>
      <c r="Y17" s="92" t="s">
        <v>66</v>
      </c>
      <c r="Z17" s="92" t="s">
        <v>66</v>
      </c>
      <c r="AA17" s="92" t="s">
        <v>66</v>
      </c>
      <c r="AB17" s="92" t="s">
        <v>66</v>
      </c>
      <c r="AC17" s="92" t="s">
        <v>66</v>
      </c>
      <c r="AD17" s="92" t="s">
        <v>66</v>
      </c>
      <c r="AE17" s="92">
        <v>-10</v>
      </c>
      <c r="AF17" s="92">
        <v>-10</v>
      </c>
      <c r="AG17" s="92" t="s">
        <v>66</v>
      </c>
      <c r="AH17" s="92" t="s">
        <v>66</v>
      </c>
      <c r="AI17" s="92" t="s">
        <v>66</v>
      </c>
      <c r="AJ17" s="97"/>
    </row>
    <row r="18" spans="1:39" x14ac:dyDescent="0.25">
      <c r="A18" s="96"/>
      <c r="B18" s="86" t="s">
        <v>29</v>
      </c>
      <c r="C18" s="87">
        <f t="shared" si="5"/>
        <v>-76.89</v>
      </c>
      <c r="D18" s="93">
        <f t="shared" si="6"/>
        <v>4.1068854916574159E-2</v>
      </c>
      <c r="E18" s="94" t="s">
        <v>66</v>
      </c>
      <c r="F18" s="94">
        <v>-49.99</v>
      </c>
      <c r="G18" s="94" t="s">
        <v>66</v>
      </c>
      <c r="H18" s="94" t="s">
        <v>66</v>
      </c>
      <c r="I18" s="94" t="s">
        <v>66</v>
      </c>
      <c r="J18" s="94" t="s">
        <v>66</v>
      </c>
      <c r="K18" s="94" t="s">
        <v>66</v>
      </c>
      <c r="L18" s="94">
        <v>-26.9</v>
      </c>
      <c r="M18" s="94" t="s">
        <v>66</v>
      </c>
      <c r="N18" s="94" t="s">
        <v>66</v>
      </c>
      <c r="O18" s="94" t="s">
        <v>66</v>
      </c>
      <c r="P18" s="94" t="s">
        <v>66</v>
      </c>
      <c r="Q18" s="94" t="s">
        <v>66</v>
      </c>
      <c r="R18" s="94" t="s">
        <v>66</v>
      </c>
      <c r="S18" s="94" t="s">
        <v>66</v>
      </c>
      <c r="T18" s="94" t="s">
        <v>66</v>
      </c>
      <c r="U18" s="94" t="s">
        <v>66</v>
      </c>
      <c r="V18" s="94" t="s">
        <v>66</v>
      </c>
      <c r="W18" s="94" t="s">
        <v>66</v>
      </c>
      <c r="X18" s="94" t="s">
        <v>66</v>
      </c>
      <c r="Y18" s="94" t="s">
        <v>66</v>
      </c>
      <c r="Z18" s="94" t="s">
        <v>66</v>
      </c>
      <c r="AA18" s="94" t="s">
        <v>66</v>
      </c>
      <c r="AB18" s="94" t="s">
        <v>66</v>
      </c>
      <c r="AC18" s="94" t="s">
        <v>66</v>
      </c>
      <c r="AD18" s="94" t="s">
        <v>66</v>
      </c>
      <c r="AE18" s="94" t="s">
        <v>66</v>
      </c>
      <c r="AF18" s="94" t="s">
        <v>66</v>
      </c>
      <c r="AG18" s="94" t="s">
        <v>66</v>
      </c>
      <c r="AH18" s="94" t="s">
        <v>66</v>
      </c>
      <c r="AI18" s="94" t="s">
        <v>66</v>
      </c>
      <c r="AJ18" s="97"/>
    </row>
    <row r="19" spans="1:39" x14ac:dyDescent="0.25">
      <c r="A19" s="96"/>
      <c r="B19" s="86" t="s">
        <v>31</v>
      </c>
      <c r="C19" s="87">
        <f t="shared" si="5"/>
        <v>-30.1</v>
      </c>
      <c r="D19" s="91">
        <f t="shared" si="6"/>
        <v>1.6077156105981042E-2</v>
      </c>
      <c r="E19" s="92" t="s">
        <v>66</v>
      </c>
      <c r="F19" s="92" t="s">
        <v>66</v>
      </c>
      <c r="G19" s="92" t="s">
        <v>66</v>
      </c>
      <c r="H19" s="92" t="s">
        <v>66</v>
      </c>
      <c r="I19" s="92" t="s">
        <v>66</v>
      </c>
      <c r="J19" s="92" t="s">
        <v>66</v>
      </c>
      <c r="K19" s="92" t="s">
        <v>66</v>
      </c>
      <c r="L19" s="92" t="s">
        <v>66</v>
      </c>
      <c r="M19" s="92" t="s">
        <v>66</v>
      </c>
      <c r="N19" s="92" t="s">
        <v>66</v>
      </c>
      <c r="O19" s="92" t="s">
        <v>66</v>
      </c>
      <c r="P19" s="92" t="s">
        <v>66</v>
      </c>
      <c r="Q19" s="92" t="s">
        <v>66</v>
      </c>
      <c r="R19" s="92" t="s">
        <v>66</v>
      </c>
      <c r="S19" s="92">
        <v>-30.1</v>
      </c>
      <c r="T19" s="92" t="s">
        <v>66</v>
      </c>
      <c r="U19" s="92" t="s">
        <v>66</v>
      </c>
      <c r="V19" s="92" t="s">
        <v>66</v>
      </c>
      <c r="W19" s="92" t="s">
        <v>66</v>
      </c>
      <c r="X19" s="92" t="s">
        <v>66</v>
      </c>
      <c r="Y19" s="92" t="s">
        <v>66</v>
      </c>
      <c r="Z19" s="92" t="s">
        <v>66</v>
      </c>
      <c r="AA19" s="92" t="s">
        <v>66</v>
      </c>
      <c r="AB19" s="92" t="s">
        <v>66</v>
      </c>
      <c r="AC19" s="92" t="s">
        <v>66</v>
      </c>
      <c r="AD19" s="92" t="s">
        <v>66</v>
      </c>
      <c r="AE19" s="92" t="s">
        <v>66</v>
      </c>
      <c r="AF19" s="92" t="s">
        <v>66</v>
      </c>
      <c r="AG19" s="92" t="s">
        <v>66</v>
      </c>
      <c r="AH19" s="92" t="s">
        <v>66</v>
      </c>
      <c r="AI19" s="92" t="s">
        <v>66</v>
      </c>
      <c r="AJ19" s="97"/>
    </row>
    <row r="20" spans="1:39" x14ac:dyDescent="0.25">
      <c r="A20" s="96"/>
      <c r="B20" s="86" t="s">
        <v>32</v>
      </c>
      <c r="C20" s="87">
        <f t="shared" si="5"/>
        <v>-22.05</v>
      </c>
      <c r="D20" s="93">
        <f t="shared" si="6"/>
        <v>1.1777451566009367E-2</v>
      </c>
      <c r="E20" s="94" t="s">
        <v>66</v>
      </c>
      <c r="F20" s="94" t="s">
        <v>66</v>
      </c>
      <c r="G20" s="94" t="s">
        <v>66</v>
      </c>
      <c r="H20" s="94" t="s">
        <v>66</v>
      </c>
      <c r="I20" s="94" t="s">
        <v>66</v>
      </c>
      <c r="J20" s="94" t="s">
        <v>66</v>
      </c>
      <c r="K20" s="94" t="s">
        <v>66</v>
      </c>
      <c r="L20" s="94" t="s">
        <v>66</v>
      </c>
      <c r="M20" s="94" t="s">
        <v>66</v>
      </c>
      <c r="N20" s="94" t="s">
        <v>66</v>
      </c>
      <c r="O20" s="94" t="s">
        <v>66</v>
      </c>
      <c r="P20" s="94" t="s">
        <v>66</v>
      </c>
      <c r="Q20" s="94" t="s">
        <v>66</v>
      </c>
      <c r="R20" s="94" t="s">
        <v>66</v>
      </c>
      <c r="S20" s="94" t="s">
        <v>66</v>
      </c>
      <c r="T20" s="94">
        <v>-22.05</v>
      </c>
      <c r="U20" s="94" t="s">
        <v>66</v>
      </c>
      <c r="V20" s="94" t="s">
        <v>66</v>
      </c>
      <c r="W20" s="94" t="s">
        <v>66</v>
      </c>
      <c r="X20" s="94" t="s">
        <v>66</v>
      </c>
      <c r="Y20" s="94" t="s">
        <v>66</v>
      </c>
      <c r="Z20" s="94" t="s">
        <v>66</v>
      </c>
      <c r="AA20" s="94" t="s">
        <v>66</v>
      </c>
      <c r="AB20" s="94" t="s">
        <v>66</v>
      </c>
      <c r="AC20" s="94" t="s">
        <v>66</v>
      </c>
      <c r="AD20" s="94" t="s">
        <v>66</v>
      </c>
      <c r="AE20" s="94" t="s">
        <v>66</v>
      </c>
      <c r="AF20" s="94" t="s">
        <v>66</v>
      </c>
      <c r="AG20" s="94" t="s">
        <v>66</v>
      </c>
      <c r="AH20" s="94" t="s">
        <v>66</v>
      </c>
      <c r="AI20" s="94" t="s">
        <v>66</v>
      </c>
      <c r="AJ20" s="97"/>
    </row>
    <row r="21" spans="1:39" ht="15.75" customHeight="1" x14ac:dyDescent="0.25">
      <c r="A21" s="96"/>
      <c r="B21" s="86" t="s">
        <v>33</v>
      </c>
      <c r="C21" s="87">
        <f t="shared" si="5"/>
        <v>0</v>
      </c>
      <c r="D21" s="91">
        <f t="shared" si="6"/>
        <v>0</v>
      </c>
      <c r="E21" s="92" t="s">
        <v>66</v>
      </c>
      <c r="F21" s="92" t="s">
        <v>66</v>
      </c>
      <c r="G21" s="92" t="s">
        <v>66</v>
      </c>
      <c r="H21" s="92" t="s">
        <v>66</v>
      </c>
      <c r="I21" s="92" t="s">
        <v>66</v>
      </c>
      <c r="J21" s="92" t="s">
        <v>66</v>
      </c>
      <c r="K21" s="92" t="s">
        <v>66</v>
      </c>
      <c r="L21" s="92" t="s">
        <v>66</v>
      </c>
      <c r="M21" s="92" t="s">
        <v>66</v>
      </c>
      <c r="N21" s="92" t="s">
        <v>66</v>
      </c>
      <c r="O21" s="92" t="s">
        <v>66</v>
      </c>
      <c r="P21" s="92" t="s">
        <v>66</v>
      </c>
      <c r="Q21" s="92" t="s">
        <v>66</v>
      </c>
      <c r="R21" s="92" t="s">
        <v>66</v>
      </c>
      <c r="S21" s="92" t="s">
        <v>66</v>
      </c>
      <c r="T21" s="92" t="s">
        <v>66</v>
      </c>
      <c r="U21" s="92" t="s">
        <v>66</v>
      </c>
      <c r="V21" s="92" t="s">
        <v>66</v>
      </c>
      <c r="W21" s="92" t="s">
        <v>66</v>
      </c>
      <c r="X21" s="92" t="s">
        <v>66</v>
      </c>
      <c r="Y21" s="92" t="s">
        <v>66</v>
      </c>
      <c r="Z21" s="92" t="s">
        <v>66</v>
      </c>
      <c r="AA21" s="92" t="s">
        <v>66</v>
      </c>
      <c r="AB21" s="92" t="s">
        <v>66</v>
      </c>
      <c r="AC21" s="92" t="s">
        <v>66</v>
      </c>
      <c r="AD21" s="92" t="s">
        <v>66</v>
      </c>
      <c r="AE21" s="92" t="s">
        <v>66</v>
      </c>
      <c r="AF21" s="92" t="s">
        <v>66</v>
      </c>
      <c r="AG21" s="92" t="s">
        <v>66</v>
      </c>
      <c r="AH21" s="92" t="s">
        <v>66</v>
      </c>
      <c r="AI21" s="92" t="s">
        <v>66</v>
      </c>
      <c r="AJ21" s="97"/>
    </row>
    <row r="22" spans="1:39" ht="15.75" customHeight="1" x14ac:dyDescent="0.25">
      <c r="A22" s="96"/>
      <c r="B22" s="86" t="s">
        <v>94</v>
      </c>
      <c r="C22" s="87">
        <f t="shared" si="5"/>
        <v>-89.08</v>
      </c>
      <c r="D22" s="91">
        <f t="shared" si="6"/>
        <v>4.7579836077102693E-2</v>
      </c>
      <c r="E22" s="92" t="s">
        <v>66</v>
      </c>
      <c r="F22" s="92" t="s">
        <v>66</v>
      </c>
      <c r="G22" s="92" t="s">
        <v>66</v>
      </c>
      <c r="H22" s="92" t="s">
        <v>66</v>
      </c>
      <c r="I22" s="92" t="s">
        <v>66</v>
      </c>
      <c r="J22" s="92" t="s">
        <v>66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>
        <f>-38.08-24.85</f>
        <v>-62.93</v>
      </c>
      <c r="Q22" s="92">
        <f>-78.45/3</f>
        <v>-26.150000000000002</v>
      </c>
      <c r="R22" s="92"/>
      <c r="S22" s="92" t="s">
        <v>66</v>
      </c>
      <c r="T22" s="92" t="s">
        <v>66</v>
      </c>
      <c r="U22" s="92" t="s">
        <v>66</v>
      </c>
      <c r="V22" s="92" t="s">
        <v>66</v>
      </c>
      <c r="W22" s="92" t="s">
        <v>66</v>
      </c>
      <c r="X22" s="92" t="s">
        <v>66</v>
      </c>
      <c r="Y22" s="92" t="s">
        <v>66</v>
      </c>
      <c r="Z22" s="92" t="s">
        <v>66</v>
      </c>
      <c r="AA22" s="92" t="s">
        <v>66</v>
      </c>
      <c r="AB22" s="92" t="s">
        <v>66</v>
      </c>
      <c r="AC22" s="92" t="s">
        <v>66</v>
      </c>
      <c r="AD22" s="92" t="s">
        <v>66</v>
      </c>
      <c r="AE22" s="92" t="s">
        <v>66</v>
      </c>
      <c r="AF22" s="92" t="s">
        <v>66</v>
      </c>
      <c r="AG22" s="92" t="s">
        <v>66</v>
      </c>
      <c r="AH22" s="92" t="s">
        <v>66</v>
      </c>
      <c r="AI22" s="92" t="s">
        <v>66</v>
      </c>
      <c r="AJ22" s="97"/>
    </row>
    <row r="23" spans="1:39" ht="15.75" customHeight="1" x14ac:dyDescent="0.25">
      <c r="A23" s="96"/>
      <c r="B23" s="86" t="s">
        <v>34</v>
      </c>
      <c r="C23" s="87">
        <f t="shared" si="5"/>
        <v>0</v>
      </c>
      <c r="D23" s="93">
        <f t="shared" si="6"/>
        <v>0</v>
      </c>
      <c r="E23" s="94" t="s">
        <v>66</v>
      </c>
      <c r="F23" s="94" t="s">
        <v>66</v>
      </c>
      <c r="G23" s="94" t="s">
        <v>66</v>
      </c>
      <c r="H23" s="94" t="s">
        <v>66</v>
      </c>
      <c r="I23" s="94" t="s">
        <v>66</v>
      </c>
      <c r="J23" s="94" t="s">
        <v>66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 t="s">
        <v>66</v>
      </c>
      <c r="R23" s="94" t="s">
        <v>66</v>
      </c>
      <c r="S23" s="94" t="s">
        <v>66</v>
      </c>
      <c r="T23" s="94" t="s">
        <v>66</v>
      </c>
      <c r="U23" s="94" t="s">
        <v>66</v>
      </c>
      <c r="V23" s="94" t="s">
        <v>66</v>
      </c>
      <c r="W23" s="94" t="s">
        <v>66</v>
      </c>
      <c r="X23" s="94" t="s">
        <v>66</v>
      </c>
      <c r="Y23" s="94" t="s">
        <v>66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4" t="s">
        <v>66</v>
      </c>
      <c r="AH23" s="94" t="s">
        <v>66</v>
      </c>
      <c r="AI23" s="94" t="s">
        <v>66</v>
      </c>
      <c r="AJ23" s="97"/>
      <c r="AL23" s="86"/>
      <c r="AM23" s="95"/>
    </row>
    <row r="24" spans="1:39" ht="15.75" customHeight="1" x14ac:dyDescent="0.25">
      <c r="A24" s="96"/>
      <c r="B24" s="86" t="s">
        <v>35</v>
      </c>
      <c r="C24" s="87">
        <f t="shared" si="5"/>
        <v>0</v>
      </c>
      <c r="D24" s="91">
        <f t="shared" si="6"/>
        <v>0</v>
      </c>
      <c r="E24" s="92" t="s">
        <v>66</v>
      </c>
      <c r="F24" s="92" t="s">
        <v>66</v>
      </c>
      <c r="G24" s="92" t="s">
        <v>66</v>
      </c>
      <c r="H24" s="92" t="s">
        <v>66</v>
      </c>
      <c r="I24" s="92" t="s">
        <v>66</v>
      </c>
      <c r="J24" s="92" t="s">
        <v>66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 t="s">
        <v>66</v>
      </c>
      <c r="AB24" s="92" t="s">
        <v>66</v>
      </c>
      <c r="AC24" s="92" t="s">
        <v>66</v>
      </c>
      <c r="AD24" s="92" t="s">
        <v>66</v>
      </c>
      <c r="AE24" s="92" t="s">
        <v>66</v>
      </c>
      <c r="AF24" s="92" t="s">
        <v>66</v>
      </c>
      <c r="AG24" s="92" t="s">
        <v>66</v>
      </c>
      <c r="AH24" s="92" t="s">
        <v>66</v>
      </c>
      <c r="AI24" s="92" t="s">
        <v>66</v>
      </c>
      <c r="AJ24" s="97"/>
    </row>
    <row r="25" spans="1:39" ht="15.75" customHeight="1" x14ac:dyDescent="0.25">
      <c r="A25" s="96"/>
      <c r="B25" s="86" t="s">
        <v>36</v>
      </c>
      <c r="C25" s="87">
        <f t="shared" si="5"/>
        <v>0</v>
      </c>
      <c r="D25" s="93">
        <f t="shared" si="6"/>
        <v>0</v>
      </c>
      <c r="E25" s="94" t="s">
        <v>66</v>
      </c>
      <c r="F25" s="94" t="s">
        <v>66</v>
      </c>
      <c r="G25" s="94" t="s">
        <v>66</v>
      </c>
      <c r="H25" s="94" t="s">
        <v>66</v>
      </c>
      <c r="I25" s="94" t="s">
        <v>66</v>
      </c>
      <c r="J25" s="94" t="s">
        <v>66</v>
      </c>
      <c r="K25" s="94" t="s">
        <v>66</v>
      </c>
      <c r="L25" s="94" t="s">
        <v>66</v>
      </c>
      <c r="M25" s="94" t="s">
        <v>66</v>
      </c>
      <c r="N25" s="94" t="s">
        <v>66</v>
      </c>
      <c r="O25" s="94" t="s">
        <v>66</v>
      </c>
      <c r="P25" s="94" t="s">
        <v>66</v>
      </c>
      <c r="Q25" s="94" t="s">
        <v>66</v>
      </c>
      <c r="R25" s="94" t="s">
        <v>66</v>
      </c>
      <c r="S25" s="94" t="s">
        <v>66</v>
      </c>
      <c r="T25" s="94" t="s">
        <v>66</v>
      </c>
      <c r="U25" s="94" t="s">
        <v>66</v>
      </c>
      <c r="V25" s="94" t="s">
        <v>66</v>
      </c>
      <c r="W25" s="94" t="s">
        <v>66</v>
      </c>
      <c r="X25" s="94" t="s">
        <v>66</v>
      </c>
      <c r="Y25" s="94" t="s">
        <v>66</v>
      </c>
      <c r="Z25" s="94" t="s">
        <v>66</v>
      </c>
      <c r="AA25" s="94" t="s">
        <v>66</v>
      </c>
      <c r="AB25" s="94" t="s">
        <v>66</v>
      </c>
      <c r="AC25" s="94" t="s">
        <v>66</v>
      </c>
      <c r="AD25" s="94" t="s">
        <v>66</v>
      </c>
      <c r="AE25" s="94" t="s">
        <v>66</v>
      </c>
      <c r="AF25" s="94" t="s">
        <v>66</v>
      </c>
      <c r="AG25" s="94" t="s">
        <v>66</v>
      </c>
      <c r="AH25" s="94" t="s">
        <v>66</v>
      </c>
      <c r="AI25" s="94" t="s">
        <v>66</v>
      </c>
      <c r="AJ25" s="97"/>
    </row>
    <row r="26" spans="1:39" ht="15.75" customHeight="1" x14ac:dyDescent="0.25">
      <c r="A26" s="96"/>
      <c r="B26" s="86" t="s">
        <v>39</v>
      </c>
      <c r="C26" s="87">
        <f t="shared" si="5"/>
        <v>-99.84</v>
      </c>
      <c r="D26" s="91">
        <f t="shared" si="6"/>
        <v>5.3327018791400241E-2</v>
      </c>
      <c r="E26" s="92" t="s">
        <v>66</v>
      </c>
      <c r="F26" s="92">
        <f>-26.89-8.99</f>
        <v>-35.880000000000003</v>
      </c>
      <c r="G26" s="92" t="s">
        <v>66</v>
      </c>
      <c r="H26" s="92" t="s">
        <v>66</v>
      </c>
      <c r="I26" s="92" t="s">
        <v>66</v>
      </c>
      <c r="J26" s="92">
        <v>-15.98</v>
      </c>
      <c r="K26" s="92" t="s">
        <v>66</v>
      </c>
      <c r="L26" s="92" t="s">
        <v>66</v>
      </c>
      <c r="M26" s="92" t="s">
        <v>66</v>
      </c>
      <c r="N26" s="92" t="s">
        <v>66</v>
      </c>
      <c r="O26" s="92" t="s">
        <v>66</v>
      </c>
      <c r="P26" s="92" t="s">
        <v>66</v>
      </c>
      <c r="Q26" s="92" t="s">
        <v>66</v>
      </c>
      <c r="R26" s="92" t="s">
        <v>66</v>
      </c>
      <c r="S26" s="92" t="s">
        <v>66</v>
      </c>
      <c r="T26" s="92" t="s">
        <v>66</v>
      </c>
      <c r="U26" s="92" t="s">
        <v>66</v>
      </c>
      <c r="V26" s="92" t="s">
        <v>66</v>
      </c>
      <c r="W26" s="92" t="s">
        <v>66</v>
      </c>
      <c r="X26" s="92" t="s">
        <v>66</v>
      </c>
      <c r="Y26" s="92" t="s">
        <v>66</v>
      </c>
      <c r="Z26" s="92" t="s">
        <v>66</v>
      </c>
      <c r="AA26" s="92" t="s">
        <v>66</v>
      </c>
      <c r="AB26" s="92" t="s">
        <v>66</v>
      </c>
      <c r="AC26" s="92">
        <v>-47.98</v>
      </c>
      <c r="AD26" s="92" t="s">
        <v>66</v>
      </c>
      <c r="AE26" s="92" t="s">
        <v>66</v>
      </c>
      <c r="AF26" s="92" t="s">
        <v>66</v>
      </c>
      <c r="AG26" s="92" t="s">
        <v>66</v>
      </c>
      <c r="AH26" s="92" t="s">
        <v>66</v>
      </c>
      <c r="AI26" s="92" t="s">
        <v>66</v>
      </c>
      <c r="AJ26" s="97"/>
    </row>
    <row r="27" spans="1:39" ht="15.75" customHeight="1" x14ac:dyDescent="0.25">
      <c r="A27" s="96"/>
      <c r="B27" s="86" t="s">
        <v>40</v>
      </c>
      <c r="C27" s="87">
        <f t="shared" si="5"/>
        <v>0</v>
      </c>
      <c r="D27" s="93">
        <f t="shared" si="6"/>
        <v>0</v>
      </c>
      <c r="E27" s="94" t="s">
        <v>66</v>
      </c>
      <c r="F27" s="94" t="s">
        <v>66</v>
      </c>
      <c r="G27" s="94" t="s">
        <v>66</v>
      </c>
      <c r="H27" s="94" t="s">
        <v>66</v>
      </c>
      <c r="I27" s="94" t="s">
        <v>66</v>
      </c>
      <c r="J27" s="94" t="s">
        <v>66</v>
      </c>
      <c r="K27" s="94" t="s">
        <v>66</v>
      </c>
      <c r="L27" s="94" t="s">
        <v>66</v>
      </c>
      <c r="M27" s="94" t="s">
        <v>66</v>
      </c>
      <c r="N27" s="94" t="s">
        <v>66</v>
      </c>
      <c r="O27" s="94" t="s">
        <v>66</v>
      </c>
      <c r="P27" s="94" t="s">
        <v>66</v>
      </c>
      <c r="Q27" s="94" t="s">
        <v>66</v>
      </c>
      <c r="R27" s="94" t="s">
        <v>66</v>
      </c>
      <c r="S27" s="94" t="s">
        <v>66</v>
      </c>
      <c r="T27" s="94" t="s">
        <v>66</v>
      </c>
      <c r="U27" s="94" t="s">
        <v>66</v>
      </c>
      <c r="V27" s="94" t="s">
        <v>66</v>
      </c>
      <c r="W27" s="94" t="s">
        <v>66</v>
      </c>
      <c r="X27" s="94" t="s">
        <v>66</v>
      </c>
      <c r="Y27" s="94" t="s">
        <v>66</v>
      </c>
      <c r="Z27" s="94" t="s">
        <v>66</v>
      </c>
      <c r="AA27" s="94" t="s">
        <v>66</v>
      </c>
      <c r="AB27" s="94" t="s">
        <v>66</v>
      </c>
      <c r="AC27" s="94" t="s">
        <v>66</v>
      </c>
      <c r="AD27" s="94" t="s">
        <v>66</v>
      </c>
      <c r="AE27" s="94" t="s">
        <v>66</v>
      </c>
      <c r="AF27" s="94" t="s">
        <v>66</v>
      </c>
      <c r="AG27" s="94" t="s">
        <v>66</v>
      </c>
      <c r="AH27" s="94" t="s">
        <v>66</v>
      </c>
      <c r="AI27" s="94" t="s">
        <v>66</v>
      </c>
      <c r="AJ27" s="97"/>
    </row>
    <row r="28" spans="1:39" ht="15.75" customHeight="1" x14ac:dyDescent="0.25">
      <c r="A28" s="96"/>
      <c r="B28" s="86" t="s">
        <v>41</v>
      </c>
      <c r="C28" s="87">
        <f t="shared" si="5"/>
        <v>0</v>
      </c>
      <c r="D28" s="91">
        <f t="shared" si="6"/>
        <v>0</v>
      </c>
      <c r="E28" s="92" t="s">
        <v>66</v>
      </c>
      <c r="F28" s="92" t="s">
        <v>66</v>
      </c>
      <c r="G28" s="92" t="s">
        <v>66</v>
      </c>
      <c r="H28" s="92" t="s">
        <v>66</v>
      </c>
      <c r="I28" s="92" t="s">
        <v>66</v>
      </c>
      <c r="J28" s="92" t="s">
        <v>66</v>
      </c>
      <c r="K28" s="92" t="s">
        <v>66</v>
      </c>
      <c r="L28" s="92" t="s">
        <v>66</v>
      </c>
      <c r="M28" s="92" t="s">
        <v>66</v>
      </c>
      <c r="N28" s="92" t="s">
        <v>66</v>
      </c>
      <c r="O28" s="92" t="s">
        <v>66</v>
      </c>
      <c r="P28" s="92" t="s">
        <v>66</v>
      </c>
      <c r="Q28" s="92" t="s">
        <v>66</v>
      </c>
      <c r="R28" s="92" t="s">
        <v>66</v>
      </c>
      <c r="S28" s="92" t="s">
        <v>66</v>
      </c>
      <c r="T28" s="92" t="s">
        <v>66</v>
      </c>
      <c r="U28" s="92" t="s">
        <v>66</v>
      </c>
      <c r="V28" s="92" t="s">
        <v>66</v>
      </c>
      <c r="W28" s="92" t="s">
        <v>66</v>
      </c>
      <c r="X28" s="92" t="s">
        <v>66</v>
      </c>
      <c r="Y28" s="92" t="s">
        <v>66</v>
      </c>
      <c r="Z28" s="92" t="s">
        <v>66</v>
      </c>
      <c r="AA28" s="92" t="s">
        <v>66</v>
      </c>
      <c r="AB28" s="92" t="s">
        <v>66</v>
      </c>
      <c r="AC28" s="92" t="s">
        <v>66</v>
      </c>
      <c r="AD28" s="92" t="s">
        <v>66</v>
      </c>
      <c r="AE28" s="92" t="s">
        <v>66</v>
      </c>
      <c r="AF28" s="92" t="s">
        <v>66</v>
      </c>
      <c r="AG28" s="92" t="s">
        <v>66</v>
      </c>
      <c r="AH28" s="92" t="s">
        <v>66</v>
      </c>
      <c r="AI28" s="92" t="s">
        <v>66</v>
      </c>
      <c r="AJ28" s="97"/>
    </row>
    <row r="29" spans="1:39" ht="15.75" customHeight="1" x14ac:dyDescent="0.25">
      <c r="A29" s="246"/>
      <c r="B29" s="86" t="s">
        <v>207</v>
      </c>
      <c r="C29" s="87">
        <f>-(2587+511.66)/12</f>
        <v>-258.22166666666664</v>
      </c>
      <c r="D29" s="91">
        <f t="shared" si="6"/>
        <v>0.13792259285536879</v>
      </c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247"/>
    </row>
    <row r="30" spans="1:39" ht="15.75" customHeight="1" x14ac:dyDescent="0.25">
      <c r="A30" s="96"/>
      <c r="B30" s="86" t="s">
        <v>72</v>
      </c>
      <c r="C30" s="87">
        <f t="shared" si="5"/>
        <v>-550</v>
      </c>
      <c r="D30" s="93">
        <f t="shared" si="6"/>
        <v>0.29376863316576651</v>
      </c>
      <c r="E30" s="94" t="s">
        <v>66</v>
      </c>
      <c r="F30" s="94" t="s">
        <v>66</v>
      </c>
      <c r="G30" s="94" t="s">
        <v>66</v>
      </c>
      <c r="H30" s="94" t="s">
        <v>66</v>
      </c>
      <c r="I30" s="94" t="s">
        <v>66</v>
      </c>
      <c r="J30" s="94" t="s">
        <v>66</v>
      </c>
      <c r="K30" s="94">
        <v>-550</v>
      </c>
      <c r="L30" s="94" t="s">
        <v>66</v>
      </c>
      <c r="M30" s="94" t="s">
        <v>66</v>
      </c>
      <c r="N30" s="94" t="s">
        <v>66</v>
      </c>
      <c r="O30" s="94" t="s">
        <v>66</v>
      </c>
      <c r="P30" s="94" t="s">
        <v>66</v>
      </c>
      <c r="Q30" s="94" t="s">
        <v>66</v>
      </c>
      <c r="R30" s="94" t="s">
        <v>66</v>
      </c>
      <c r="S30" s="94" t="s">
        <v>66</v>
      </c>
      <c r="T30" s="94" t="s">
        <v>66</v>
      </c>
      <c r="U30" s="94" t="s">
        <v>66</v>
      </c>
      <c r="V30" s="94" t="s">
        <v>66</v>
      </c>
      <c r="W30" s="94" t="s">
        <v>66</v>
      </c>
      <c r="X30" s="94" t="s">
        <v>66</v>
      </c>
      <c r="Y30" s="94" t="s">
        <v>66</v>
      </c>
      <c r="Z30" s="94" t="s">
        <v>66</v>
      </c>
      <c r="AA30" s="94" t="s">
        <v>66</v>
      </c>
      <c r="AB30" s="94" t="s">
        <v>66</v>
      </c>
      <c r="AC30" s="94" t="s">
        <v>66</v>
      </c>
      <c r="AD30" s="94" t="s">
        <v>66</v>
      </c>
      <c r="AE30" s="94" t="s">
        <v>66</v>
      </c>
      <c r="AF30" s="94" t="s">
        <v>66</v>
      </c>
      <c r="AG30" s="94" t="s">
        <v>66</v>
      </c>
      <c r="AH30" s="94" t="s">
        <v>66</v>
      </c>
      <c r="AI30" s="94" t="s">
        <v>66</v>
      </c>
      <c r="AJ30" s="97"/>
    </row>
    <row r="31" spans="1:39" ht="15.75" customHeight="1" x14ac:dyDescent="0.25">
      <c r="A31" s="96"/>
      <c r="B31" s="86" t="s">
        <v>42</v>
      </c>
      <c r="C31" s="87">
        <f t="shared" si="5"/>
        <v>0</v>
      </c>
      <c r="D31" s="91">
        <f t="shared" si="6"/>
        <v>0</v>
      </c>
      <c r="E31" s="92" t="s">
        <v>66</v>
      </c>
      <c r="F31" s="92" t="s">
        <v>66</v>
      </c>
      <c r="G31" s="92" t="s">
        <v>66</v>
      </c>
      <c r="H31" s="92" t="s">
        <v>66</v>
      </c>
      <c r="I31" s="92" t="s">
        <v>66</v>
      </c>
      <c r="J31" s="92" t="s">
        <v>66</v>
      </c>
      <c r="K31" s="135" t="s">
        <v>66</v>
      </c>
      <c r="L31" s="92" t="s">
        <v>66</v>
      </c>
      <c r="M31" s="92" t="s">
        <v>66</v>
      </c>
      <c r="N31" s="92" t="s">
        <v>66</v>
      </c>
      <c r="O31" s="92" t="s">
        <v>66</v>
      </c>
      <c r="P31" s="92" t="s">
        <v>66</v>
      </c>
      <c r="Q31" s="92" t="s">
        <v>66</v>
      </c>
      <c r="R31" s="92" t="s">
        <v>66</v>
      </c>
      <c r="S31" s="92" t="s">
        <v>66</v>
      </c>
      <c r="T31" s="92" t="s">
        <v>66</v>
      </c>
      <c r="U31" s="92" t="s">
        <v>66</v>
      </c>
      <c r="V31" s="92" t="s">
        <v>66</v>
      </c>
      <c r="W31" s="92" t="s">
        <v>66</v>
      </c>
      <c r="X31" s="92" t="s">
        <v>66</v>
      </c>
      <c r="Y31" s="92" t="s">
        <v>66</v>
      </c>
      <c r="Z31" s="92" t="s">
        <v>66</v>
      </c>
      <c r="AA31" s="92" t="s">
        <v>66</v>
      </c>
      <c r="AB31" s="92" t="s">
        <v>66</v>
      </c>
      <c r="AC31" s="92" t="s">
        <v>66</v>
      </c>
      <c r="AD31" s="92" t="s">
        <v>66</v>
      </c>
      <c r="AE31" s="92" t="s">
        <v>66</v>
      </c>
      <c r="AF31" s="92" t="s">
        <v>66</v>
      </c>
      <c r="AG31" s="92" t="s">
        <v>66</v>
      </c>
      <c r="AH31" s="92" t="s">
        <v>66</v>
      </c>
      <c r="AI31" s="92" t="s">
        <v>66</v>
      </c>
      <c r="AJ31" s="97"/>
    </row>
    <row r="32" spans="1:39" ht="15.75" customHeight="1" x14ac:dyDescent="0.25">
      <c r="A32" s="96"/>
      <c r="B32" s="86" t="s">
        <v>96</v>
      </c>
      <c r="C32" s="87">
        <f t="shared" si="5"/>
        <v>0</v>
      </c>
      <c r="D32" s="91">
        <f t="shared" si="6"/>
        <v>0</v>
      </c>
      <c r="E32" s="136" t="s">
        <v>66</v>
      </c>
      <c r="F32" s="136" t="s">
        <v>66</v>
      </c>
      <c r="G32" s="136" t="s">
        <v>66</v>
      </c>
      <c r="H32" s="136" t="s">
        <v>66</v>
      </c>
      <c r="I32" s="136" t="s">
        <v>66</v>
      </c>
      <c r="J32" s="136" t="s">
        <v>66</v>
      </c>
      <c r="K32" s="136" t="s">
        <v>66</v>
      </c>
      <c r="L32" s="136" t="s">
        <v>66</v>
      </c>
      <c r="M32" s="136" t="s">
        <v>66</v>
      </c>
      <c r="N32" s="136" t="s">
        <v>66</v>
      </c>
      <c r="O32" s="136" t="s">
        <v>66</v>
      </c>
      <c r="P32" s="136" t="s">
        <v>66</v>
      </c>
      <c r="Q32" s="136" t="s">
        <v>66</v>
      </c>
      <c r="R32" s="136" t="s">
        <v>66</v>
      </c>
      <c r="S32" s="136" t="s">
        <v>66</v>
      </c>
      <c r="T32" s="136" t="s">
        <v>66</v>
      </c>
      <c r="U32" s="136" t="s">
        <v>66</v>
      </c>
      <c r="V32" s="136" t="s">
        <v>66</v>
      </c>
      <c r="W32" s="136" t="s">
        <v>66</v>
      </c>
      <c r="X32" s="136" t="s">
        <v>66</v>
      </c>
      <c r="Y32" s="136" t="s">
        <v>66</v>
      </c>
      <c r="Z32" s="136" t="s">
        <v>66</v>
      </c>
      <c r="AA32" s="136" t="s">
        <v>66</v>
      </c>
      <c r="AB32" s="136" t="s">
        <v>66</v>
      </c>
      <c r="AC32" s="136" t="s">
        <v>66</v>
      </c>
      <c r="AD32" s="136" t="s">
        <v>66</v>
      </c>
      <c r="AE32" s="136" t="s">
        <v>66</v>
      </c>
      <c r="AF32" s="136" t="s">
        <v>66</v>
      </c>
      <c r="AG32" s="136" t="s">
        <v>66</v>
      </c>
      <c r="AH32" s="136" t="s">
        <v>66</v>
      </c>
      <c r="AI32" s="136" t="s">
        <v>66</v>
      </c>
      <c r="AJ32" s="97"/>
    </row>
    <row r="33" spans="1:36" ht="15.75" customHeight="1" x14ac:dyDescent="0.25">
      <c r="A33" s="96"/>
      <c r="B33" s="99" t="s">
        <v>44</v>
      </c>
      <c r="C33" s="124">
        <f>SUM(E33:AH33)</f>
        <v>2130.9</v>
      </c>
      <c r="D33" s="125"/>
      <c r="E33" s="126">
        <v>50</v>
      </c>
      <c r="F33" s="126">
        <v>24</v>
      </c>
      <c r="G33" s="126"/>
      <c r="H33" s="126"/>
      <c r="I33" s="126"/>
      <c r="J33" s="126"/>
      <c r="K33" s="126">
        <v>2056.9</v>
      </c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>
        <v>-100</v>
      </c>
      <c r="AJ33" s="97"/>
    </row>
    <row r="34" spans="1:36" ht="15.75" customHeight="1" x14ac:dyDescent="0.25">
      <c r="A34" s="96"/>
      <c r="B34" s="83"/>
      <c r="C34" s="12"/>
      <c r="D34" s="106"/>
      <c r="E34" s="107">
        <f t="shared" ref="E34:AI34" si="7">E5</f>
        <v>43466</v>
      </c>
      <c r="F34" s="107">
        <f t="shared" si="7"/>
        <v>43467</v>
      </c>
      <c r="G34" s="107">
        <f t="shared" si="7"/>
        <v>43468</v>
      </c>
      <c r="H34" s="107">
        <f t="shared" si="7"/>
        <v>43469</v>
      </c>
      <c r="I34" s="107">
        <f t="shared" si="7"/>
        <v>43470</v>
      </c>
      <c r="J34" s="107">
        <f t="shared" si="7"/>
        <v>43471</v>
      </c>
      <c r="K34" s="107">
        <f t="shared" si="7"/>
        <v>43472</v>
      </c>
      <c r="L34" s="107">
        <f t="shared" si="7"/>
        <v>43473</v>
      </c>
      <c r="M34" s="107">
        <f t="shared" si="7"/>
        <v>43474</v>
      </c>
      <c r="N34" s="107">
        <f t="shared" si="7"/>
        <v>43475</v>
      </c>
      <c r="O34" s="107">
        <f t="shared" si="7"/>
        <v>43476</v>
      </c>
      <c r="P34" s="107">
        <f t="shared" si="7"/>
        <v>43477</v>
      </c>
      <c r="Q34" s="107">
        <f t="shared" si="7"/>
        <v>43478</v>
      </c>
      <c r="R34" s="107">
        <f t="shared" si="7"/>
        <v>43479</v>
      </c>
      <c r="S34" s="107">
        <f t="shared" si="7"/>
        <v>43480</v>
      </c>
      <c r="T34" s="107">
        <f t="shared" si="7"/>
        <v>43481</v>
      </c>
      <c r="U34" s="107">
        <f t="shared" si="7"/>
        <v>43482</v>
      </c>
      <c r="V34" s="107">
        <f t="shared" si="7"/>
        <v>43483</v>
      </c>
      <c r="W34" s="107">
        <f t="shared" si="7"/>
        <v>43484</v>
      </c>
      <c r="X34" s="107">
        <f t="shared" si="7"/>
        <v>43485</v>
      </c>
      <c r="Y34" s="107">
        <f t="shared" si="7"/>
        <v>43486</v>
      </c>
      <c r="Z34" s="107">
        <f t="shared" si="7"/>
        <v>43487</v>
      </c>
      <c r="AA34" s="107">
        <f t="shared" si="7"/>
        <v>43488</v>
      </c>
      <c r="AB34" s="107">
        <f t="shared" si="7"/>
        <v>43489</v>
      </c>
      <c r="AC34" s="107">
        <f t="shared" si="7"/>
        <v>43490</v>
      </c>
      <c r="AD34" s="107">
        <f t="shared" si="7"/>
        <v>43491</v>
      </c>
      <c r="AE34" s="107">
        <f t="shared" si="7"/>
        <v>43492</v>
      </c>
      <c r="AF34" s="107">
        <f t="shared" si="7"/>
        <v>43493</v>
      </c>
      <c r="AG34" s="107">
        <f t="shared" si="7"/>
        <v>43494</v>
      </c>
      <c r="AH34" s="107">
        <f t="shared" si="7"/>
        <v>43495</v>
      </c>
      <c r="AI34" s="107">
        <f t="shared" si="7"/>
        <v>43496</v>
      </c>
      <c r="AJ34" s="97"/>
    </row>
    <row r="35" spans="1:36" ht="15.75" customHeight="1" x14ac:dyDescent="0.25">
      <c r="A35" s="96"/>
      <c r="B35" s="110" t="s">
        <v>79</v>
      </c>
      <c r="C35" s="58"/>
      <c r="D35" s="66"/>
      <c r="E35" s="112">
        <f t="shared" ref="E35:AI35" si="8">SUM($E$6:E6)</f>
        <v>0</v>
      </c>
      <c r="F35" s="112">
        <f t="shared" si="8"/>
        <v>-121.43</v>
      </c>
      <c r="G35" s="112">
        <f t="shared" si="8"/>
        <v>-144.93</v>
      </c>
      <c r="H35" s="112">
        <f t="shared" si="8"/>
        <v>-192.93</v>
      </c>
      <c r="I35" s="112">
        <f t="shared" si="8"/>
        <v>-192.93</v>
      </c>
      <c r="J35" s="112">
        <f t="shared" si="8"/>
        <v>-230.33</v>
      </c>
      <c r="K35" s="112">
        <f t="shared" si="8"/>
        <v>-780.33</v>
      </c>
      <c r="L35" s="112">
        <f t="shared" si="8"/>
        <v>-826.23</v>
      </c>
      <c r="M35" s="112">
        <f t="shared" si="8"/>
        <v>-826.23</v>
      </c>
      <c r="N35" s="112">
        <f t="shared" si="8"/>
        <v>-836.7</v>
      </c>
      <c r="O35" s="112">
        <f t="shared" si="8"/>
        <v>-848.17000000000007</v>
      </c>
      <c r="P35" s="112">
        <f t="shared" si="8"/>
        <v>-916.00000000000011</v>
      </c>
      <c r="Q35" s="112">
        <f t="shared" si="8"/>
        <v>-1040.0300000000002</v>
      </c>
      <c r="R35" s="112">
        <f t="shared" si="8"/>
        <v>-1063.2300000000002</v>
      </c>
      <c r="S35" s="112">
        <f t="shared" si="8"/>
        <v>-1102.0600000000002</v>
      </c>
      <c r="T35" s="112">
        <f t="shared" si="8"/>
        <v>-1124.1100000000001</v>
      </c>
      <c r="U35" s="112">
        <f t="shared" si="8"/>
        <v>-1274.1100000000001</v>
      </c>
      <c r="V35" s="112">
        <f t="shared" si="8"/>
        <v>-1274.1100000000001</v>
      </c>
      <c r="W35" s="112">
        <f t="shared" si="8"/>
        <v>-1294.1100000000001</v>
      </c>
      <c r="X35" s="112">
        <f t="shared" si="8"/>
        <v>-1322.66</v>
      </c>
      <c r="Y35" s="112">
        <f t="shared" si="8"/>
        <v>-1322.66</v>
      </c>
      <c r="Z35" s="112">
        <f t="shared" si="8"/>
        <v>-1339.2900000000002</v>
      </c>
      <c r="AA35" s="112">
        <f t="shared" si="8"/>
        <v>-1339.2900000000002</v>
      </c>
      <c r="AB35" s="112">
        <f t="shared" si="8"/>
        <v>-1339.2900000000002</v>
      </c>
      <c r="AC35" s="112">
        <f t="shared" si="8"/>
        <v>-1387.2700000000002</v>
      </c>
      <c r="AD35" s="112">
        <f t="shared" si="8"/>
        <v>-1411.2700000000002</v>
      </c>
      <c r="AE35" s="112">
        <f t="shared" si="8"/>
        <v>-1515.8400000000001</v>
      </c>
      <c r="AF35" s="112">
        <f t="shared" si="8"/>
        <v>-1602.0000000000002</v>
      </c>
      <c r="AG35" s="112">
        <f t="shared" si="8"/>
        <v>-1602.0000000000002</v>
      </c>
      <c r="AH35" s="112">
        <f t="shared" si="8"/>
        <v>-1602.0000000000002</v>
      </c>
      <c r="AI35" s="112">
        <f t="shared" si="8"/>
        <v>-1614.0000000000002</v>
      </c>
      <c r="AJ35" s="97"/>
    </row>
    <row r="36" spans="1:36" ht="15.75" customHeight="1" x14ac:dyDescent="0.25">
      <c r="A36" s="96"/>
      <c r="B36" s="99" t="s">
        <v>69</v>
      </c>
      <c r="C36" s="44"/>
      <c r="D36" s="115">
        <f>'Dez2018'!AI34</f>
        <v>2314.9499999999989</v>
      </c>
      <c r="E36" s="73">
        <f t="shared" ref="E36:AI36" si="9">D44+E6+E33</f>
        <v>2364.9499999999989</v>
      </c>
      <c r="F36" s="73">
        <f t="shared" si="9"/>
        <v>2267.5199999999991</v>
      </c>
      <c r="G36" s="73">
        <f t="shared" si="9"/>
        <v>2244.0199999999991</v>
      </c>
      <c r="H36" s="73">
        <f t="shared" si="9"/>
        <v>2196.0199999999991</v>
      </c>
      <c r="I36" s="73">
        <f t="shared" si="9"/>
        <v>2196.0199999999991</v>
      </c>
      <c r="J36" s="73">
        <f t="shared" si="9"/>
        <v>2158.619999999999</v>
      </c>
      <c r="K36" s="73">
        <f t="shared" si="9"/>
        <v>3665.5199999999991</v>
      </c>
      <c r="L36" s="73">
        <f t="shared" si="9"/>
        <v>3619.619999999999</v>
      </c>
      <c r="M36" s="73">
        <f t="shared" si="9"/>
        <v>3619.619999999999</v>
      </c>
      <c r="N36" s="73">
        <f t="shared" si="9"/>
        <v>3609.1499999999992</v>
      </c>
      <c r="O36" s="73">
        <f t="shared" si="9"/>
        <v>3597.6799999999994</v>
      </c>
      <c r="P36" s="73">
        <f t="shared" si="9"/>
        <v>3529.8499999999995</v>
      </c>
      <c r="Q36" s="73">
        <f t="shared" si="9"/>
        <v>3405.8199999999993</v>
      </c>
      <c r="R36" s="73">
        <f t="shared" si="9"/>
        <v>3382.6199999999994</v>
      </c>
      <c r="S36" s="73">
        <f t="shared" si="9"/>
        <v>3343.7899999999995</v>
      </c>
      <c r="T36" s="73">
        <f t="shared" si="9"/>
        <v>3321.7399999999993</v>
      </c>
      <c r="U36" s="73">
        <f t="shared" si="9"/>
        <v>3171.7399999999993</v>
      </c>
      <c r="V36" s="73">
        <f t="shared" si="9"/>
        <v>3171.7399999999993</v>
      </c>
      <c r="W36" s="73">
        <f t="shared" si="9"/>
        <v>3151.7399999999993</v>
      </c>
      <c r="X36" s="73">
        <f t="shared" si="9"/>
        <v>3123.1899999999991</v>
      </c>
      <c r="Y36" s="73">
        <f t="shared" si="9"/>
        <v>3123.1899999999991</v>
      </c>
      <c r="Z36" s="73">
        <f t="shared" si="9"/>
        <v>3106.559999999999</v>
      </c>
      <c r="AA36" s="73">
        <f t="shared" si="9"/>
        <v>3106.559999999999</v>
      </c>
      <c r="AB36" s="73">
        <f t="shared" si="9"/>
        <v>3106.559999999999</v>
      </c>
      <c r="AC36" s="73">
        <f t="shared" si="9"/>
        <v>3058.579999999999</v>
      </c>
      <c r="AD36" s="73">
        <f t="shared" si="9"/>
        <v>3034.579999999999</v>
      </c>
      <c r="AE36" s="73">
        <f t="shared" si="9"/>
        <v>2930.0099999999989</v>
      </c>
      <c r="AF36" s="73">
        <f t="shared" si="9"/>
        <v>2843.849999999999</v>
      </c>
      <c r="AG36" s="73">
        <f t="shared" si="9"/>
        <v>2843.849999999999</v>
      </c>
      <c r="AH36" s="73">
        <f t="shared" si="9"/>
        <v>2843.849999999999</v>
      </c>
      <c r="AI36" s="73">
        <f t="shared" si="9"/>
        <v>2731.849999999999</v>
      </c>
      <c r="AJ36" s="97"/>
    </row>
    <row r="37" spans="1:36" ht="15.75" customHeight="1" x14ac:dyDescent="0.25">
      <c r="A37" s="96"/>
      <c r="B37" s="83" t="s">
        <v>61</v>
      </c>
      <c r="C37" s="12"/>
      <c r="D37" s="12"/>
      <c r="E37" s="1"/>
      <c r="F37" s="1"/>
      <c r="G37" s="1"/>
      <c r="H37" s="1">
        <v>52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97"/>
    </row>
    <row r="38" spans="1:36" ht="15.75" customHeight="1" x14ac:dyDescent="0.25">
      <c r="A38" s="96"/>
      <c r="B38" s="83" t="s">
        <v>70</v>
      </c>
      <c r="C38" s="12"/>
      <c r="D38" s="12"/>
      <c r="E38" s="1"/>
      <c r="F38" s="1"/>
      <c r="G38" s="1"/>
      <c r="H38" s="1">
        <f>-991.71-233.33</f>
        <v>-1225.04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97"/>
    </row>
    <row r="39" spans="1:36" ht="15.75" customHeight="1" x14ac:dyDescent="0.25">
      <c r="A39" s="96"/>
      <c r="B39" s="83" t="s">
        <v>71</v>
      </c>
      <c r="C39" s="12"/>
      <c r="D39" s="12"/>
      <c r="E39" s="1"/>
      <c r="F39" s="1"/>
      <c r="G39" s="1"/>
      <c r="H39" s="1">
        <v>1082.68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97"/>
    </row>
    <row r="40" spans="1:36" ht="15.75" customHeight="1" x14ac:dyDescent="0.25">
      <c r="A40" s="96"/>
      <c r="B40" s="83" t="s">
        <v>85</v>
      </c>
      <c r="C40" s="12"/>
      <c r="D40" s="12"/>
      <c r="E40" s="1"/>
      <c r="F40" s="1"/>
      <c r="G40" s="1"/>
      <c r="H40" s="1">
        <f>1236.41-233.33</f>
        <v>1003.08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97"/>
    </row>
    <row r="41" spans="1:36" ht="15.75" customHeight="1" x14ac:dyDescent="0.25">
      <c r="A41" s="96"/>
      <c r="B41" s="83" t="s">
        <v>95</v>
      </c>
      <c r="C41" s="12"/>
      <c r="D41" s="12"/>
      <c r="E41" s="1"/>
      <c r="F41" s="1"/>
      <c r="G41" s="1"/>
      <c r="H41" s="1">
        <v>800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97"/>
    </row>
    <row r="42" spans="1:36" ht="15.75" customHeight="1" x14ac:dyDescent="0.25">
      <c r="A42" s="96"/>
      <c r="B42" s="83" t="s">
        <v>73</v>
      </c>
      <c r="C42" s="12"/>
      <c r="D42" s="12"/>
      <c r="E42" s="1"/>
      <c r="F42" s="1"/>
      <c r="G42" s="1"/>
      <c r="H42" s="1">
        <v>1300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97"/>
    </row>
    <row r="43" spans="1:36" ht="15.75" customHeight="1" x14ac:dyDescent="0.25">
      <c r="A43" s="96"/>
      <c r="B43" s="116" t="s">
        <v>63</v>
      </c>
      <c r="C43" s="68"/>
      <c r="D43" s="68"/>
      <c r="E43" s="44"/>
      <c r="F43" s="44"/>
      <c r="G43" s="44"/>
      <c r="H43" s="44">
        <v>892.3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97"/>
    </row>
    <row r="44" spans="1:36" ht="15.75" customHeight="1" x14ac:dyDescent="0.25">
      <c r="A44" s="96"/>
      <c r="B44" s="86" t="s">
        <v>80</v>
      </c>
      <c r="C44" s="12"/>
      <c r="D44" s="50">
        <f t="shared" ref="D44:AI44" si="10">D36</f>
        <v>2314.9499999999989</v>
      </c>
      <c r="E44" s="50">
        <f t="shared" si="10"/>
        <v>2364.9499999999989</v>
      </c>
      <c r="F44" s="50">
        <f t="shared" si="10"/>
        <v>2267.5199999999991</v>
      </c>
      <c r="G44" s="50">
        <f t="shared" si="10"/>
        <v>2244.0199999999991</v>
      </c>
      <c r="H44" s="50">
        <f t="shared" si="10"/>
        <v>2196.0199999999991</v>
      </c>
      <c r="I44" s="50">
        <f t="shared" si="10"/>
        <v>2196.0199999999991</v>
      </c>
      <c r="J44" s="50">
        <f t="shared" si="10"/>
        <v>2158.619999999999</v>
      </c>
      <c r="K44" s="50">
        <f t="shared" si="10"/>
        <v>3665.5199999999991</v>
      </c>
      <c r="L44" s="50">
        <f t="shared" si="10"/>
        <v>3619.619999999999</v>
      </c>
      <c r="M44" s="50">
        <f t="shared" si="10"/>
        <v>3619.619999999999</v>
      </c>
      <c r="N44" s="50">
        <f t="shared" si="10"/>
        <v>3609.1499999999992</v>
      </c>
      <c r="O44" s="50">
        <f t="shared" si="10"/>
        <v>3597.6799999999994</v>
      </c>
      <c r="P44" s="50">
        <f t="shared" si="10"/>
        <v>3529.8499999999995</v>
      </c>
      <c r="Q44" s="50">
        <f t="shared" si="10"/>
        <v>3405.8199999999993</v>
      </c>
      <c r="R44" s="50">
        <f t="shared" si="10"/>
        <v>3382.6199999999994</v>
      </c>
      <c r="S44" s="50">
        <f t="shared" si="10"/>
        <v>3343.7899999999995</v>
      </c>
      <c r="T44" s="50">
        <f t="shared" si="10"/>
        <v>3321.7399999999993</v>
      </c>
      <c r="U44" s="50">
        <f t="shared" si="10"/>
        <v>3171.7399999999993</v>
      </c>
      <c r="V44" s="50">
        <f t="shared" si="10"/>
        <v>3171.7399999999993</v>
      </c>
      <c r="W44" s="50">
        <f t="shared" si="10"/>
        <v>3151.7399999999993</v>
      </c>
      <c r="X44" s="50">
        <f t="shared" si="10"/>
        <v>3123.1899999999991</v>
      </c>
      <c r="Y44" s="50">
        <f t="shared" si="10"/>
        <v>3123.1899999999991</v>
      </c>
      <c r="Z44" s="50">
        <f t="shared" si="10"/>
        <v>3106.559999999999</v>
      </c>
      <c r="AA44" s="73">
        <f t="shared" si="10"/>
        <v>3106.559999999999</v>
      </c>
      <c r="AB44" s="50">
        <f t="shared" si="10"/>
        <v>3106.559999999999</v>
      </c>
      <c r="AC44" s="50">
        <f t="shared" si="10"/>
        <v>3058.579999999999</v>
      </c>
      <c r="AD44" s="50">
        <f t="shared" si="10"/>
        <v>3034.579999999999</v>
      </c>
      <c r="AE44" s="50">
        <f t="shared" si="10"/>
        <v>2930.0099999999989</v>
      </c>
      <c r="AF44" s="50">
        <f t="shared" si="10"/>
        <v>2843.849999999999</v>
      </c>
      <c r="AG44" s="50">
        <f t="shared" si="10"/>
        <v>2843.849999999999</v>
      </c>
      <c r="AH44" s="50">
        <f t="shared" si="10"/>
        <v>2843.849999999999</v>
      </c>
      <c r="AI44" s="50">
        <f t="shared" si="10"/>
        <v>2731.849999999999</v>
      </c>
      <c r="AJ44" s="97"/>
    </row>
    <row r="45" spans="1:36" ht="15.75" customHeight="1" x14ac:dyDescent="0.25">
      <c r="A45" s="96"/>
      <c r="B45" s="117" t="s">
        <v>74</v>
      </c>
      <c r="C45" s="70"/>
      <c r="D45" s="70"/>
      <c r="E45" s="69"/>
      <c r="F45" s="69"/>
      <c r="G45" s="69"/>
      <c r="H45" s="69">
        <f>SUM(H37:H43)</f>
        <v>3905.0200000000004</v>
      </c>
      <c r="I45" s="69"/>
      <c r="J45" s="69"/>
      <c r="K45" s="69"/>
      <c r="L45" s="69"/>
      <c r="M45" s="69"/>
      <c r="N45" s="69"/>
      <c r="O45" s="69"/>
      <c r="P45" s="71"/>
      <c r="Q45" s="71"/>
      <c r="R45" s="71"/>
      <c r="S45" s="71"/>
      <c r="T45" s="71"/>
      <c r="U45" s="69"/>
      <c r="V45" s="71"/>
      <c r="W45" s="71"/>
      <c r="X45" s="71"/>
      <c r="Y45" s="71"/>
      <c r="Z45" s="71"/>
      <c r="AA45" s="1"/>
      <c r="AB45" s="71"/>
      <c r="AC45" s="71"/>
      <c r="AD45" s="71"/>
      <c r="AE45" s="71"/>
      <c r="AF45" s="71"/>
      <c r="AG45" s="71"/>
      <c r="AH45" s="69"/>
      <c r="AI45" s="69"/>
      <c r="AJ45" s="97"/>
    </row>
    <row r="46" spans="1:36" ht="9" customHeight="1" x14ac:dyDescent="0.25">
      <c r="A46" s="96"/>
      <c r="B46" s="97"/>
      <c r="C46" s="127"/>
      <c r="D46" s="12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6"/>
    </row>
    <row r="47" spans="1:36" ht="15.7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6" ht="15.75" customHeight="1" x14ac:dyDescent="0.25">
      <c r="B48" s="1"/>
      <c r="C48" s="1"/>
      <c r="D48" s="1"/>
      <c r="K48" s="5"/>
      <c r="L48" s="5"/>
      <c r="M48" s="5"/>
      <c r="N48" s="128"/>
      <c r="O48" s="5"/>
      <c r="P48" s="5"/>
      <c r="Q48" s="5"/>
      <c r="R48" s="128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2:37" ht="15.75" customHeight="1" x14ac:dyDescent="0.25">
      <c r="B49" s="1"/>
      <c r="C49" s="1"/>
      <c r="D49" s="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2:37" ht="15.75" customHeight="1" x14ac:dyDescent="0.25">
      <c r="B50" s="1"/>
      <c r="C50" s="1"/>
      <c r="D50" s="1"/>
      <c r="E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K50" s="128"/>
    </row>
    <row r="51" spans="2:37" ht="15.75" customHeight="1" x14ac:dyDescent="0.25">
      <c r="B51" s="1"/>
      <c r="C51" s="1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</row>
    <row r="52" spans="2:37" ht="15.75" customHeight="1" x14ac:dyDescent="0.25">
      <c r="B52" s="1"/>
      <c r="C52" s="1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</row>
    <row r="53" spans="2:37" ht="15.75" customHeight="1" x14ac:dyDescent="0.25">
      <c r="C53" s="15"/>
      <c r="D53" s="1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2:37" ht="15.75" customHeight="1" x14ac:dyDescent="0.25">
      <c r="I54" s="1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</row>
    <row r="55" spans="2:37" ht="15.75" customHeight="1" x14ac:dyDescent="0.25"/>
    <row r="56" spans="2:37" ht="15.75" customHeight="1" x14ac:dyDescent="0.25"/>
    <row r="57" spans="2:37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2:37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2:37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7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2:37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2:37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2:37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2:37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2:35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2:35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2:35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2:35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2:35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2:35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2:35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2:35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2:35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2:35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2:35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2:35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2:35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2:35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2:35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2:35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2:35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2:35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2:35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2:35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2:35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2:35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2:35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2:35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2:35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2:35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2:35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2:35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2:35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2:35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2:35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 ht="15.75" customHeight="1" x14ac:dyDescent="0.25"/>
    <row r="247" spans="2:35" ht="15.75" customHeight="1" x14ac:dyDescent="0.25"/>
    <row r="248" spans="2:35" ht="15.75" customHeight="1" x14ac:dyDescent="0.25"/>
    <row r="249" spans="2:35" ht="15.75" customHeight="1" x14ac:dyDescent="0.25"/>
    <row r="250" spans="2:35" ht="15.75" customHeight="1" x14ac:dyDescent="0.25"/>
    <row r="251" spans="2:35" ht="15.75" customHeight="1" x14ac:dyDescent="0.25"/>
    <row r="252" spans="2:35" ht="15.75" customHeight="1" x14ac:dyDescent="0.25"/>
    <row r="253" spans="2:35" ht="15.75" customHeight="1" x14ac:dyDescent="0.25"/>
    <row r="254" spans="2:35" ht="15.75" customHeight="1" x14ac:dyDescent="0.25"/>
    <row r="255" spans="2:35" ht="15.75" customHeight="1" x14ac:dyDescent="0.25"/>
    <row r="256" spans="2:3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38" priority="1" operator="lessThan">
      <formula>0</formula>
    </cfRule>
  </conditionalFormatting>
  <conditionalFormatting sqref="C4">
    <cfRule type="cellIs" dxfId="137" priority="2" operator="greaterThan">
      <formula>0</formula>
    </cfRule>
  </conditionalFormatting>
  <conditionalFormatting sqref="C4">
    <cfRule type="cellIs" dxfId="136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J1001"/>
  <sheetViews>
    <sheetView showGridLines="0" workbookViewId="0">
      <selection activeCell="B29" sqref="B29:D29"/>
    </sheetView>
  </sheetViews>
  <sheetFormatPr defaultColWidth="14.42578125" defaultRowHeight="15" customHeight="1" x14ac:dyDescent="0.25"/>
  <cols>
    <col min="1" max="1" width="1.7109375" customWidth="1"/>
    <col min="2" max="2" width="18.85546875" customWidth="1"/>
    <col min="3" max="3" width="10.140625" customWidth="1"/>
    <col min="4" max="4" width="7.140625" customWidth="1"/>
    <col min="5" max="8" width="8.5703125" customWidth="1"/>
    <col min="9" max="9" width="8.7109375" customWidth="1"/>
    <col min="10" max="10" width="8.5703125" customWidth="1"/>
    <col min="11" max="32" width="10.140625" customWidth="1"/>
    <col min="33" max="33" width="3" customWidth="1"/>
    <col min="34" max="34" width="14.42578125" customWidth="1"/>
    <col min="35" max="35" width="5.5703125" customWidth="1"/>
    <col min="36" max="36" width="5.7109375" customWidth="1"/>
  </cols>
  <sheetData>
    <row r="1" spans="1:36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6" x14ac:dyDescent="0.25">
      <c r="A2" s="96"/>
      <c r="B2" s="74" t="s">
        <v>45</v>
      </c>
      <c r="C2" s="75">
        <f>SUM(C8:C31)</f>
        <v>-1998.1216666666667</v>
      </c>
      <c r="D2" s="12"/>
      <c r="E2" s="48">
        <f t="shared" ref="E2:AF2" si="0">E6/$C$2</f>
        <v>0.1708604664547454</v>
      </c>
      <c r="F2" s="48">
        <f t="shared" si="0"/>
        <v>8.7332019321479416E-3</v>
      </c>
      <c r="G2" s="48">
        <f t="shared" si="0"/>
        <v>0</v>
      </c>
      <c r="H2" s="48">
        <f t="shared" si="0"/>
        <v>8.8493109778934043E-2</v>
      </c>
      <c r="I2" s="48">
        <f t="shared" si="0"/>
        <v>5.6803347810818992E-3</v>
      </c>
      <c r="J2" s="48">
        <f t="shared" si="0"/>
        <v>1.1110434549781336E-2</v>
      </c>
      <c r="K2" s="48">
        <f t="shared" si="0"/>
        <v>1.3462643666176484E-2</v>
      </c>
      <c r="L2" s="48">
        <f t="shared" si="0"/>
        <v>0.31497581478605324</v>
      </c>
      <c r="M2" s="48">
        <f t="shared" si="0"/>
        <v>3.9782362268563881E-2</v>
      </c>
      <c r="N2" s="48">
        <f t="shared" si="0"/>
        <v>0</v>
      </c>
      <c r="O2" s="48">
        <f t="shared" si="0"/>
        <v>1.2907121938687417E-2</v>
      </c>
      <c r="P2" s="48">
        <f t="shared" si="0"/>
        <v>2.4457970110261885E-2</v>
      </c>
      <c r="Q2" s="48">
        <f t="shared" si="0"/>
        <v>2.997815448341901E-2</v>
      </c>
      <c r="R2" s="48">
        <f t="shared" si="0"/>
        <v>2.1700380273807149E-2</v>
      </c>
      <c r="S2" s="48">
        <f t="shared" si="0"/>
        <v>1.7015980842007453E-2</v>
      </c>
      <c r="T2" s="48">
        <f t="shared" si="0"/>
        <v>0</v>
      </c>
      <c r="U2" s="48">
        <f t="shared" si="0"/>
        <v>0</v>
      </c>
      <c r="V2" s="48">
        <f t="shared" si="0"/>
        <v>2.5023501238246254E-3</v>
      </c>
      <c r="W2" s="48">
        <f t="shared" si="0"/>
        <v>0</v>
      </c>
      <c r="X2" s="48">
        <f t="shared" si="0"/>
        <v>0</v>
      </c>
      <c r="Y2" s="48">
        <f t="shared" si="0"/>
        <v>3.7535251857369382E-2</v>
      </c>
      <c r="Z2" s="48">
        <f t="shared" si="0"/>
        <v>0</v>
      </c>
      <c r="AA2" s="48">
        <f t="shared" si="0"/>
        <v>2.4487998311747784E-2</v>
      </c>
      <c r="AB2" s="48">
        <f t="shared" si="0"/>
        <v>8.5079904210037267E-3</v>
      </c>
      <c r="AC2" s="48">
        <f t="shared" si="0"/>
        <v>1.2511750619123126E-2</v>
      </c>
      <c r="AD2" s="48">
        <f t="shared" si="0"/>
        <v>9.9593534928220078E-3</v>
      </c>
      <c r="AE2" s="48">
        <f t="shared" si="0"/>
        <v>5.0047002476492509E-3</v>
      </c>
      <c r="AF2" s="48">
        <f t="shared" si="0"/>
        <v>4.4531822803583032E-2</v>
      </c>
      <c r="AG2" s="97"/>
    </row>
    <row r="3" spans="1:36" hidden="1" x14ac:dyDescent="0.25">
      <c r="A3" s="96"/>
      <c r="B3" s="76"/>
      <c r="C3" s="77"/>
      <c r="D3" s="1"/>
      <c r="E3" s="55" t="str">
        <f t="shared" ref="E3:AF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96"/>
      <c r="AI3" s="78" t="s">
        <v>0</v>
      </c>
      <c r="AJ3" s="1" t="s">
        <v>64</v>
      </c>
    </row>
    <row r="4" spans="1:36" x14ac:dyDescent="0.25">
      <c r="A4" s="96"/>
      <c r="B4" s="79" t="s">
        <v>47</v>
      </c>
      <c r="C4" s="102">
        <f>C33+C2</f>
        <v>237.5783333333336</v>
      </c>
      <c r="D4" s="104" t="s">
        <v>7</v>
      </c>
      <c r="E4" s="105" t="str">
        <f t="shared" ref="E4:AF4" si="2">TEXT(E5,"ddd")</f>
        <v>Fri</v>
      </c>
      <c r="F4" s="105" t="str">
        <f t="shared" si="2"/>
        <v>Sat</v>
      </c>
      <c r="G4" s="105" t="str">
        <f t="shared" si="2"/>
        <v>Sun</v>
      </c>
      <c r="H4" s="105" t="str">
        <f t="shared" si="2"/>
        <v>Mon</v>
      </c>
      <c r="I4" s="105" t="str">
        <f t="shared" si="2"/>
        <v>Tue</v>
      </c>
      <c r="J4" s="105" t="str">
        <f t="shared" si="2"/>
        <v>Wed</v>
      </c>
      <c r="K4" s="105" t="str">
        <f t="shared" si="2"/>
        <v>Thu</v>
      </c>
      <c r="L4" s="105" t="str">
        <f t="shared" si="2"/>
        <v>Fri</v>
      </c>
      <c r="M4" s="105" t="str">
        <f t="shared" si="2"/>
        <v>Sat</v>
      </c>
      <c r="N4" s="105" t="str">
        <f t="shared" si="2"/>
        <v>Sun</v>
      </c>
      <c r="O4" s="105" t="str">
        <f t="shared" si="2"/>
        <v>Mon</v>
      </c>
      <c r="P4" s="105" t="str">
        <f t="shared" si="2"/>
        <v>Tue</v>
      </c>
      <c r="Q4" s="105" t="str">
        <f t="shared" si="2"/>
        <v>Wed</v>
      </c>
      <c r="R4" s="105" t="str">
        <f t="shared" si="2"/>
        <v>Thu</v>
      </c>
      <c r="S4" s="105" t="str">
        <f t="shared" si="2"/>
        <v>Fri</v>
      </c>
      <c r="T4" s="105" t="str">
        <f t="shared" si="2"/>
        <v>Sat</v>
      </c>
      <c r="U4" s="105" t="str">
        <f t="shared" si="2"/>
        <v>Sun</v>
      </c>
      <c r="V4" s="105" t="str">
        <f t="shared" si="2"/>
        <v>Mon</v>
      </c>
      <c r="W4" s="105" t="str">
        <f t="shared" si="2"/>
        <v>Tue</v>
      </c>
      <c r="X4" s="105" t="str">
        <f t="shared" si="2"/>
        <v>Wed</v>
      </c>
      <c r="Y4" s="105" t="str">
        <f t="shared" si="2"/>
        <v>Thu</v>
      </c>
      <c r="Z4" s="105" t="str">
        <f t="shared" si="2"/>
        <v>Fri</v>
      </c>
      <c r="AA4" s="105" t="str">
        <f t="shared" si="2"/>
        <v>Sat</v>
      </c>
      <c r="AB4" s="105" t="str">
        <f t="shared" si="2"/>
        <v>Sun</v>
      </c>
      <c r="AC4" s="105" t="str">
        <f t="shared" si="2"/>
        <v>Mon</v>
      </c>
      <c r="AD4" s="105" t="str">
        <f t="shared" si="2"/>
        <v>Tue</v>
      </c>
      <c r="AE4" s="105" t="str">
        <f t="shared" si="2"/>
        <v>Wed</v>
      </c>
      <c r="AF4" s="105" t="str">
        <f t="shared" si="2"/>
        <v>Thu</v>
      </c>
      <c r="AG4" s="96"/>
      <c r="AI4" s="78">
        <v>2019</v>
      </c>
      <c r="AJ4" s="56">
        <f ca="1">TODAY()</f>
        <v>43926</v>
      </c>
    </row>
    <row r="5" spans="1:36" x14ac:dyDescent="0.25">
      <c r="A5" s="96"/>
      <c r="B5" s="81" t="s">
        <v>51</v>
      </c>
      <c r="C5" s="108">
        <f>C4/C33</f>
        <v>0.10626574823694306</v>
      </c>
      <c r="D5" s="109"/>
      <c r="E5" s="111">
        <f>DATE($AI$4,$AI$6,1)</f>
        <v>43497</v>
      </c>
      <c r="F5" s="111">
        <f t="shared" ref="F5:AF5" si="3">E5+1</f>
        <v>43498</v>
      </c>
      <c r="G5" s="111">
        <f t="shared" si="3"/>
        <v>43499</v>
      </c>
      <c r="H5" s="111">
        <f t="shared" si="3"/>
        <v>43500</v>
      </c>
      <c r="I5" s="111">
        <f t="shared" si="3"/>
        <v>43501</v>
      </c>
      <c r="J5" s="111">
        <f t="shared" si="3"/>
        <v>43502</v>
      </c>
      <c r="K5" s="111">
        <f t="shared" si="3"/>
        <v>43503</v>
      </c>
      <c r="L5" s="111">
        <f t="shared" si="3"/>
        <v>43504</v>
      </c>
      <c r="M5" s="111">
        <f t="shared" si="3"/>
        <v>43505</v>
      </c>
      <c r="N5" s="111">
        <f t="shared" si="3"/>
        <v>43506</v>
      </c>
      <c r="O5" s="111">
        <f t="shared" si="3"/>
        <v>43507</v>
      </c>
      <c r="P5" s="111">
        <f t="shared" si="3"/>
        <v>43508</v>
      </c>
      <c r="Q5" s="111">
        <f t="shared" si="3"/>
        <v>43509</v>
      </c>
      <c r="R5" s="111">
        <f t="shared" si="3"/>
        <v>43510</v>
      </c>
      <c r="S5" s="111">
        <f t="shared" si="3"/>
        <v>43511</v>
      </c>
      <c r="T5" s="111">
        <f t="shared" si="3"/>
        <v>43512</v>
      </c>
      <c r="U5" s="111">
        <f t="shared" si="3"/>
        <v>43513</v>
      </c>
      <c r="V5" s="111">
        <f t="shared" si="3"/>
        <v>43514</v>
      </c>
      <c r="W5" s="111">
        <f t="shared" si="3"/>
        <v>43515</v>
      </c>
      <c r="X5" s="111">
        <f t="shared" si="3"/>
        <v>43516</v>
      </c>
      <c r="Y5" s="111">
        <f t="shared" si="3"/>
        <v>43517</v>
      </c>
      <c r="Z5" s="111">
        <f t="shared" si="3"/>
        <v>43518</v>
      </c>
      <c r="AA5" s="111">
        <f t="shared" si="3"/>
        <v>43519</v>
      </c>
      <c r="AB5" s="111">
        <f t="shared" si="3"/>
        <v>43520</v>
      </c>
      <c r="AC5" s="111">
        <f t="shared" si="3"/>
        <v>43521</v>
      </c>
      <c r="AD5" s="111">
        <f t="shared" si="3"/>
        <v>43522</v>
      </c>
      <c r="AE5" s="111">
        <f t="shared" si="3"/>
        <v>43523</v>
      </c>
      <c r="AF5" s="111">
        <f t="shared" si="3"/>
        <v>43524</v>
      </c>
      <c r="AG5" s="96"/>
      <c r="AI5" s="78" t="s">
        <v>1</v>
      </c>
      <c r="AJ5" s="1" t="str">
        <f ca="1">IF(V5=AJ4,"sim","não")</f>
        <v>não</v>
      </c>
    </row>
    <row r="6" spans="1:36" x14ac:dyDescent="0.25">
      <c r="A6" s="96"/>
      <c r="B6" s="83"/>
      <c r="C6" s="15" t="s">
        <v>62</v>
      </c>
      <c r="D6" s="113">
        <f>SUM(D8:D31)</f>
        <v>1</v>
      </c>
      <c r="E6" s="114">
        <f t="shared" ref="E6:AF6" si="4">SUM(E7:E31)</f>
        <v>-341.4</v>
      </c>
      <c r="F6" s="114">
        <f t="shared" si="4"/>
        <v>-17.45</v>
      </c>
      <c r="G6" s="114">
        <f t="shared" si="4"/>
        <v>0</v>
      </c>
      <c r="H6" s="114">
        <f t="shared" si="4"/>
        <v>-176.82</v>
      </c>
      <c r="I6" s="114">
        <f t="shared" si="4"/>
        <v>-11.35</v>
      </c>
      <c r="J6" s="114">
        <f t="shared" si="4"/>
        <v>-22.2</v>
      </c>
      <c r="K6" s="114">
        <f t="shared" si="4"/>
        <v>-26.9</v>
      </c>
      <c r="L6" s="114">
        <f t="shared" si="4"/>
        <v>-629.36</v>
      </c>
      <c r="M6" s="114">
        <f t="shared" si="4"/>
        <v>-79.489999999999981</v>
      </c>
      <c r="N6" s="114">
        <f t="shared" si="4"/>
        <v>0</v>
      </c>
      <c r="O6" s="114">
        <f t="shared" si="4"/>
        <v>-25.79</v>
      </c>
      <c r="P6" s="114">
        <f t="shared" si="4"/>
        <v>-48.87</v>
      </c>
      <c r="Q6" s="114">
        <f t="shared" si="4"/>
        <v>-59.9</v>
      </c>
      <c r="R6" s="114">
        <f t="shared" si="4"/>
        <v>-43.36</v>
      </c>
      <c r="S6" s="114">
        <f t="shared" si="4"/>
        <v>-34</v>
      </c>
      <c r="T6" s="114">
        <f t="shared" si="4"/>
        <v>0</v>
      </c>
      <c r="U6" s="114">
        <f t="shared" si="4"/>
        <v>0</v>
      </c>
      <c r="V6" s="114">
        <f t="shared" si="4"/>
        <v>-5</v>
      </c>
      <c r="W6" s="114">
        <f t="shared" si="4"/>
        <v>0</v>
      </c>
      <c r="X6" s="114">
        <f t="shared" si="4"/>
        <v>0</v>
      </c>
      <c r="Y6" s="114">
        <f t="shared" si="4"/>
        <v>-75</v>
      </c>
      <c r="Z6" s="114">
        <f t="shared" si="4"/>
        <v>0</v>
      </c>
      <c r="AA6" s="114">
        <f t="shared" si="4"/>
        <v>-48.93</v>
      </c>
      <c r="AB6" s="114">
        <f t="shared" si="4"/>
        <v>-17</v>
      </c>
      <c r="AC6" s="114">
        <f t="shared" si="4"/>
        <v>-25</v>
      </c>
      <c r="AD6" s="114">
        <f t="shared" si="4"/>
        <v>-19.899999999999999</v>
      </c>
      <c r="AE6" s="114">
        <f t="shared" si="4"/>
        <v>-10</v>
      </c>
      <c r="AF6" s="114">
        <f t="shared" si="4"/>
        <v>-88.98</v>
      </c>
      <c r="AG6" s="96"/>
      <c r="AI6" s="78">
        <v>2</v>
      </c>
      <c r="AJ6" s="1"/>
    </row>
    <row r="7" spans="1:36" x14ac:dyDescent="0.25">
      <c r="A7" s="96"/>
      <c r="B7" s="83" t="s">
        <v>90</v>
      </c>
      <c r="C7" s="15"/>
      <c r="D7" s="91" t="s">
        <v>66</v>
      </c>
      <c r="E7" s="92" t="s">
        <v>66</v>
      </c>
      <c r="F7" s="92" t="s">
        <v>66</v>
      </c>
      <c r="G7" s="92" t="s">
        <v>66</v>
      </c>
      <c r="H7" s="92" t="s">
        <v>66</v>
      </c>
      <c r="I7" s="92" t="s">
        <v>66</v>
      </c>
      <c r="J7" s="92" t="s">
        <v>66</v>
      </c>
      <c r="K7" s="92" t="s">
        <v>66</v>
      </c>
      <c r="L7" s="92" t="s">
        <v>66</v>
      </c>
      <c r="M7" s="92" t="s">
        <v>66</v>
      </c>
      <c r="N7" s="92" t="s">
        <v>66</v>
      </c>
      <c r="O7" s="92" t="s">
        <v>66</v>
      </c>
      <c r="P7" s="92" t="s">
        <v>66</v>
      </c>
      <c r="Q7" s="92" t="s">
        <v>66</v>
      </c>
      <c r="R7" s="92">
        <v>-21.9</v>
      </c>
      <c r="S7" s="92" t="s">
        <v>66</v>
      </c>
      <c r="T7" s="92" t="s">
        <v>66</v>
      </c>
      <c r="U7" s="92" t="s">
        <v>66</v>
      </c>
      <c r="V7" s="92" t="s">
        <v>66</v>
      </c>
      <c r="W7" s="92" t="s">
        <v>66</v>
      </c>
      <c r="X7" s="92" t="s">
        <v>66</v>
      </c>
      <c r="Y7" s="92" t="s">
        <v>66</v>
      </c>
      <c r="Z7" s="92" t="s">
        <v>66</v>
      </c>
      <c r="AA7" s="92" t="s">
        <v>66</v>
      </c>
      <c r="AB7" s="92" t="s">
        <v>66</v>
      </c>
      <c r="AC7" s="92">
        <v>-25</v>
      </c>
      <c r="AD7" s="92">
        <v>-19.899999999999999</v>
      </c>
      <c r="AE7" s="92" t="s">
        <v>66</v>
      </c>
      <c r="AF7" s="92" t="s">
        <v>66</v>
      </c>
      <c r="AG7" s="96" t="s">
        <v>66</v>
      </c>
      <c r="AI7" s="78"/>
      <c r="AJ7" s="1"/>
    </row>
    <row r="8" spans="1:36" x14ac:dyDescent="0.25">
      <c r="A8" s="96"/>
      <c r="B8" s="86" t="s">
        <v>20</v>
      </c>
      <c r="C8" s="87">
        <f t="shared" ref="C8:C33" si="5">SUM(E8:AF8)</f>
        <v>-150.9</v>
      </c>
      <c r="D8" s="88">
        <f t="shared" ref="D8:D32" si="6">C8/$C$2</f>
        <v>7.5520926737027191E-2</v>
      </c>
      <c r="E8" s="89" t="s">
        <v>66</v>
      </c>
      <c r="F8" s="89" t="s">
        <v>66</v>
      </c>
      <c r="G8" s="89" t="s">
        <v>66</v>
      </c>
      <c r="H8" s="89" t="s">
        <v>66</v>
      </c>
      <c r="I8" s="89" t="s">
        <v>66</v>
      </c>
      <c r="J8" s="89" t="s">
        <v>66</v>
      </c>
      <c r="K8" s="89">
        <v>-16.899999999999999</v>
      </c>
      <c r="L8" s="89">
        <v>-15</v>
      </c>
      <c r="M8" s="89">
        <v>-47.3</v>
      </c>
      <c r="N8" s="89" t="s">
        <v>66</v>
      </c>
      <c r="O8" s="89">
        <v>-16.899999999999999</v>
      </c>
      <c r="P8" s="89">
        <v>-4.9000000000000004</v>
      </c>
      <c r="Q8" s="89" t="s">
        <v>66</v>
      </c>
      <c r="R8" s="89" t="s">
        <v>66</v>
      </c>
      <c r="S8" s="89">
        <v>-14</v>
      </c>
      <c r="T8" s="89" t="s">
        <v>66</v>
      </c>
      <c r="U8" s="89" t="s">
        <v>66</v>
      </c>
      <c r="V8" s="89" t="s">
        <v>66</v>
      </c>
      <c r="W8" s="89" t="s">
        <v>66</v>
      </c>
      <c r="X8" s="89" t="s">
        <v>66</v>
      </c>
      <c r="Y8" s="89" t="s">
        <v>66</v>
      </c>
      <c r="Z8" s="89" t="s">
        <v>66</v>
      </c>
      <c r="AA8" s="89">
        <v>-14.9</v>
      </c>
      <c r="AB8" s="89" t="s">
        <v>66</v>
      </c>
      <c r="AC8" s="89" t="s">
        <v>66</v>
      </c>
      <c r="AD8" s="89" t="s">
        <v>66</v>
      </c>
      <c r="AE8" s="89" t="s">
        <v>66</v>
      </c>
      <c r="AF8" s="89">
        <v>-21</v>
      </c>
      <c r="AG8" s="97"/>
    </row>
    <row r="9" spans="1:36" x14ac:dyDescent="0.25">
      <c r="A9" s="96"/>
      <c r="B9" s="86" t="s">
        <v>21</v>
      </c>
      <c r="C9" s="87">
        <f t="shared" si="5"/>
        <v>-39.25</v>
      </c>
      <c r="D9" s="91">
        <f t="shared" si="6"/>
        <v>1.964344847202331E-2</v>
      </c>
      <c r="E9" s="92" t="s">
        <v>66</v>
      </c>
      <c r="F9" s="92">
        <v>-17.45</v>
      </c>
      <c r="G9" s="92" t="s">
        <v>66</v>
      </c>
      <c r="H9" s="92" t="s">
        <v>66</v>
      </c>
      <c r="I9" s="92" t="s">
        <v>66</v>
      </c>
      <c r="J9" s="92" t="s">
        <v>66</v>
      </c>
      <c r="K9" s="92" t="s">
        <v>66</v>
      </c>
      <c r="L9" s="92">
        <v>-10.9</v>
      </c>
      <c r="M9" s="92">
        <v>-10.9</v>
      </c>
      <c r="N9" s="92" t="s">
        <v>66</v>
      </c>
      <c r="O9" s="92" t="s">
        <v>66</v>
      </c>
      <c r="P9" s="92" t="s">
        <v>66</v>
      </c>
      <c r="Q9" s="92" t="s">
        <v>66</v>
      </c>
      <c r="R9" s="92" t="s">
        <v>66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 t="s">
        <v>66</v>
      </c>
      <c r="Z9" s="92" t="s">
        <v>66</v>
      </c>
      <c r="AA9" s="92" t="s">
        <v>66</v>
      </c>
      <c r="AB9" s="92" t="s">
        <v>66</v>
      </c>
      <c r="AC9" s="92" t="s">
        <v>66</v>
      </c>
      <c r="AD9" s="92" t="s">
        <v>66</v>
      </c>
      <c r="AE9" s="92" t="s">
        <v>66</v>
      </c>
      <c r="AF9" s="92" t="s">
        <v>66</v>
      </c>
      <c r="AG9" s="97"/>
      <c r="AI9" s="54"/>
    </row>
    <row r="10" spans="1:36" x14ac:dyDescent="0.25">
      <c r="A10" s="96"/>
      <c r="B10" s="86" t="s">
        <v>91</v>
      </c>
      <c r="C10" s="87">
        <f t="shared" si="5"/>
        <v>0</v>
      </c>
      <c r="D10" s="93">
        <f t="shared" si="6"/>
        <v>0</v>
      </c>
      <c r="E10" s="94" t="s">
        <v>66</v>
      </c>
      <c r="F10" s="94" t="s">
        <v>66</v>
      </c>
      <c r="G10" s="94" t="s">
        <v>66</v>
      </c>
      <c r="H10" s="94" t="s">
        <v>66</v>
      </c>
      <c r="I10" s="94" t="s">
        <v>66</v>
      </c>
      <c r="J10" s="94" t="s">
        <v>66</v>
      </c>
      <c r="K10" s="94" t="s">
        <v>66</v>
      </c>
      <c r="L10" s="94" t="s">
        <v>66</v>
      </c>
      <c r="M10" s="94" t="s">
        <v>66</v>
      </c>
      <c r="N10" s="94" t="s">
        <v>66</v>
      </c>
      <c r="O10" s="94" t="s">
        <v>66</v>
      </c>
      <c r="P10" s="94" t="s">
        <v>66</v>
      </c>
      <c r="Q10" s="94" t="s">
        <v>66</v>
      </c>
      <c r="R10" s="94" t="s">
        <v>66</v>
      </c>
      <c r="S10" s="94" t="s">
        <v>66</v>
      </c>
      <c r="T10" s="94" t="s">
        <v>66</v>
      </c>
      <c r="U10" s="94" t="s">
        <v>66</v>
      </c>
      <c r="V10" s="94" t="s">
        <v>66</v>
      </c>
      <c r="W10" s="94" t="s">
        <v>66</v>
      </c>
      <c r="X10" s="94" t="s">
        <v>66</v>
      </c>
      <c r="Y10" s="94" t="s">
        <v>66</v>
      </c>
      <c r="Z10" s="94" t="s">
        <v>66</v>
      </c>
      <c r="AA10" s="94" t="s">
        <v>66</v>
      </c>
      <c r="AB10" s="94" t="s">
        <v>66</v>
      </c>
      <c r="AC10" s="94" t="s">
        <v>66</v>
      </c>
      <c r="AD10" s="94" t="s">
        <v>66</v>
      </c>
      <c r="AE10" s="94" t="s">
        <v>66</v>
      </c>
      <c r="AF10" s="94" t="s">
        <v>66</v>
      </c>
      <c r="AG10" s="97"/>
      <c r="AI10" s="54"/>
    </row>
    <row r="11" spans="1:36" x14ac:dyDescent="0.25">
      <c r="A11" s="96"/>
      <c r="B11" s="86" t="s">
        <v>22</v>
      </c>
      <c r="C11" s="87">
        <f t="shared" si="5"/>
        <v>-9</v>
      </c>
      <c r="D11" s="91">
        <f t="shared" si="6"/>
        <v>4.5042302228843253E-3</v>
      </c>
      <c r="E11" s="92" t="s">
        <v>66</v>
      </c>
      <c r="F11" s="92" t="s">
        <v>66</v>
      </c>
      <c r="G11" s="92" t="s">
        <v>66</v>
      </c>
      <c r="H11" s="92" t="s">
        <v>66</v>
      </c>
      <c r="I11" s="92" t="s">
        <v>66</v>
      </c>
      <c r="J11" s="92" t="s">
        <v>66</v>
      </c>
      <c r="K11" s="92" t="s">
        <v>66</v>
      </c>
      <c r="L11" s="92">
        <v>-4</v>
      </c>
      <c r="M11" s="92" t="s">
        <v>66</v>
      </c>
      <c r="N11" s="92" t="s">
        <v>66</v>
      </c>
      <c r="O11" s="92" t="s">
        <v>66</v>
      </c>
      <c r="P11" s="92" t="s">
        <v>66</v>
      </c>
      <c r="Q11" s="92" t="s">
        <v>66</v>
      </c>
      <c r="R11" s="92" t="s">
        <v>66</v>
      </c>
      <c r="S11" s="92" t="s">
        <v>66</v>
      </c>
      <c r="T11" s="92" t="s">
        <v>66</v>
      </c>
      <c r="U11" s="92" t="s">
        <v>66</v>
      </c>
      <c r="V11" s="92">
        <v>-5</v>
      </c>
      <c r="W11" s="92" t="s">
        <v>66</v>
      </c>
      <c r="X11" s="92" t="s">
        <v>66</v>
      </c>
      <c r="Y11" s="92" t="s">
        <v>66</v>
      </c>
      <c r="Z11" s="92" t="s">
        <v>66</v>
      </c>
      <c r="AA11" s="92" t="s">
        <v>66</v>
      </c>
      <c r="AB11" s="92" t="s">
        <v>66</v>
      </c>
      <c r="AC11" s="92" t="s">
        <v>66</v>
      </c>
      <c r="AD11" s="92" t="s">
        <v>66</v>
      </c>
      <c r="AE11" s="92" t="s">
        <v>66</v>
      </c>
      <c r="AF11" s="92" t="s">
        <v>66</v>
      </c>
      <c r="AG11" s="97"/>
      <c r="AI11" s="54"/>
    </row>
    <row r="12" spans="1:36" x14ac:dyDescent="0.25">
      <c r="A12" s="96"/>
      <c r="B12" s="86" t="s">
        <v>23</v>
      </c>
      <c r="C12" s="87">
        <f t="shared" si="5"/>
        <v>-8.5</v>
      </c>
      <c r="D12" s="93">
        <f t="shared" si="6"/>
        <v>4.2539952105018633E-3</v>
      </c>
      <c r="E12" s="94" t="s">
        <v>66</v>
      </c>
      <c r="F12" s="94" t="s">
        <v>66</v>
      </c>
      <c r="G12" s="94" t="s">
        <v>66</v>
      </c>
      <c r="H12" s="94" t="s">
        <v>66</v>
      </c>
      <c r="I12" s="94" t="s">
        <v>66</v>
      </c>
      <c r="J12" s="94" t="s">
        <v>66</v>
      </c>
      <c r="K12" s="94" t="s">
        <v>66</v>
      </c>
      <c r="L12" s="94" t="s">
        <v>66</v>
      </c>
      <c r="M12" s="94" t="s">
        <v>66</v>
      </c>
      <c r="N12" s="94" t="s">
        <v>66</v>
      </c>
      <c r="O12" s="94" t="s">
        <v>66</v>
      </c>
      <c r="P12" s="94" t="s">
        <v>66</v>
      </c>
      <c r="Q12" s="94" t="s">
        <v>66</v>
      </c>
      <c r="R12" s="94" t="s">
        <v>66</v>
      </c>
      <c r="S12" s="94" t="s">
        <v>66</v>
      </c>
      <c r="T12" s="94" t="s">
        <v>66</v>
      </c>
      <c r="U12" s="94" t="s">
        <v>66</v>
      </c>
      <c r="V12" s="94" t="s">
        <v>66</v>
      </c>
      <c r="W12" s="94" t="s">
        <v>66</v>
      </c>
      <c r="X12" s="94" t="s">
        <v>66</v>
      </c>
      <c r="Y12" s="94" t="s">
        <v>66</v>
      </c>
      <c r="Z12" s="94" t="s">
        <v>66</v>
      </c>
      <c r="AA12" s="94" t="s">
        <v>66</v>
      </c>
      <c r="AB12" s="94" t="s">
        <v>66</v>
      </c>
      <c r="AC12" s="94" t="s">
        <v>66</v>
      </c>
      <c r="AD12" s="94" t="s">
        <v>66</v>
      </c>
      <c r="AE12" s="94" t="s">
        <v>66</v>
      </c>
      <c r="AF12" s="94">
        <v>-8.5</v>
      </c>
      <c r="AG12" s="97"/>
    </row>
    <row r="13" spans="1:36" x14ac:dyDescent="0.25">
      <c r="A13" s="96"/>
      <c r="B13" s="86" t="s">
        <v>81</v>
      </c>
      <c r="C13" s="87">
        <f t="shared" si="5"/>
        <v>-40</v>
      </c>
      <c r="D13" s="91">
        <f t="shared" si="6"/>
        <v>2.0018800990597004E-2</v>
      </c>
      <c r="E13" s="92" t="s">
        <v>66</v>
      </c>
      <c r="F13" s="92" t="s">
        <v>66</v>
      </c>
      <c r="G13" s="92" t="s">
        <v>66</v>
      </c>
      <c r="H13" s="92" t="s">
        <v>66</v>
      </c>
      <c r="I13" s="92" t="s">
        <v>66</v>
      </c>
      <c r="J13" s="92" t="s">
        <v>66</v>
      </c>
      <c r="K13" s="92" t="s">
        <v>66</v>
      </c>
      <c r="L13" s="92" t="s">
        <v>66</v>
      </c>
      <c r="M13" s="92">
        <v>-10</v>
      </c>
      <c r="N13" s="92" t="s">
        <v>66</v>
      </c>
      <c r="O13" s="92" t="s">
        <v>66</v>
      </c>
      <c r="P13" s="92" t="s">
        <v>66</v>
      </c>
      <c r="Q13" s="92">
        <v>-20</v>
      </c>
      <c r="R13" s="92" t="s">
        <v>66</v>
      </c>
      <c r="S13" s="92" t="s">
        <v>66</v>
      </c>
      <c r="T13" s="92" t="s">
        <v>66</v>
      </c>
      <c r="U13" s="92" t="s">
        <v>66</v>
      </c>
      <c r="V13" s="92" t="s">
        <v>66</v>
      </c>
      <c r="W13" s="92" t="s">
        <v>66</v>
      </c>
      <c r="X13" s="92" t="s">
        <v>66</v>
      </c>
      <c r="Y13" s="92" t="s">
        <v>66</v>
      </c>
      <c r="Z13" s="92" t="s">
        <v>66</v>
      </c>
      <c r="AA13" s="92" t="s">
        <v>66</v>
      </c>
      <c r="AB13" s="92" t="s">
        <v>66</v>
      </c>
      <c r="AC13" s="92" t="s">
        <v>66</v>
      </c>
      <c r="AD13" s="92" t="s">
        <v>66</v>
      </c>
      <c r="AE13" s="92">
        <v>-10</v>
      </c>
      <c r="AF13" s="92" t="s">
        <v>66</v>
      </c>
      <c r="AG13" s="97"/>
    </row>
    <row r="14" spans="1:36" x14ac:dyDescent="0.25">
      <c r="A14" s="96"/>
      <c r="B14" s="86" t="s">
        <v>24</v>
      </c>
      <c r="C14" s="87">
        <f t="shared" si="5"/>
        <v>-268.5</v>
      </c>
      <c r="D14" s="93">
        <f t="shared" si="6"/>
        <v>0.13437620164938238</v>
      </c>
      <c r="E14" s="94" t="s">
        <v>66</v>
      </c>
      <c r="F14" s="94" t="s">
        <v>66</v>
      </c>
      <c r="G14" s="94" t="s">
        <v>66</v>
      </c>
      <c r="H14" s="94">
        <v>-176.82</v>
      </c>
      <c r="I14" s="94">
        <v>-11.35</v>
      </c>
      <c r="J14" s="94" t="s">
        <v>66</v>
      </c>
      <c r="K14" s="94" t="s">
        <v>66</v>
      </c>
      <c r="L14" s="94">
        <v>-17.559999999999999</v>
      </c>
      <c r="M14" s="94">
        <v>-11.29</v>
      </c>
      <c r="N14" s="94" t="s">
        <v>66</v>
      </c>
      <c r="O14" s="94" t="s">
        <v>66</v>
      </c>
      <c r="P14" s="94" t="s">
        <v>66</v>
      </c>
      <c r="Q14" s="94" t="s">
        <v>66</v>
      </c>
      <c r="R14" s="94">
        <v>-21.46</v>
      </c>
      <c r="S14" s="94" t="s">
        <v>66</v>
      </c>
      <c r="T14" s="94" t="s">
        <v>66</v>
      </c>
      <c r="U14" s="94" t="s">
        <v>66</v>
      </c>
      <c r="V14" s="133" t="s">
        <v>66</v>
      </c>
      <c r="W14" s="94" t="s">
        <v>66</v>
      </c>
      <c r="X14" s="94" t="s">
        <v>66</v>
      </c>
      <c r="Y14" s="94" t="s">
        <v>66</v>
      </c>
      <c r="Z14" s="94" t="s">
        <v>66</v>
      </c>
      <c r="AA14" s="94">
        <v>-24.03</v>
      </c>
      <c r="AB14" s="94" t="s">
        <v>66</v>
      </c>
      <c r="AC14" s="94" t="s">
        <v>66</v>
      </c>
      <c r="AD14" s="94" t="s">
        <v>66</v>
      </c>
      <c r="AE14" s="94" t="s">
        <v>66</v>
      </c>
      <c r="AF14" s="94">
        <v>-5.99</v>
      </c>
      <c r="AG14" s="97"/>
    </row>
    <row r="15" spans="1:36" x14ac:dyDescent="0.25">
      <c r="A15" s="96"/>
      <c r="B15" s="86" t="s">
        <v>27</v>
      </c>
      <c r="C15" s="87">
        <f t="shared" si="5"/>
        <v>-8.89</v>
      </c>
      <c r="D15" s="91">
        <f t="shared" si="6"/>
        <v>4.4491785201601838E-3</v>
      </c>
      <c r="E15" s="92" t="s">
        <v>66</v>
      </c>
      <c r="F15" s="92" t="s">
        <v>66</v>
      </c>
      <c r="G15" s="92" t="s">
        <v>66</v>
      </c>
      <c r="H15" s="92" t="s">
        <v>66</v>
      </c>
      <c r="I15" s="92" t="s">
        <v>77</v>
      </c>
      <c r="J15" s="92" t="s">
        <v>66</v>
      </c>
      <c r="K15" s="92" t="s">
        <v>66</v>
      </c>
      <c r="L15" s="92" t="s">
        <v>66</v>
      </c>
      <c r="M15" s="92" t="s">
        <v>66</v>
      </c>
      <c r="N15" s="92" t="s">
        <v>66</v>
      </c>
      <c r="O15" s="92">
        <v>-8.89</v>
      </c>
      <c r="P15" s="92" t="s">
        <v>68</v>
      </c>
      <c r="Q15" s="92" t="s">
        <v>66</v>
      </c>
      <c r="R15" s="92" t="s">
        <v>66</v>
      </c>
      <c r="S15" s="92" t="s">
        <v>66</v>
      </c>
      <c r="T15" s="92" t="s">
        <v>66</v>
      </c>
      <c r="U15" s="92" t="s">
        <v>66</v>
      </c>
      <c r="V15" s="92" t="s">
        <v>66</v>
      </c>
      <c r="W15" s="92" t="s">
        <v>97</v>
      </c>
      <c r="X15" s="92" t="s">
        <v>66</v>
      </c>
      <c r="Y15" s="92" t="s">
        <v>66</v>
      </c>
      <c r="Z15" s="92" t="s">
        <v>66</v>
      </c>
      <c r="AA15" s="92" t="s">
        <v>66</v>
      </c>
      <c r="AB15" s="92" t="s">
        <v>66</v>
      </c>
      <c r="AC15" s="92" t="s">
        <v>66</v>
      </c>
      <c r="AD15" s="92" t="s">
        <v>68</v>
      </c>
      <c r="AE15" s="92" t="s">
        <v>66</v>
      </c>
      <c r="AF15" s="92" t="s">
        <v>66</v>
      </c>
      <c r="AG15" s="97"/>
    </row>
    <row r="16" spans="1:36" x14ac:dyDescent="0.25">
      <c r="A16" s="96"/>
      <c r="B16" s="86" t="s">
        <v>28</v>
      </c>
      <c r="C16" s="87">
        <f t="shared" si="5"/>
        <v>-30</v>
      </c>
      <c r="D16" s="93">
        <f t="shared" si="6"/>
        <v>1.5014100742947751E-2</v>
      </c>
      <c r="E16" s="94" t="s">
        <v>66</v>
      </c>
      <c r="F16" s="94" t="s">
        <v>66</v>
      </c>
      <c r="G16" s="94" t="s">
        <v>66</v>
      </c>
      <c r="H16" s="94" t="s">
        <v>66</v>
      </c>
      <c r="I16" s="94" t="s">
        <v>66</v>
      </c>
      <c r="J16" s="94" t="s">
        <v>66</v>
      </c>
      <c r="K16" s="94" t="s">
        <v>66</v>
      </c>
      <c r="L16" s="94" t="s">
        <v>66</v>
      </c>
      <c r="M16" s="94" t="s">
        <v>66</v>
      </c>
      <c r="N16" s="94" t="s">
        <v>66</v>
      </c>
      <c r="O16" s="94" t="s">
        <v>66</v>
      </c>
      <c r="P16" s="94" t="s">
        <v>66</v>
      </c>
      <c r="Q16" s="94" t="s">
        <v>66</v>
      </c>
      <c r="R16" s="94" t="s">
        <v>66</v>
      </c>
      <c r="S16" s="94" t="s">
        <v>66</v>
      </c>
      <c r="T16" s="94" t="s">
        <v>66</v>
      </c>
      <c r="U16" s="94" t="s">
        <v>66</v>
      </c>
      <c r="V16" s="94" t="s">
        <v>66</v>
      </c>
      <c r="W16" s="94" t="s">
        <v>66</v>
      </c>
      <c r="X16" s="94" t="s">
        <v>66</v>
      </c>
      <c r="Y16" s="94">
        <v>-30</v>
      </c>
      <c r="Z16" s="94" t="s">
        <v>66</v>
      </c>
      <c r="AA16" s="94" t="s">
        <v>66</v>
      </c>
      <c r="AB16" s="94" t="s">
        <v>66</v>
      </c>
      <c r="AC16" s="94" t="s">
        <v>66</v>
      </c>
      <c r="AD16" s="94" t="s">
        <v>66</v>
      </c>
      <c r="AE16" s="94" t="s">
        <v>66</v>
      </c>
      <c r="AF16" s="94" t="s">
        <v>66</v>
      </c>
      <c r="AG16" s="97"/>
    </row>
    <row r="17" spans="1:36" x14ac:dyDescent="0.25">
      <c r="A17" s="96"/>
      <c r="B17" s="86" t="s">
        <v>89</v>
      </c>
      <c r="C17" s="87">
        <f t="shared" si="5"/>
        <v>-45</v>
      </c>
      <c r="D17" s="91">
        <f t="shared" si="6"/>
        <v>2.2521151114421628E-2</v>
      </c>
      <c r="E17" s="92" t="s">
        <v>66</v>
      </c>
      <c r="F17" s="92" t="s">
        <v>66</v>
      </c>
      <c r="G17" s="92" t="s">
        <v>66</v>
      </c>
      <c r="H17" s="92" t="s">
        <v>66</v>
      </c>
      <c r="I17" s="92" t="s">
        <v>66</v>
      </c>
      <c r="J17" s="92" t="s">
        <v>66</v>
      </c>
      <c r="K17" s="92">
        <v>-10</v>
      </c>
      <c r="L17" s="92">
        <v>-5</v>
      </c>
      <c r="M17" s="92" t="s">
        <v>66</v>
      </c>
      <c r="N17" s="92" t="s">
        <v>66</v>
      </c>
      <c r="O17" s="92" t="s">
        <v>66</v>
      </c>
      <c r="P17" s="92" t="s">
        <v>66</v>
      </c>
      <c r="Q17" s="92">
        <v>-10</v>
      </c>
      <c r="R17" s="92" t="s">
        <v>66</v>
      </c>
      <c r="S17" s="92">
        <v>-20</v>
      </c>
      <c r="T17" s="92" t="s">
        <v>66</v>
      </c>
      <c r="U17" s="92" t="s">
        <v>66</v>
      </c>
      <c r="V17" s="92" t="s">
        <v>66</v>
      </c>
      <c r="W17" s="92" t="s">
        <v>66</v>
      </c>
      <c r="X17" s="92" t="s">
        <v>66</v>
      </c>
      <c r="Y17" s="92" t="s">
        <v>66</v>
      </c>
      <c r="Z17" s="92" t="s">
        <v>66</v>
      </c>
      <c r="AA17" s="92" t="s">
        <v>66</v>
      </c>
      <c r="AB17" s="92" t="s">
        <v>66</v>
      </c>
      <c r="AC17" s="92" t="s">
        <v>66</v>
      </c>
      <c r="AD17" s="92" t="s">
        <v>66</v>
      </c>
      <c r="AE17" s="92" t="s">
        <v>66</v>
      </c>
      <c r="AF17" s="92" t="s">
        <v>66</v>
      </c>
      <c r="AG17" s="97"/>
    </row>
    <row r="18" spans="1:36" x14ac:dyDescent="0.25">
      <c r="A18" s="96"/>
      <c r="B18" s="86" t="s">
        <v>29</v>
      </c>
      <c r="C18" s="87">
        <f t="shared" si="5"/>
        <v>-76.89</v>
      </c>
      <c r="D18" s="93">
        <f t="shared" si="6"/>
        <v>3.8481140204175091E-2</v>
      </c>
      <c r="E18" s="94" t="s">
        <v>66</v>
      </c>
      <c r="F18" s="94" t="s">
        <v>66</v>
      </c>
      <c r="G18" s="94" t="s">
        <v>66</v>
      </c>
      <c r="H18" s="94" t="s">
        <v>66</v>
      </c>
      <c r="I18" s="94" t="s">
        <v>66</v>
      </c>
      <c r="J18" s="94" t="s">
        <v>66</v>
      </c>
      <c r="K18" s="94" t="s">
        <v>66</v>
      </c>
      <c r="L18" s="94">
        <v>-26.9</v>
      </c>
      <c r="M18" s="94" t="s">
        <v>66</v>
      </c>
      <c r="N18" s="94" t="s">
        <v>66</v>
      </c>
      <c r="O18" s="94" t="s">
        <v>66</v>
      </c>
      <c r="P18" s="94" t="s">
        <v>66</v>
      </c>
      <c r="Q18" s="94" t="s">
        <v>66</v>
      </c>
      <c r="R18" s="94" t="s">
        <v>66</v>
      </c>
      <c r="S18" s="94" t="s">
        <v>66</v>
      </c>
      <c r="T18" s="94" t="s">
        <v>66</v>
      </c>
      <c r="U18" s="94" t="s">
        <v>66</v>
      </c>
      <c r="V18" s="94" t="s">
        <v>66</v>
      </c>
      <c r="W18" s="94" t="s">
        <v>66</v>
      </c>
      <c r="X18" s="94" t="s">
        <v>66</v>
      </c>
      <c r="Y18" s="94" t="s">
        <v>66</v>
      </c>
      <c r="Z18" s="94" t="s">
        <v>66</v>
      </c>
      <c r="AA18" s="94" t="s">
        <v>66</v>
      </c>
      <c r="AB18" s="94" t="s">
        <v>66</v>
      </c>
      <c r="AC18" s="94" t="s">
        <v>66</v>
      </c>
      <c r="AD18" s="94" t="s">
        <v>66</v>
      </c>
      <c r="AE18" s="94" t="s">
        <v>66</v>
      </c>
      <c r="AF18" s="94">
        <v>-49.99</v>
      </c>
      <c r="AG18" s="97"/>
    </row>
    <row r="19" spans="1:36" x14ac:dyDescent="0.25">
      <c r="A19" s="96"/>
      <c r="B19" s="86" t="s">
        <v>31</v>
      </c>
      <c r="C19" s="87">
        <f t="shared" si="5"/>
        <v>-206.4</v>
      </c>
      <c r="D19" s="91">
        <f t="shared" si="6"/>
        <v>0.10329701311148054</v>
      </c>
      <c r="E19" s="92">
        <v>-206.4</v>
      </c>
      <c r="F19" s="92" t="s">
        <v>66</v>
      </c>
      <c r="G19" s="92" t="s">
        <v>66</v>
      </c>
      <c r="H19" s="92" t="s">
        <v>66</v>
      </c>
      <c r="I19" s="92" t="s">
        <v>66</v>
      </c>
      <c r="J19" s="92" t="s">
        <v>66</v>
      </c>
      <c r="K19" s="92" t="s">
        <v>66</v>
      </c>
      <c r="L19" s="92" t="s">
        <v>66</v>
      </c>
      <c r="M19" s="92" t="s">
        <v>66</v>
      </c>
      <c r="N19" s="92" t="s">
        <v>66</v>
      </c>
      <c r="O19" s="92" t="s">
        <v>66</v>
      </c>
      <c r="P19" s="92" t="s">
        <v>66</v>
      </c>
      <c r="Q19" s="92" t="s">
        <v>66</v>
      </c>
      <c r="R19" s="92" t="s">
        <v>66</v>
      </c>
      <c r="S19" s="92" t="s">
        <v>66</v>
      </c>
      <c r="T19" s="92" t="s">
        <v>66</v>
      </c>
      <c r="U19" s="92" t="s">
        <v>66</v>
      </c>
      <c r="V19" s="92" t="s">
        <v>66</v>
      </c>
      <c r="W19" s="92" t="s">
        <v>66</v>
      </c>
      <c r="X19" s="92" t="s">
        <v>66</v>
      </c>
      <c r="Y19" s="92" t="s">
        <v>66</v>
      </c>
      <c r="Z19" s="92" t="s">
        <v>66</v>
      </c>
      <c r="AA19" s="92" t="s">
        <v>66</v>
      </c>
      <c r="AB19" s="92" t="s">
        <v>66</v>
      </c>
      <c r="AC19" s="92" t="s">
        <v>66</v>
      </c>
      <c r="AD19" s="92" t="s">
        <v>66</v>
      </c>
      <c r="AE19" s="92" t="s">
        <v>66</v>
      </c>
      <c r="AF19" s="92" t="s">
        <v>66</v>
      </c>
      <c r="AG19" s="97"/>
    </row>
    <row r="20" spans="1:36" x14ac:dyDescent="0.25">
      <c r="A20" s="96"/>
      <c r="B20" s="86" t="s">
        <v>32</v>
      </c>
      <c r="C20" s="87">
        <f t="shared" si="5"/>
        <v>-135</v>
      </c>
      <c r="D20" s="93">
        <f t="shared" si="6"/>
        <v>6.7563453343264884E-2</v>
      </c>
      <c r="E20" s="94">
        <v>-135</v>
      </c>
      <c r="F20" s="94" t="s">
        <v>66</v>
      </c>
      <c r="G20" s="94" t="s">
        <v>66</v>
      </c>
      <c r="H20" s="94" t="s">
        <v>66</v>
      </c>
      <c r="I20" s="94" t="s">
        <v>66</v>
      </c>
      <c r="J20" s="94" t="s">
        <v>66</v>
      </c>
      <c r="K20" s="94" t="s">
        <v>66</v>
      </c>
      <c r="L20" s="94" t="s">
        <v>66</v>
      </c>
      <c r="M20" s="94" t="s">
        <v>66</v>
      </c>
      <c r="N20" s="94" t="s">
        <v>66</v>
      </c>
      <c r="O20" s="94" t="s">
        <v>66</v>
      </c>
      <c r="P20" s="94" t="s">
        <v>66</v>
      </c>
      <c r="Q20" s="94" t="s">
        <v>66</v>
      </c>
      <c r="R20" s="94" t="s">
        <v>66</v>
      </c>
      <c r="S20" s="94" t="s">
        <v>66</v>
      </c>
      <c r="T20" s="94" t="s">
        <v>66</v>
      </c>
      <c r="U20" s="94" t="s">
        <v>66</v>
      </c>
      <c r="V20" s="94" t="s">
        <v>66</v>
      </c>
      <c r="W20" s="94" t="s">
        <v>66</v>
      </c>
      <c r="X20" s="94" t="s">
        <v>66</v>
      </c>
      <c r="Y20" s="94" t="s">
        <v>66</v>
      </c>
      <c r="Z20" s="94" t="s">
        <v>66</v>
      </c>
      <c r="AA20" s="94" t="s">
        <v>66</v>
      </c>
      <c r="AB20" s="94" t="s">
        <v>66</v>
      </c>
      <c r="AC20" s="94" t="s">
        <v>66</v>
      </c>
      <c r="AD20" s="94" t="s">
        <v>66</v>
      </c>
      <c r="AE20" s="94" t="s">
        <v>66</v>
      </c>
      <c r="AF20" s="94" t="s">
        <v>66</v>
      </c>
      <c r="AG20" s="97"/>
    </row>
    <row r="21" spans="1:36" ht="15.75" customHeight="1" x14ac:dyDescent="0.25">
      <c r="A21" s="96"/>
      <c r="B21" s="86" t="s">
        <v>33</v>
      </c>
      <c r="C21" s="87">
        <f t="shared" si="5"/>
        <v>-52.7</v>
      </c>
      <c r="D21" s="91">
        <f t="shared" si="6"/>
        <v>2.6374770305111553E-2</v>
      </c>
      <c r="E21" s="92" t="s">
        <v>66</v>
      </c>
      <c r="F21" s="92" t="s">
        <v>66</v>
      </c>
      <c r="G21" s="92" t="s">
        <v>66</v>
      </c>
      <c r="H21" s="92" t="s">
        <v>66</v>
      </c>
      <c r="I21" s="92" t="s">
        <v>66</v>
      </c>
      <c r="J21" s="92">
        <v>-22.2</v>
      </c>
      <c r="K21" s="92" t="s">
        <v>66</v>
      </c>
      <c r="L21" s="92" t="s">
        <v>66</v>
      </c>
      <c r="M21" s="92" t="s">
        <v>66</v>
      </c>
      <c r="N21" s="92" t="s">
        <v>66</v>
      </c>
      <c r="O21" s="92" t="s">
        <v>66</v>
      </c>
      <c r="P21" s="92" t="s">
        <v>66</v>
      </c>
      <c r="Q21" s="92" t="s">
        <v>66</v>
      </c>
      <c r="R21" s="92" t="s">
        <v>66</v>
      </c>
      <c r="S21" s="92" t="s">
        <v>66</v>
      </c>
      <c r="T21" s="92" t="s">
        <v>66</v>
      </c>
      <c r="U21" s="92" t="s">
        <v>66</v>
      </c>
      <c r="V21" s="92" t="s">
        <v>66</v>
      </c>
      <c r="W21" s="92" t="s">
        <v>66</v>
      </c>
      <c r="X21" s="92" t="s">
        <v>66</v>
      </c>
      <c r="Y21" s="92" t="s">
        <v>66</v>
      </c>
      <c r="Z21" s="92" t="s">
        <v>66</v>
      </c>
      <c r="AA21" s="92">
        <v>-10</v>
      </c>
      <c r="AB21" s="92">
        <f>-2-15</f>
        <v>-17</v>
      </c>
      <c r="AC21" s="92" t="s">
        <v>66</v>
      </c>
      <c r="AD21" s="92" t="s">
        <v>66</v>
      </c>
      <c r="AE21" s="92" t="s">
        <v>66</v>
      </c>
      <c r="AF21" s="92">
        <v>-3.5</v>
      </c>
      <c r="AG21" s="97"/>
    </row>
    <row r="22" spans="1:36" ht="15.75" customHeight="1" x14ac:dyDescent="0.25">
      <c r="A22" s="96"/>
      <c r="B22" s="86" t="s">
        <v>94</v>
      </c>
      <c r="C22" s="87">
        <f t="shared" si="5"/>
        <v>0</v>
      </c>
      <c r="D22" s="91">
        <f t="shared" si="6"/>
        <v>0</v>
      </c>
      <c r="E22" s="92" t="s">
        <v>66</v>
      </c>
      <c r="F22" s="92" t="s">
        <v>66</v>
      </c>
      <c r="G22" s="92" t="s">
        <v>66</v>
      </c>
      <c r="H22" s="92" t="s">
        <v>66</v>
      </c>
      <c r="I22" s="92" t="s">
        <v>66</v>
      </c>
      <c r="J22" s="92" t="s">
        <v>66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 t="s">
        <v>66</v>
      </c>
      <c r="Q22" s="92" t="s">
        <v>66</v>
      </c>
      <c r="R22" s="92" t="s">
        <v>66</v>
      </c>
      <c r="S22" s="92" t="s">
        <v>66</v>
      </c>
      <c r="T22" s="92" t="s">
        <v>66</v>
      </c>
      <c r="U22" s="92" t="s">
        <v>66</v>
      </c>
      <c r="V22" s="92" t="s">
        <v>66</v>
      </c>
      <c r="W22" s="92" t="s">
        <v>66</v>
      </c>
      <c r="X22" s="92" t="s">
        <v>66</v>
      </c>
      <c r="Y22" s="92" t="s">
        <v>66</v>
      </c>
      <c r="Z22" s="92" t="s">
        <v>66</v>
      </c>
      <c r="AA22" s="92" t="s">
        <v>66</v>
      </c>
      <c r="AB22" s="92" t="s">
        <v>66</v>
      </c>
      <c r="AC22" s="92" t="s">
        <v>66</v>
      </c>
      <c r="AD22" s="92" t="s">
        <v>66</v>
      </c>
      <c r="AE22" s="92" t="s">
        <v>66</v>
      </c>
      <c r="AF22" s="92" t="s">
        <v>66</v>
      </c>
      <c r="AG22" s="97"/>
    </row>
    <row r="23" spans="1:36" ht="15.75" customHeight="1" x14ac:dyDescent="0.25">
      <c r="A23" s="96"/>
      <c r="B23" s="86" t="s">
        <v>34</v>
      </c>
      <c r="C23" s="87">
        <f t="shared" si="5"/>
        <v>0</v>
      </c>
      <c r="D23" s="93">
        <f t="shared" si="6"/>
        <v>0</v>
      </c>
      <c r="E23" s="94" t="s">
        <v>66</v>
      </c>
      <c r="F23" s="94" t="s">
        <v>66</v>
      </c>
      <c r="G23" s="94" t="s">
        <v>66</v>
      </c>
      <c r="H23" s="94" t="s">
        <v>66</v>
      </c>
      <c r="I23" s="94" t="s">
        <v>66</v>
      </c>
      <c r="J23" s="94" t="s">
        <v>66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 t="s">
        <v>66</v>
      </c>
      <c r="R23" s="94" t="s">
        <v>66</v>
      </c>
      <c r="S23" s="94" t="s">
        <v>66</v>
      </c>
      <c r="T23" s="94" t="s">
        <v>66</v>
      </c>
      <c r="U23" s="94" t="s">
        <v>66</v>
      </c>
      <c r="V23" s="94" t="s">
        <v>66</v>
      </c>
      <c r="W23" s="94" t="s">
        <v>66</v>
      </c>
      <c r="X23" s="94" t="s">
        <v>66</v>
      </c>
      <c r="Y23" s="94" t="s">
        <v>66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7"/>
      <c r="AI23" s="86"/>
      <c r="AJ23" s="95"/>
    </row>
    <row r="24" spans="1:36" ht="15.75" customHeight="1" x14ac:dyDescent="0.25">
      <c r="A24" s="96"/>
      <c r="B24" s="86" t="s">
        <v>35</v>
      </c>
      <c r="C24" s="87">
        <f t="shared" si="5"/>
        <v>0</v>
      </c>
      <c r="D24" s="91">
        <f t="shared" si="6"/>
        <v>0</v>
      </c>
      <c r="E24" s="92" t="s">
        <v>66</v>
      </c>
      <c r="F24" s="92" t="s">
        <v>66</v>
      </c>
      <c r="G24" s="92" t="s">
        <v>66</v>
      </c>
      <c r="H24" s="92" t="s">
        <v>66</v>
      </c>
      <c r="I24" s="92" t="s">
        <v>66</v>
      </c>
      <c r="J24" s="92" t="s">
        <v>66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 t="s">
        <v>66</v>
      </c>
      <c r="AB24" s="92" t="s">
        <v>66</v>
      </c>
      <c r="AC24" s="92" t="s">
        <v>66</v>
      </c>
      <c r="AD24" s="92" t="s">
        <v>66</v>
      </c>
      <c r="AE24" s="92" t="s">
        <v>66</v>
      </c>
      <c r="AF24" s="92" t="s">
        <v>66</v>
      </c>
      <c r="AG24" s="97"/>
    </row>
    <row r="25" spans="1:36" ht="15.75" customHeight="1" x14ac:dyDescent="0.25">
      <c r="A25" s="96"/>
      <c r="B25" s="86" t="s">
        <v>36</v>
      </c>
      <c r="C25" s="87">
        <f t="shared" si="5"/>
        <v>0</v>
      </c>
      <c r="D25" s="93">
        <f t="shared" si="6"/>
        <v>0</v>
      </c>
      <c r="E25" s="94" t="s">
        <v>66</v>
      </c>
      <c r="F25" s="94" t="s">
        <v>66</v>
      </c>
      <c r="G25" s="94" t="s">
        <v>66</v>
      </c>
      <c r="H25" s="94" t="s">
        <v>66</v>
      </c>
      <c r="I25" s="94" t="s">
        <v>66</v>
      </c>
      <c r="J25" s="94" t="s">
        <v>66</v>
      </c>
      <c r="K25" s="94" t="s">
        <v>66</v>
      </c>
      <c r="L25" s="94" t="s">
        <v>66</v>
      </c>
      <c r="M25" s="94" t="s">
        <v>66</v>
      </c>
      <c r="N25" s="94" t="s">
        <v>66</v>
      </c>
      <c r="O25" s="94" t="s">
        <v>66</v>
      </c>
      <c r="P25" s="94" t="s">
        <v>66</v>
      </c>
      <c r="Q25" s="94" t="s">
        <v>66</v>
      </c>
      <c r="R25" s="94" t="s">
        <v>66</v>
      </c>
      <c r="S25" s="94" t="s">
        <v>66</v>
      </c>
      <c r="T25" s="94" t="s">
        <v>66</v>
      </c>
      <c r="U25" s="94" t="s">
        <v>66</v>
      </c>
      <c r="V25" s="94" t="s">
        <v>66</v>
      </c>
      <c r="W25" s="94" t="s">
        <v>66</v>
      </c>
      <c r="X25" s="94" t="s">
        <v>66</v>
      </c>
      <c r="Y25" s="94" t="s">
        <v>66</v>
      </c>
      <c r="Z25" s="94" t="s">
        <v>66</v>
      </c>
      <c r="AA25" s="94" t="s">
        <v>66</v>
      </c>
      <c r="AB25" s="94" t="s">
        <v>66</v>
      </c>
      <c r="AC25" s="94" t="s">
        <v>66</v>
      </c>
      <c r="AD25" s="94" t="s">
        <v>66</v>
      </c>
      <c r="AE25" s="94" t="s">
        <v>66</v>
      </c>
      <c r="AF25" s="94" t="s">
        <v>66</v>
      </c>
      <c r="AG25" s="97"/>
    </row>
    <row r="26" spans="1:36" ht="15.75" customHeight="1" x14ac:dyDescent="0.25">
      <c r="A26" s="96"/>
      <c r="B26" s="86" t="s">
        <v>39</v>
      </c>
      <c r="C26" s="87">
        <f t="shared" si="5"/>
        <v>-43.97</v>
      </c>
      <c r="D26" s="91">
        <f t="shared" si="6"/>
        <v>2.2005666988913753E-2</v>
      </c>
      <c r="E26" s="92" t="s">
        <v>66</v>
      </c>
      <c r="F26" s="92" t="s">
        <v>66</v>
      </c>
      <c r="G26" s="92" t="s">
        <v>66</v>
      </c>
      <c r="H26" s="92" t="s">
        <v>66</v>
      </c>
      <c r="I26" s="92" t="s">
        <v>66</v>
      </c>
      <c r="J26" s="92" t="s">
        <v>66</v>
      </c>
      <c r="K26" s="92" t="s">
        <v>66</v>
      </c>
      <c r="L26" s="92" t="s">
        <v>66</v>
      </c>
      <c r="M26" s="92" t="s">
        <v>66</v>
      </c>
      <c r="N26" s="92" t="s">
        <v>66</v>
      </c>
      <c r="O26" s="92" t="s">
        <v>66</v>
      </c>
      <c r="P26" s="92">
        <v>-43.97</v>
      </c>
      <c r="Q26" s="92" t="s">
        <v>66</v>
      </c>
      <c r="R26" s="92" t="s">
        <v>66</v>
      </c>
      <c r="S26" s="92" t="s">
        <v>66</v>
      </c>
      <c r="T26" s="92" t="s">
        <v>66</v>
      </c>
      <c r="U26" s="92" t="s">
        <v>66</v>
      </c>
      <c r="V26" s="92" t="s">
        <v>66</v>
      </c>
      <c r="W26" s="92" t="s">
        <v>66</v>
      </c>
      <c r="X26" s="92" t="s">
        <v>66</v>
      </c>
      <c r="Y26" s="92" t="s">
        <v>66</v>
      </c>
      <c r="Z26" s="92" t="s">
        <v>66</v>
      </c>
      <c r="AA26" s="92" t="s">
        <v>66</v>
      </c>
      <c r="AB26" s="92" t="s">
        <v>66</v>
      </c>
      <c r="AC26" s="92" t="s">
        <v>66</v>
      </c>
      <c r="AD26" s="92" t="s">
        <v>66</v>
      </c>
      <c r="AE26" s="92" t="s">
        <v>66</v>
      </c>
      <c r="AF26" s="92" t="s">
        <v>66</v>
      </c>
      <c r="AG26" s="97"/>
    </row>
    <row r="27" spans="1:36" ht="15.75" customHeight="1" x14ac:dyDescent="0.25">
      <c r="A27" s="96"/>
      <c r="B27" s="86" t="s">
        <v>40</v>
      </c>
      <c r="C27" s="87">
        <f t="shared" si="5"/>
        <v>-29.9</v>
      </c>
      <c r="D27" s="93">
        <f t="shared" si="6"/>
        <v>1.4964053740471259E-2</v>
      </c>
      <c r="E27" s="94" t="s">
        <v>66</v>
      </c>
      <c r="F27" s="94" t="s">
        <v>66</v>
      </c>
      <c r="G27" s="94" t="s">
        <v>66</v>
      </c>
      <c r="H27" s="94" t="s">
        <v>66</v>
      </c>
      <c r="I27" s="94" t="s">
        <v>66</v>
      </c>
      <c r="J27" s="94" t="s">
        <v>66</v>
      </c>
      <c r="K27" s="94" t="s">
        <v>66</v>
      </c>
      <c r="L27" s="94" t="s">
        <v>66</v>
      </c>
      <c r="M27" s="94" t="s">
        <v>66</v>
      </c>
      <c r="N27" s="94" t="s">
        <v>66</v>
      </c>
      <c r="O27" s="94" t="s">
        <v>66</v>
      </c>
      <c r="P27" s="94" t="s">
        <v>66</v>
      </c>
      <c r="Q27" s="94">
        <v>-29.9</v>
      </c>
      <c r="R27" s="94" t="s">
        <v>66</v>
      </c>
      <c r="S27" s="94" t="s">
        <v>66</v>
      </c>
      <c r="T27" s="94" t="s">
        <v>66</v>
      </c>
      <c r="U27" s="94" t="s">
        <v>66</v>
      </c>
      <c r="V27" s="94" t="s">
        <v>66</v>
      </c>
      <c r="W27" s="94" t="s">
        <v>66</v>
      </c>
      <c r="X27" s="94" t="s">
        <v>66</v>
      </c>
      <c r="Y27" s="94" t="s">
        <v>66</v>
      </c>
      <c r="Z27" s="94" t="s">
        <v>66</v>
      </c>
      <c r="AA27" s="94" t="s">
        <v>66</v>
      </c>
      <c r="AB27" s="94" t="s">
        <v>66</v>
      </c>
      <c r="AC27" s="94" t="s">
        <v>66</v>
      </c>
      <c r="AD27" s="94" t="s">
        <v>66</v>
      </c>
      <c r="AE27" s="94" t="s">
        <v>66</v>
      </c>
      <c r="AF27" s="94" t="s">
        <v>66</v>
      </c>
      <c r="AG27" s="97"/>
    </row>
    <row r="28" spans="1:36" ht="15.75" customHeight="1" x14ac:dyDescent="0.25">
      <c r="A28" s="96"/>
      <c r="B28" s="86" t="s">
        <v>41</v>
      </c>
      <c r="C28" s="87">
        <f t="shared" si="5"/>
        <v>0</v>
      </c>
      <c r="D28" s="91">
        <f t="shared" si="6"/>
        <v>0</v>
      </c>
      <c r="E28" s="92" t="s">
        <v>66</v>
      </c>
      <c r="F28" s="92" t="s">
        <v>66</v>
      </c>
      <c r="G28" s="92" t="s">
        <v>66</v>
      </c>
      <c r="H28" s="92" t="s">
        <v>66</v>
      </c>
      <c r="I28" s="92" t="s">
        <v>66</v>
      </c>
      <c r="J28" s="92" t="s">
        <v>66</v>
      </c>
      <c r="K28" s="92" t="s">
        <v>66</v>
      </c>
      <c r="L28" s="92" t="s">
        <v>66</v>
      </c>
      <c r="M28" s="92" t="s">
        <v>66</v>
      </c>
      <c r="N28" s="92" t="s">
        <v>66</v>
      </c>
      <c r="O28" s="92" t="s">
        <v>66</v>
      </c>
      <c r="P28" s="92" t="s">
        <v>66</v>
      </c>
      <c r="Q28" s="92" t="s">
        <v>66</v>
      </c>
      <c r="R28" s="92" t="s">
        <v>66</v>
      </c>
      <c r="S28" s="92" t="s">
        <v>66</v>
      </c>
      <c r="T28" s="92" t="s">
        <v>66</v>
      </c>
      <c r="U28" s="92" t="s">
        <v>66</v>
      </c>
      <c r="V28" s="92" t="s">
        <v>66</v>
      </c>
      <c r="W28" s="92" t="s">
        <v>66</v>
      </c>
      <c r="X28" s="92" t="s">
        <v>66</v>
      </c>
      <c r="Y28" s="92" t="s">
        <v>66</v>
      </c>
      <c r="Z28" s="92" t="s">
        <v>66</v>
      </c>
      <c r="AA28" s="92" t="s">
        <v>66</v>
      </c>
      <c r="AB28" s="92" t="s">
        <v>66</v>
      </c>
      <c r="AC28" s="92" t="s">
        <v>66</v>
      </c>
      <c r="AD28" s="92" t="s">
        <v>66</v>
      </c>
      <c r="AE28" s="92" t="s">
        <v>66</v>
      </c>
      <c r="AF28" s="92" t="s">
        <v>66</v>
      </c>
      <c r="AG28" s="97"/>
    </row>
    <row r="29" spans="1:36" ht="15.75" customHeight="1" x14ac:dyDescent="0.25">
      <c r="A29" s="246"/>
      <c r="B29" s="86" t="s">
        <v>207</v>
      </c>
      <c r="C29" s="87">
        <f>-(2587+511.66)/12</f>
        <v>-258.22166666666664</v>
      </c>
      <c r="D29" s="91">
        <f t="shared" si="6"/>
        <v>0.12923220391150689</v>
      </c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247"/>
    </row>
    <row r="30" spans="1:36" ht="15.75" customHeight="1" x14ac:dyDescent="0.25">
      <c r="A30" s="96"/>
      <c r="B30" s="86" t="s">
        <v>72</v>
      </c>
      <c r="C30" s="87">
        <f t="shared" si="5"/>
        <v>-550</v>
      </c>
      <c r="D30" s="93">
        <f t="shared" si="6"/>
        <v>0.2752585136207088</v>
      </c>
      <c r="E30" s="94" t="s">
        <v>66</v>
      </c>
      <c r="F30" s="94" t="s">
        <v>66</v>
      </c>
      <c r="G30" s="94" t="s">
        <v>66</v>
      </c>
      <c r="H30" s="94" t="s">
        <v>66</v>
      </c>
      <c r="I30" s="94" t="s">
        <v>66</v>
      </c>
      <c r="J30" s="94" t="s">
        <v>66</v>
      </c>
      <c r="K30" s="94" t="s">
        <v>66</v>
      </c>
      <c r="L30" s="94">
        <v>-550</v>
      </c>
      <c r="M30" s="94" t="s">
        <v>66</v>
      </c>
      <c r="N30" s="94" t="s">
        <v>66</v>
      </c>
      <c r="O30" s="94" t="s">
        <v>66</v>
      </c>
      <c r="P30" s="94" t="s">
        <v>66</v>
      </c>
      <c r="Q30" s="94" t="s">
        <v>66</v>
      </c>
      <c r="R30" s="94" t="s">
        <v>66</v>
      </c>
      <c r="S30" s="94" t="s">
        <v>66</v>
      </c>
      <c r="T30" s="94" t="s">
        <v>66</v>
      </c>
      <c r="U30" s="94" t="s">
        <v>66</v>
      </c>
      <c r="V30" s="94" t="s">
        <v>66</v>
      </c>
      <c r="W30" s="94" t="s">
        <v>66</v>
      </c>
      <c r="X30" s="94" t="s">
        <v>66</v>
      </c>
      <c r="Y30" s="94" t="s">
        <v>66</v>
      </c>
      <c r="Z30" s="94" t="s">
        <v>66</v>
      </c>
      <c r="AA30" s="94" t="s">
        <v>66</v>
      </c>
      <c r="AB30" s="94" t="s">
        <v>66</v>
      </c>
      <c r="AC30" s="94" t="s">
        <v>66</v>
      </c>
      <c r="AD30" s="94" t="s">
        <v>66</v>
      </c>
      <c r="AE30" s="94" t="s">
        <v>66</v>
      </c>
      <c r="AF30" s="94" t="s">
        <v>66</v>
      </c>
      <c r="AG30" s="97"/>
    </row>
    <row r="31" spans="1:36" ht="15.75" customHeight="1" x14ac:dyDescent="0.25">
      <c r="A31" s="96"/>
      <c r="B31" s="86" t="s">
        <v>42</v>
      </c>
      <c r="C31" s="87">
        <f t="shared" si="5"/>
        <v>-45</v>
      </c>
      <c r="D31" s="91">
        <f t="shared" si="6"/>
        <v>2.2521151114421628E-2</v>
      </c>
      <c r="E31" s="92" t="s">
        <v>66</v>
      </c>
      <c r="F31" s="92" t="s">
        <v>66</v>
      </c>
      <c r="G31" s="92" t="s">
        <v>66</v>
      </c>
      <c r="H31" s="92" t="s">
        <v>66</v>
      </c>
      <c r="I31" s="92" t="s">
        <v>66</v>
      </c>
      <c r="J31" s="92" t="s">
        <v>66</v>
      </c>
      <c r="K31" s="92" t="s">
        <v>66</v>
      </c>
      <c r="L31" s="92" t="s">
        <v>66</v>
      </c>
      <c r="M31" s="92" t="s">
        <v>66</v>
      </c>
      <c r="N31" s="92" t="s">
        <v>66</v>
      </c>
      <c r="O31" s="92" t="s">
        <v>66</v>
      </c>
      <c r="P31" s="92" t="s">
        <v>66</v>
      </c>
      <c r="Q31" s="92" t="s">
        <v>66</v>
      </c>
      <c r="R31" s="92" t="s">
        <v>66</v>
      </c>
      <c r="S31" s="92" t="s">
        <v>66</v>
      </c>
      <c r="T31" s="92" t="s">
        <v>66</v>
      </c>
      <c r="U31" s="92" t="s">
        <v>66</v>
      </c>
      <c r="V31" s="92" t="s">
        <v>66</v>
      </c>
      <c r="W31" s="92" t="s">
        <v>66</v>
      </c>
      <c r="X31" s="92" t="s">
        <v>66</v>
      </c>
      <c r="Y31" s="92">
        <v>-45</v>
      </c>
      <c r="Z31" s="92" t="s">
        <v>66</v>
      </c>
      <c r="AA31" s="92" t="s">
        <v>66</v>
      </c>
      <c r="AB31" s="92" t="s">
        <v>66</v>
      </c>
      <c r="AC31" s="92" t="s">
        <v>66</v>
      </c>
      <c r="AD31" s="92" t="s">
        <v>66</v>
      </c>
      <c r="AE31" s="92" t="s">
        <v>66</v>
      </c>
      <c r="AF31" s="92" t="s">
        <v>66</v>
      </c>
      <c r="AG31" s="97"/>
    </row>
    <row r="32" spans="1:36" ht="15.75" customHeight="1" x14ac:dyDescent="0.25">
      <c r="A32" s="96"/>
      <c r="B32" s="86" t="s">
        <v>96</v>
      </c>
      <c r="C32" s="87">
        <f t="shared" si="5"/>
        <v>0</v>
      </c>
      <c r="D32" s="91">
        <f t="shared" si="6"/>
        <v>0</v>
      </c>
      <c r="E32" s="136" t="s">
        <v>66</v>
      </c>
      <c r="F32" s="136" t="s">
        <v>66</v>
      </c>
      <c r="G32" s="136" t="s">
        <v>66</v>
      </c>
      <c r="H32" s="136" t="s">
        <v>66</v>
      </c>
      <c r="I32" s="136" t="s">
        <v>66</v>
      </c>
      <c r="J32" s="136" t="s">
        <v>66</v>
      </c>
      <c r="K32" s="136" t="s">
        <v>66</v>
      </c>
      <c r="L32" s="136" t="s">
        <v>66</v>
      </c>
      <c r="M32" s="136" t="s">
        <v>66</v>
      </c>
      <c r="N32" s="136" t="s">
        <v>66</v>
      </c>
      <c r="O32" s="136" t="s">
        <v>66</v>
      </c>
      <c r="P32" s="136" t="s">
        <v>66</v>
      </c>
      <c r="Q32" s="136" t="s">
        <v>66</v>
      </c>
      <c r="R32" s="136" t="s">
        <v>66</v>
      </c>
      <c r="S32" s="136" t="s">
        <v>66</v>
      </c>
      <c r="T32" s="136" t="s">
        <v>66</v>
      </c>
      <c r="U32" s="136" t="s">
        <v>66</v>
      </c>
      <c r="V32" s="136" t="s">
        <v>66</v>
      </c>
      <c r="W32" s="136" t="s">
        <v>66</v>
      </c>
      <c r="X32" s="136" t="s">
        <v>66</v>
      </c>
      <c r="Y32" s="136" t="s">
        <v>66</v>
      </c>
      <c r="Z32" s="136" t="s">
        <v>66</v>
      </c>
      <c r="AA32" s="136" t="s">
        <v>66</v>
      </c>
      <c r="AB32" s="136" t="s">
        <v>66</v>
      </c>
      <c r="AC32" s="136" t="s">
        <v>66</v>
      </c>
      <c r="AD32" s="136" t="s">
        <v>66</v>
      </c>
      <c r="AE32" s="136" t="s">
        <v>66</v>
      </c>
      <c r="AF32" s="136" t="s">
        <v>66</v>
      </c>
      <c r="AG32" s="97"/>
    </row>
    <row r="33" spans="1:33" ht="15.75" customHeight="1" x14ac:dyDescent="0.25">
      <c r="A33" s="96"/>
      <c r="B33" s="99" t="s">
        <v>44</v>
      </c>
      <c r="C33" s="124">
        <f t="shared" si="5"/>
        <v>2235.7000000000003</v>
      </c>
      <c r="D33" s="125"/>
      <c r="E33" s="126"/>
      <c r="F33" s="126"/>
      <c r="G33" s="126"/>
      <c r="H33" s="126"/>
      <c r="I33" s="126"/>
      <c r="J33" s="126">
        <v>150</v>
      </c>
      <c r="K33" s="126"/>
      <c r="L33" s="126"/>
      <c r="M33" s="126">
        <v>2056.9</v>
      </c>
      <c r="N33" s="126"/>
      <c r="O33" s="126"/>
      <c r="P33" s="126"/>
      <c r="Q33" s="126"/>
      <c r="R33" s="126"/>
      <c r="S33" s="126"/>
      <c r="T33" s="126"/>
      <c r="U33" s="126">
        <v>150</v>
      </c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>
        <v>-121.2</v>
      </c>
      <c r="AG33" s="97"/>
    </row>
    <row r="34" spans="1:33" ht="15.75" customHeight="1" x14ac:dyDescent="0.25">
      <c r="A34" s="96"/>
      <c r="B34" s="83"/>
      <c r="C34" s="12"/>
      <c r="D34" s="106"/>
      <c r="E34" s="107">
        <f t="shared" ref="E34:AF34" si="7">E5</f>
        <v>43497</v>
      </c>
      <c r="F34" s="107">
        <f t="shared" si="7"/>
        <v>43498</v>
      </c>
      <c r="G34" s="107">
        <f t="shared" si="7"/>
        <v>43499</v>
      </c>
      <c r="H34" s="107">
        <f t="shared" si="7"/>
        <v>43500</v>
      </c>
      <c r="I34" s="107">
        <f t="shared" si="7"/>
        <v>43501</v>
      </c>
      <c r="J34" s="107">
        <f t="shared" si="7"/>
        <v>43502</v>
      </c>
      <c r="K34" s="107">
        <f t="shared" si="7"/>
        <v>43503</v>
      </c>
      <c r="L34" s="107">
        <f t="shared" si="7"/>
        <v>43504</v>
      </c>
      <c r="M34" s="107">
        <f t="shared" si="7"/>
        <v>43505</v>
      </c>
      <c r="N34" s="107">
        <f t="shared" si="7"/>
        <v>43506</v>
      </c>
      <c r="O34" s="107">
        <f t="shared" si="7"/>
        <v>43507</v>
      </c>
      <c r="P34" s="107">
        <f t="shared" si="7"/>
        <v>43508</v>
      </c>
      <c r="Q34" s="107">
        <f t="shared" si="7"/>
        <v>43509</v>
      </c>
      <c r="R34" s="107">
        <f t="shared" si="7"/>
        <v>43510</v>
      </c>
      <c r="S34" s="107">
        <f t="shared" si="7"/>
        <v>43511</v>
      </c>
      <c r="T34" s="107">
        <f t="shared" si="7"/>
        <v>43512</v>
      </c>
      <c r="U34" s="107">
        <f t="shared" si="7"/>
        <v>43513</v>
      </c>
      <c r="V34" s="107">
        <f t="shared" si="7"/>
        <v>43514</v>
      </c>
      <c r="W34" s="107">
        <f t="shared" si="7"/>
        <v>43515</v>
      </c>
      <c r="X34" s="107">
        <f t="shared" si="7"/>
        <v>43516</v>
      </c>
      <c r="Y34" s="107">
        <f t="shared" si="7"/>
        <v>43517</v>
      </c>
      <c r="Z34" s="107">
        <f t="shared" si="7"/>
        <v>43518</v>
      </c>
      <c r="AA34" s="107">
        <f t="shared" si="7"/>
        <v>43519</v>
      </c>
      <c r="AB34" s="107">
        <f t="shared" si="7"/>
        <v>43520</v>
      </c>
      <c r="AC34" s="107">
        <f t="shared" si="7"/>
        <v>43521</v>
      </c>
      <c r="AD34" s="107">
        <f t="shared" si="7"/>
        <v>43522</v>
      </c>
      <c r="AE34" s="107">
        <f t="shared" si="7"/>
        <v>43523</v>
      </c>
      <c r="AF34" s="107">
        <f t="shared" si="7"/>
        <v>43524</v>
      </c>
      <c r="AG34" s="97"/>
    </row>
    <row r="35" spans="1:33" ht="15.75" customHeight="1" x14ac:dyDescent="0.25">
      <c r="A35" s="96"/>
      <c r="B35" s="110" t="s">
        <v>79</v>
      </c>
      <c r="C35" s="58"/>
      <c r="D35" s="66"/>
      <c r="E35" s="112">
        <f t="shared" ref="E35:AF35" si="8">SUM($E$6:E6)</f>
        <v>-341.4</v>
      </c>
      <c r="F35" s="112">
        <f t="shared" si="8"/>
        <v>-358.84999999999997</v>
      </c>
      <c r="G35" s="112">
        <f t="shared" si="8"/>
        <v>-358.84999999999997</v>
      </c>
      <c r="H35" s="112">
        <f t="shared" si="8"/>
        <v>-535.66999999999996</v>
      </c>
      <c r="I35" s="112">
        <f t="shared" si="8"/>
        <v>-547.02</v>
      </c>
      <c r="J35" s="112">
        <f t="shared" si="8"/>
        <v>-569.22</v>
      </c>
      <c r="K35" s="112">
        <f t="shared" si="8"/>
        <v>-596.12</v>
      </c>
      <c r="L35" s="112">
        <f t="shared" si="8"/>
        <v>-1225.48</v>
      </c>
      <c r="M35" s="112">
        <f t="shared" si="8"/>
        <v>-1304.97</v>
      </c>
      <c r="N35" s="112">
        <f t="shared" si="8"/>
        <v>-1304.97</v>
      </c>
      <c r="O35" s="112">
        <f t="shared" si="8"/>
        <v>-1330.76</v>
      </c>
      <c r="P35" s="112">
        <f t="shared" si="8"/>
        <v>-1379.6299999999999</v>
      </c>
      <c r="Q35" s="112">
        <f t="shared" si="8"/>
        <v>-1439.53</v>
      </c>
      <c r="R35" s="112">
        <f t="shared" si="8"/>
        <v>-1482.8899999999999</v>
      </c>
      <c r="S35" s="112">
        <f t="shared" si="8"/>
        <v>-1516.8899999999999</v>
      </c>
      <c r="T35" s="112">
        <f t="shared" si="8"/>
        <v>-1516.8899999999999</v>
      </c>
      <c r="U35" s="112">
        <f t="shared" si="8"/>
        <v>-1516.8899999999999</v>
      </c>
      <c r="V35" s="112">
        <f t="shared" si="8"/>
        <v>-1521.8899999999999</v>
      </c>
      <c r="W35" s="112">
        <f t="shared" si="8"/>
        <v>-1521.8899999999999</v>
      </c>
      <c r="X35" s="112">
        <f t="shared" si="8"/>
        <v>-1521.8899999999999</v>
      </c>
      <c r="Y35" s="112">
        <f t="shared" si="8"/>
        <v>-1596.8899999999999</v>
      </c>
      <c r="Z35" s="112">
        <f t="shared" si="8"/>
        <v>-1596.8899999999999</v>
      </c>
      <c r="AA35" s="112">
        <f t="shared" si="8"/>
        <v>-1645.82</v>
      </c>
      <c r="AB35" s="112">
        <f t="shared" si="8"/>
        <v>-1662.82</v>
      </c>
      <c r="AC35" s="112">
        <f t="shared" si="8"/>
        <v>-1687.82</v>
      </c>
      <c r="AD35" s="112">
        <f t="shared" si="8"/>
        <v>-1707.72</v>
      </c>
      <c r="AE35" s="112">
        <f t="shared" si="8"/>
        <v>-1717.72</v>
      </c>
      <c r="AF35" s="112">
        <f t="shared" si="8"/>
        <v>-1806.7</v>
      </c>
      <c r="AG35" s="97"/>
    </row>
    <row r="36" spans="1:33" ht="15.75" customHeight="1" x14ac:dyDescent="0.25">
      <c r="A36" s="96"/>
      <c r="B36" s="99" t="s">
        <v>69</v>
      </c>
      <c r="C36" s="44"/>
      <c r="D36" s="115">
        <f>'Jan2019'!AI36</f>
        <v>2731.849999999999</v>
      </c>
      <c r="E36" s="73">
        <f t="shared" ref="E36:AF36" si="9">D44+E6+E33</f>
        <v>2390.4499999999989</v>
      </c>
      <c r="F36" s="73">
        <f t="shared" si="9"/>
        <v>2372.9999999999991</v>
      </c>
      <c r="G36" s="73">
        <f t="shared" si="9"/>
        <v>2372.9999999999991</v>
      </c>
      <c r="H36" s="73">
        <f t="shared" si="9"/>
        <v>2196.1799999999989</v>
      </c>
      <c r="I36" s="73">
        <f t="shared" si="9"/>
        <v>2184.829999999999</v>
      </c>
      <c r="J36" s="73">
        <f t="shared" si="9"/>
        <v>2312.6299999999992</v>
      </c>
      <c r="K36" s="73">
        <f t="shared" si="9"/>
        <v>2285.7299999999991</v>
      </c>
      <c r="L36" s="73">
        <f t="shared" si="9"/>
        <v>1656.369999999999</v>
      </c>
      <c r="M36" s="73">
        <f t="shared" si="9"/>
        <v>3633.7799999999988</v>
      </c>
      <c r="N36" s="73">
        <f t="shared" si="9"/>
        <v>3633.7799999999988</v>
      </c>
      <c r="O36" s="73">
        <f t="shared" si="9"/>
        <v>3607.9899999999989</v>
      </c>
      <c r="P36" s="73">
        <f t="shared" si="9"/>
        <v>3559.119999999999</v>
      </c>
      <c r="Q36" s="73">
        <f t="shared" si="9"/>
        <v>3499.2199999999989</v>
      </c>
      <c r="R36" s="73">
        <f t="shared" si="9"/>
        <v>3455.8599999999988</v>
      </c>
      <c r="S36" s="73">
        <f t="shared" si="9"/>
        <v>3421.8599999999988</v>
      </c>
      <c r="T36" s="73">
        <f t="shared" si="9"/>
        <v>3421.8599999999988</v>
      </c>
      <c r="U36" s="73">
        <f t="shared" si="9"/>
        <v>3571.8599999999988</v>
      </c>
      <c r="V36" s="73">
        <f t="shared" si="9"/>
        <v>3566.8599999999988</v>
      </c>
      <c r="W36" s="73">
        <f t="shared" si="9"/>
        <v>3566.8599999999988</v>
      </c>
      <c r="X36" s="73">
        <f t="shared" si="9"/>
        <v>3566.8599999999988</v>
      </c>
      <c r="Y36" s="73">
        <f t="shared" si="9"/>
        <v>3491.8599999999988</v>
      </c>
      <c r="Z36" s="73">
        <f t="shared" si="9"/>
        <v>3491.8599999999988</v>
      </c>
      <c r="AA36" s="73">
        <f t="shared" si="9"/>
        <v>3442.9299999999989</v>
      </c>
      <c r="AB36" s="73">
        <f t="shared" si="9"/>
        <v>3425.9299999999989</v>
      </c>
      <c r="AC36" s="73">
        <f t="shared" si="9"/>
        <v>3400.9299999999989</v>
      </c>
      <c r="AD36" s="73">
        <f t="shared" si="9"/>
        <v>3381.0299999999988</v>
      </c>
      <c r="AE36" s="73">
        <f t="shared" si="9"/>
        <v>3371.0299999999988</v>
      </c>
      <c r="AF36" s="73">
        <f t="shared" si="9"/>
        <v>3160.849999999999</v>
      </c>
      <c r="AG36" s="97"/>
    </row>
    <row r="37" spans="1:33" ht="15.75" customHeight="1" x14ac:dyDescent="0.25">
      <c r="A37" s="96"/>
      <c r="B37" s="83" t="s">
        <v>61</v>
      </c>
      <c r="C37" s="12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97"/>
    </row>
    <row r="38" spans="1:33" ht="15.75" customHeight="1" x14ac:dyDescent="0.25">
      <c r="A38" s="96"/>
      <c r="B38" s="83" t="s">
        <v>70</v>
      </c>
      <c r="C38" s="12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97"/>
    </row>
    <row r="39" spans="1:33" ht="15.75" customHeight="1" x14ac:dyDescent="0.25">
      <c r="A39" s="96"/>
      <c r="B39" s="83" t="s">
        <v>71</v>
      </c>
      <c r="C39" s="12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97"/>
    </row>
    <row r="40" spans="1:33" ht="15.75" customHeight="1" x14ac:dyDescent="0.25">
      <c r="A40" s="96"/>
      <c r="B40" s="83" t="s">
        <v>85</v>
      </c>
      <c r="C40" s="12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97"/>
    </row>
    <row r="41" spans="1:33" ht="15.75" customHeight="1" x14ac:dyDescent="0.25">
      <c r="A41" s="96"/>
      <c r="B41" s="83" t="s">
        <v>95</v>
      </c>
      <c r="C41" s="12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97"/>
    </row>
    <row r="42" spans="1:33" ht="15.75" customHeight="1" x14ac:dyDescent="0.25">
      <c r="A42" s="96"/>
      <c r="B42" s="83" t="s">
        <v>73</v>
      </c>
      <c r="C42" s="12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97"/>
    </row>
    <row r="43" spans="1:33" ht="15.75" customHeight="1" x14ac:dyDescent="0.25">
      <c r="A43" s="96"/>
      <c r="B43" s="116" t="s">
        <v>63</v>
      </c>
      <c r="C43" s="68"/>
      <c r="D43" s="68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97"/>
    </row>
    <row r="44" spans="1:33" ht="15.75" customHeight="1" x14ac:dyDescent="0.25">
      <c r="A44" s="96"/>
      <c r="B44" s="86" t="s">
        <v>80</v>
      </c>
      <c r="C44" s="12"/>
      <c r="D44" s="50">
        <f t="shared" ref="D44:AF44" si="10">D36</f>
        <v>2731.849999999999</v>
      </c>
      <c r="E44" s="50">
        <f t="shared" si="10"/>
        <v>2390.4499999999989</v>
      </c>
      <c r="F44" s="50">
        <f t="shared" si="10"/>
        <v>2372.9999999999991</v>
      </c>
      <c r="G44" s="50">
        <f t="shared" si="10"/>
        <v>2372.9999999999991</v>
      </c>
      <c r="H44" s="50">
        <f t="shared" si="10"/>
        <v>2196.1799999999989</v>
      </c>
      <c r="I44" s="50">
        <f t="shared" si="10"/>
        <v>2184.829999999999</v>
      </c>
      <c r="J44" s="50">
        <f t="shared" si="10"/>
        <v>2312.6299999999992</v>
      </c>
      <c r="K44" s="50">
        <f t="shared" si="10"/>
        <v>2285.7299999999991</v>
      </c>
      <c r="L44" s="50">
        <f t="shared" si="10"/>
        <v>1656.369999999999</v>
      </c>
      <c r="M44" s="50">
        <f t="shared" si="10"/>
        <v>3633.7799999999988</v>
      </c>
      <c r="N44" s="50">
        <f t="shared" si="10"/>
        <v>3633.7799999999988</v>
      </c>
      <c r="O44" s="50">
        <f t="shared" si="10"/>
        <v>3607.9899999999989</v>
      </c>
      <c r="P44" s="50">
        <f t="shared" si="10"/>
        <v>3559.119999999999</v>
      </c>
      <c r="Q44" s="50">
        <f t="shared" si="10"/>
        <v>3499.2199999999989</v>
      </c>
      <c r="R44" s="50">
        <f t="shared" si="10"/>
        <v>3455.8599999999988</v>
      </c>
      <c r="S44" s="50">
        <f t="shared" si="10"/>
        <v>3421.8599999999988</v>
      </c>
      <c r="T44" s="50">
        <f t="shared" si="10"/>
        <v>3421.8599999999988</v>
      </c>
      <c r="U44" s="50">
        <f t="shared" si="10"/>
        <v>3571.8599999999988</v>
      </c>
      <c r="V44" s="50">
        <f t="shared" si="10"/>
        <v>3566.8599999999988</v>
      </c>
      <c r="W44" s="50">
        <f t="shared" si="10"/>
        <v>3566.8599999999988</v>
      </c>
      <c r="X44" s="50">
        <f t="shared" si="10"/>
        <v>3566.8599999999988</v>
      </c>
      <c r="Y44" s="50">
        <f t="shared" si="10"/>
        <v>3491.8599999999988</v>
      </c>
      <c r="Z44" s="50">
        <f t="shared" si="10"/>
        <v>3491.8599999999988</v>
      </c>
      <c r="AA44" s="73">
        <f t="shared" si="10"/>
        <v>3442.9299999999989</v>
      </c>
      <c r="AB44" s="50">
        <f t="shared" si="10"/>
        <v>3425.9299999999989</v>
      </c>
      <c r="AC44" s="50">
        <f t="shared" si="10"/>
        <v>3400.9299999999989</v>
      </c>
      <c r="AD44" s="50">
        <f t="shared" si="10"/>
        <v>3381.0299999999988</v>
      </c>
      <c r="AE44" s="50">
        <f t="shared" si="10"/>
        <v>3371.0299999999988</v>
      </c>
      <c r="AF44" s="50">
        <f t="shared" si="10"/>
        <v>3160.849999999999</v>
      </c>
      <c r="AG44" s="97"/>
    </row>
    <row r="45" spans="1:33" ht="15.75" customHeight="1" x14ac:dyDescent="0.25">
      <c r="A45" s="96"/>
      <c r="B45" s="117" t="s">
        <v>74</v>
      </c>
      <c r="C45" s="70"/>
      <c r="D45" s="70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71"/>
      <c r="Q45" s="71"/>
      <c r="R45" s="71"/>
      <c r="S45" s="71"/>
      <c r="T45" s="71"/>
      <c r="U45" s="69"/>
      <c r="V45" s="71"/>
      <c r="W45" s="71"/>
      <c r="X45" s="71"/>
      <c r="Y45" s="71"/>
      <c r="Z45" s="71"/>
      <c r="AA45" s="1"/>
      <c r="AB45" s="71"/>
      <c r="AC45" s="71">
        <v>5570</v>
      </c>
      <c r="AD45" s="71"/>
      <c r="AE45" s="71"/>
      <c r="AF45" s="71"/>
      <c r="AG45" s="97"/>
    </row>
    <row r="46" spans="1:33" ht="9" customHeight="1" x14ac:dyDescent="0.25">
      <c r="A46" s="96"/>
      <c r="B46" s="97"/>
      <c r="C46" s="127"/>
      <c r="D46" s="12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6"/>
    </row>
    <row r="47" spans="1:33" ht="15.7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3" ht="15.75" customHeight="1" x14ac:dyDescent="0.25">
      <c r="B48" s="1"/>
      <c r="C48" s="1"/>
      <c r="D48" s="1"/>
      <c r="K48" s="5"/>
      <c r="L48" s="5"/>
      <c r="M48" s="5"/>
      <c r="N48" s="128"/>
      <c r="O48" s="5"/>
      <c r="P48" s="5"/>
      <c r="Q48" s="5"/>
      <c r="R48" s="128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2:34" ht="15.75" customHeight="1" x14ac:dyDescent="0.25">
      <c r="B49" s="1"/>
      <c r="C49" s="1"/>
      <c r="D49" s="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2:34" ht="15.75" customHeight="1" x14ac:dyDescent="0.25">
      <c r="B50" s="1"/>
      <c r="C50" s="1"/>
      <c r="D50" s="1"/>
      <c r="E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H50" s="128"/>
    </row>
    <row r="51" spans="2:34" ht="15.75" customHeight="1" x14ac:dyDescent="0.25">
      <c r="B51" s="1"/>
      <c r="C51" s="1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</row>
    <row r="52" spans="2:34" ht="15.75" customHeight="1" x14ac:dyDescent="0.25">
      <c r="B52" s="1"/>
      <c r="C52" s="1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</row>
    <row r="53" spans="2:34" ht="15.75" customHeight="1" x14ac:dyDescent="0.25">
      <c r="C53" s="15"/>
      <c r="D53" s="1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4" ht="15.75" customHeight="1" x14ac:dyDescent="0.25">
      <c r="I54" s="1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</row>
    <row r="55" spans="2:34" ht="15.75" customHeight="1" x14ac:dyDescent="0.25"/>
    <row r="56" spans="2:34" ht="15.75" customHeight="1" x14ac:dyDescent="0.25"/>
    <row r="57" spans="2:34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4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4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4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4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4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4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4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5.75" customHeight="1" x14ac:dyDescent="0.25"/>
    <row r="247" spans="2:32" ht="15.75" customHeight="1" x14ac:dyDescent="0.25"/>
    <row r="248" spans="2:32" ht="15.75" customHeight="1" x14ac:dyDescent="0.25"/>
    <row r="249" spans="2:32" ht="15.75" customHeight="1" x14ac:dyDescent="0.25"/>
    <row r="250" spans="2:32" ht="15.75" customHeight="1" x14ac:dyDescent="0.25"/>
    <row r="251" spans="2:32" ht="15.75" customHeight="1" x14ac:dyDescent="0.25"/>
    <row r="252" spans="2:32" ht="15.75" customHeight="1" x14ac:dyDescent="0.25"/>
    <row r="253" spans="2:32" ht="15.75" customHeight="1" x14ac:dyDescent="0.25"/>
    <row r="254" spans="2:32" ht="15.75" customHeight="1" x14ac:dyDescent="0.25"/>
    <row r="255" spans="2:32" ht="15.75" customHeight="1" x14ac:dyDescent="0.25"/>
    <row r="256" spans="2:32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35" priority="1" operator="lessThan">
      <formula>0</formula>
    </cfRule>
  </conditionalFormatting>
  <conditionalFormatting sqref="C4">
    <cfRule type="cellIs" dxfId="134" priority="2" operator="greaterThan">
      <formula>0</formula>
    </cfRule>
  </conditionalFormatting>
  <conditionalFormatting sqref="C4">
    <cfRule type="cellIs" dxfId="133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1001"/>
  <sheetViews>
    <sheetView showGridLines="0" workbookViewId="0">
      <selection activeCell="B29" sqref="B29:D29"/>
    </sheetView>
  </sheetViews>
  <sheetFormatPr defaultColWidth="14.42578125" defaultRowHeight="15" customHeight="1" x14ac:dyDescent="0.25"/>
  <cols>
    <col min="1" max="1" width="1.7109375" customWidth="1"/>
    <col min="2" max="2" width="18.85546875" customWidth="1"/>
    <col min="3" max="3" width="10.140625" customWidth="1"/>
    <col min="4" max="4" width="7.140625" customWidth="1"/>
    <col min="5" max="8" width="8.5703125" customWidth="1"/>
    <col min="9" max="9" width="8.7109375" customWidth="1"/>
    <col min="10" max="10" width="8.5703125" customWidth="1"/>
    <col min="11" max="34" width="10.140625" customWidth="1"/>
    <col min="35" max="35" width="11.28515625" customWidth="1"/>
    <col min="36" max="36" width="3" customWidth="1"/>
    <col min="37" max="37" width="14.42578125" customWidth="1"/>
    <col min="38" max="38" width="5.5703125" customWidth="1"/>
    <col min="39" max="39" width="5.7109375" customWidth="1"/>
  </cols>
  <sheetData>
    <row r="1" spans="1:39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</row>
    <row r="2" spans="1:39" x14ac:dyDescent="0.25">
      <c r="A2" s="96"/>
      <c r="B2" s="74" t="s">
        <v>45</v>
      </c>
      <c r="C2" s="75">
        <f>SUM(C8:C31)</f>
        <v>-2044.8516666666665</v>
      </c>
      <c r="D2" s="12"/>
      <c r="E2" s="48">
        <f t="shared" ref="E2:AI2" si="0">E6/$C$2</f>
        <v>0.10093641674090462</v>
      </c>
      <c r="F2" s="48">
        <f t="shared" si="0"/>
        <v>3.4232311879182763E-2</v>
      </c>
      <c r="G2" s="48">
        <f t="shared" si="0"/>
        <v>1.163898603892214E-2</v>
      </c>
      <c r="H2" s="48">
        <f t="shared" si="0"/>
        <v>2.4930903708581965E-2</v>
      </c>
      <c r="I2" s="48">
        <f t="shared" si="0"/>
        <v>7.824528429527489E-3</v>
      </c>
      <c r="J2" s="48">
        <f t="shared" si="0"/>
        <v>9.135136941473344E-3</v>
      </c>
      <c r="K2" s="48">
        <f t="shared" si="0"/>
        <v>0.26896816476500746</v>
      </c>
      <c r="L2" s="48">
        <f t="shared" si="0"/>
        <v>1.3154988422143091E-2</v>
      </c>
      <c r="M2" s="48">
        <f t="shared" si="0"/>
        <v>7.922335034896583E-3</v>
      </c>
      <c r="N2" s="48">
        <f t="shared" si="0"/>
        <v>9.7806605369093608E-3</v>
      </c>
      <c r="O2" s="48">
        <f t="shared" si="0"/>
        <v>1.880331988220825E-2</v>
      </c>
      <c r="P2" s="48">
        <f t="shared" si="0"/>
        <v>1.516002383220951E-2</v>
      </c>
      <c r="Q2" s="48">
        <f t="shared" si="0"/>
        <v>1.5350746712679242E-2</v>
      </c>
      <c r="R2" s="48">
        <f t="shared" si="0"/>
        <v>2.2006486208046062E-2</v>
      </c>
      <c r="S2" s="48">
        <f t="shared" si="0"/>
        <v>8.4309293828158677E-3</v>
      </c>
      <c r="T2" s="48">
        <f t="shared" si="0"/>
        <v>1.2176922368452154E-2</v>
      </c>
      <c r="U2" s="48">
        <f t="shared" si="0"/>
        <v>2.313126216979064E-2</v>
      </c>
      <c r="V2" s="48">
        <f t="shared" si="0"/>
        <v>0</v>
      </c>
      <c r="W2" s="48">
        <f t="shared" si="0"/>
        <v>8.5580779697956907E-3</v>
      </c>
      <c r="X2" s="48">
        <f t="shared" si="0"/>
        <v>7.8196380992590336E-3</v>
      </c>
      <c r="Y2" s="48">
        <f t="shared" si="0"/>
        <v>8.4651616946950517E-2</v>
      </c>
      <c r="Z2" s="48">
        <f t="shared" si="0"/>
        <v>0</v>
      </c>
      <c r="AA2" s="48">
        <f t="shared" si="0"/>
        <v>1.4548732548652675E-2</v>
      </c>
      <c r="AB2" s="48">
        <f t="shared" si="0"/>
        <v>0</v>
      </c>
      <c r="AC2" s="48">
        <f t="shared" si="0"/>
        <v>3.7523504149852768E-2</v>
      </c>
      <c r="AD2" s="48">
        <f t="shared" si="0"/>
        <v>1.2128019065767609E-2</v>
      </c>
      <c r="AE2" s="48">
        <f t="shared" si="0"/>
        <v>5.1348467818774146E-3</v>
      </c>
      <c r="AF2" s="48">
        <f t="shared" si="0"/>
        <v>5.3734948989780026E-2</v>
      </c>
      <c r="AG2" s="48">
        <f t="shared" si="0"/>
        <v>2.2006486208046064E-3</v>
      </c>
      <c r="AH2" s="48">
        <f t="shared" si="0"/>
        <v>1.408415117314948E-2</v>
      </c>
      <c r="AI2" s="48">
        <f t="shared" si="0"/>
        <v>2.975276935327828E-2</v>
      </c>
      <c r="AJ2" s="97"/>
    </row>
    <row r="3" spans="1:39" hidden="1" x14ac:dyDescent="0.25">
      <c r="A3" s="96"/>
      <c r="B3" s="76"/>
      <c r="C3" s="77"/>
      <c r="D3" s="1"/>
      <c r="E3" s="55" t="str">
        <f t="shared" ref="E3:AI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96"/>
      <c r="AL3" s="78" t="s">
        <v>0</v>
      </c>
      <c r="AM3" s="1" t="s">
        <v>64</v>
      </c>
    </row>
    <row r="4" spans="1:39" x14ac:dyDescent="0.25">
      <c r="A4" s="96"/>
      <c r="B4" s="79" t="s">
        <v>47</v>
      </c>
      <c r="C4" s="102">
        <f>C33+C2</f>
        <v>189.13833333333332</v>
      </c>
      <c r="D4" s="104" t="s">
        <v>7</v>
      </c>
      <c r="E4" s="105" t="str">
        <f t="shared" ref="E4:AI4" si="2">TEXT(E5,"ddd")</f>
        <v>Fri</v>
      </c>
      <c r="F4" s="105" t="str">
        <f t="shared" si="2"/>
        <v>Sat</v>
      </c>
      <c r="G4" s="105" t="str">
        <f t="shared" si="2"/>
        <v>Sun</v>
      </c>
      <c r="H4" s="105" t="str">
        <f t="shared" si="2"/>
        <v>Mon</v>
      </c>
      <c r="I4" s="105" t="str">
        <f t="shared" si="2"/>
        <v>Tue</v>
      </c>
      <c r="J4" s="105" t="str">
        <f t="shared" si="2"/>
        <v>Wed</v>
      </c>
      <c r="K4" s="105" t="str">
        <f t="shared" si="2"/>
        <v>Thu</v>
      </c>
      <c r="L4" s="105" t="str">
        <f t="shared" si="2"/>
        <v>Fri</v>
      </c>
      <c r="M4" s="105" t="str">
        <f t="shared" si="2"/>
        <v>Sat</v>
      </c>
      <c r="N4" s="105" t="str">
        <f t="shared" si="2"/>
        <v>Sun</v>
      </c>
      <c r="O4" s="105" t="str">
        <f t="shared" si="2"/>
        <v>Mon</v>
      </c>
      <c r="P4" s="105" t="str">
        <f t="shared" si="2"/>
        <v>Tue</v>
      </c>
      <c r="Q4" s="105" t="str">
        <f t="shared" si="2"/>
        <v>Wed</v>
      </c>
      <c r="R4" s="105" t="str">
        <f t="shared" si="2"/>
        <v>Thu</v>
      </c>
      <c r="S4" s="105" t="str">
        <f t="shared" si="2"/>
        <v>Fri</v>
      </c>
      <c r="T4" s="105" t="str">
        <f t="shared" si="2"/>
        <v>Sat</v>
      </c>
      <c r="U4" s="105" t="str">
        <f t="shared" si="2"/>
        <v>Sun</v>
      </c>
      <c r="V4" s="105" t="str">
        <f t="shared" si="2"/>
        <v>Mon</v>
      </c>
      <c r="W4" s="105" t="str">
        <f t="shared" si="2"/>
        <v>Tue</v>
      </c>
      <c r="X4" s="105" t="str">
        <f t="shared" si="2"/>
        <v>Wed</v>
      </c>
      <c r="Y4" s="105" t="str">
        <f t="shared" si="2"/>
        <v>Thu</v>
      </c>
      <c r="Z4" s="105" t="str">
        <f t="shared" si="2"/>
        <v>Fri</v>
      </c>
      <c r="AA4" s="105" t="str">
        <f t="shared" si="2"/>
        <v>Sat</v>
      </c>
      <c r="AB4" s="105" t="str">
        <f t="shared" si="2"/>
        <v>Sun</v>
      </c>
      <c r="AC4" s="105" t="str">
        <f t="shared" si="2"/>
        <v>Mon</v>
      </c>
      <c r="AD4" s="105" t="str">
        <f t="shared" si="2"/>
        <v>Tue</v>
      </c>
      <c r="AE4" s="105" t="str">
        <f t="shared" si="2"/>
        <v>Wed</v>
      </c>
      <c r="AF4" s="105" t="str">
        <f t="shared" si="2"/>
        <v>Thu</v>
      </c>
      <c r="AG4" s="105" t="str">
        <f t="shared" si="2"/>
        <v>Fri</v>
      </c>
      <c r="AH4" s="105" t="str">
        <f t="shared" si="2"/>
        <v>Sat</v>
      </c>
      <c r="AI4" s="105" t="str">
        <f t="shared" si="2"/>
        <v>Sun</v>
      </c>
      <c r="AJ4" s="96"/>
      <c r="AL4" s="78">
        <v>2019</v>
      </c>
      <c r="AM4" s="56">
        <f ca="1">TODAY()</f>
        <v>43926</v>
      </c>
    </row>
    <row r="5" spans="1:39" x14ac:dyDescent="0.25">
      <c r="A5" s="96"/>
      <c r="B5" s="81" t="s">
        <v>51</v>
      </c>
      <c r="C5" s="108">
        <f>C4/C33</f>
        <v>8.4663912252666007E-2</v>
      </c>
      <c r="D5" s="109"/>
      <c r="E5" s="111">
        <f>DATE($AL$4,$AL$6,1)</f>
        <v>43525</v>
      </c>
      <c r="F5" s="111">
        <f t="shared" ref="F5:AI5" si="3">E5+1</f>
        <v>43526</v>
      </c>
      <c r="G5" s="111">
        <f t="shared" si="3"/>
        <v>43527</v>
      </c>
      <c r="H5" s="111">
        <f t="shared" si="3"/>
        <v>43528</v>
      </c>
      <c r="I5" s="111">
        <f t="shared" si="3"/>
        <v>43529</v>
      </c>
      <c r="J5" s="111">
        <f t="shared" si="3"/>
        <v>43530</v>
      </c>
      <c r="K5" s="111">
        <f t="shared" si="3"/>
        <v>43531</v>
      </c>
      <c r="L5" s="111">
        <f t="shared" si="3"/>
        <v>43532</v>
      </c>
      <c r="M5" s="111">
        <f t="shared" si="3"/>
        <v>43533</v>
      </c>
      <c r="N5" s="111">
        <f t="shared" si="3"/>
        <v>43534</v>
      </c>
      <c r="O5" s="111">
        <f t="shared" si="3"/>
        <v>43535</v>
      </c>
      <c r="P5" s="111">
        <f t="shared" si="3"/>
        <v>43536</v>
      </c>
      <c r="Q5" s="111">
        <f t="shared" si="3"/>
        <v>43537</v>
      </c>
      <c r="R5" s="111">
        <f t="shared" si="3"/>
        <v>43538</v>
      </c>
      <c r="S5" s="111">
        <f t="shared" si="3"/>
        <v>43539</v>
      </c>
      <c r="T5" s="111">
        <f t="shared" si="3"/>
        <v>43540</v>
      </c>
      <c r="U5" s="111">
        <f t="shared" si="3"/>
        <v>43541</v>
      </c>
      <c r="V5" s="111">
        <f t="shared" si="3"/>
        <v>43542</v>
      </c>
      <c r="W5" s="111">
        <f t="shared" si="3"/>
        <v>43543</v>
      </c>
      <c r="X5" s="111">
        <f t="shared" si="3"/>
        <v>43544</v>
      </c>
      <c r="Y5" s="111">
        <f t="shared" si="3"/>
        <v>43545</v>
      </c>
      <c r="Z5" s="111">
        <f t="shared" si="3"/>
        <v>43546</v>
      </c>
      <c r="AA5" s="111">
        <f t="shared" si="3"/>
        <v>43547</v>
      </c>
      <c r="AB5" s="111">
        <f t="shared" si="3"/>
        <v>43548</v>
      </c>
      <c r="AC5" s="111">
        <f t="shared" si="3"/>
        <v>43549</v>
      </c>
      <c r="AD5" s="111">
        <f t="shared" si="3"/>
        <v>43550</v>
      </c>
      <c r="AE5" s="111">
        <f t="shared" si="3"/>
        <v>43551</v>
      </c>
      <c r="AF5" s="111">
        <f t="shared" si="3"/>
        <v>43552</v>
      </c>
      <c r="AG5" s="111">
        <f t="shared" si="3"/>
        <v>43553</v>
      </c>
      <c r="AH5" s="111">
        <f t="shared" si="3"/>
        <v>43554</v>
      </c>
      <c r="AI5" s="111">
        <f t="shared" si="3"/>
        <v>43555</v>
      </c>
      <c r="AJ5" s="96"/>
      <c r="AL5" s="78" t="s">
        <v>1</v>
      </c>
      <c r="AM5" s="1" t="str">
        <f ca="1">IF(V5=AM4,"sim","não")</f>
        <v>não</v>
      </c>
    </row>
    <row r="6" spans="1:39" x14ac:dyDescent="0.25">
      <c r="A6" s="96"/>
      <c r="B6" s="83"/>
      <c r="C6" s="15" t="s">
        <v>62</v>
      </c>
      <c r="D6" s="113">
        <f>SUM(D8:D31)</f>
        <v>1</v>
      </c>
      <c r="E6" s="114">
        <f t="shared" ref="E6:AI6" si="4">SUM(E7:E31)</f>
        <v>-206.4</v>
      </c>
      <c r="F6" s="114">
        <f t="shared" si="4"/>
        <v>-70</v>
      </c>
      <c r="G6" s="114">
        <f t="shared" si="4"/>
        <v>-23.8</v>
      </c>
      <c r="H6" s="114">
        <f t="shared" si="4"/>
        <v>-50.980000000000004</v>
      </c>
      <c r="I6" s="114">
        <f t="shared" si="4"/>
        <v>-16</v>
      </c>
      <c r="J6" s="114">
        <f t="shared" si="4"/>
        <v>-18.68</v>
      </c>
      <c r="K6" s="114">
        <f t="shared" si="4"/>
        <v>-550</v>
      </c>
      <c r="L6" s="114">
        <f t="shared" si="4"/>
        <v>-26.9</v>
      </c>
      <c r="M6" s="114">
        <f t="shared" si="4"/>
        <v>-16.2</v>
      </c>
      <c r="N6" s="114">
        <f t="shared" si="4"/>
        <v>-20</v>
      </c>
      <c r="O6" s="114">
        <f t="shared" si="4"/>
        <v>-38.450000000000003</v>
      </c>
      <c r="P6" s="114">
        <f t="shared" si="4"/>
        <v>-31</v>
      </c>
      <c r="Q6" s="114">
        <f t="shared" si="4"/>
        <v>-31.39</v>
      </c>
      <c r="R6" s="114">
        <f t="shared" si="4"/>
        <v>-45</v>
      </c>
      <c r="S6" s="114">
        <f t="shared" si="4"/>
        <v>-17.239999999999998</v>
      </c>
      <c r="T6" s="114">
        <f t="shared" si="4"/>
        <v>-24.9</v>
      </c>
      <c r="U6" s="114">
        <f t="shared" si="4"/>
        <v>-47.300000000000004</v>
      </c>
      <c r="V6" s="114">
        <f t="shared" si="4"/>
        <v>0</v>
      </c>
      <c r="W6" s="114">
        <f t="shared" si="4"/>
        <v>-17.5</v>
      </c>
      <c r="X6" s="114">
        <f t="shared" si="4"/>
        <v>-15.99</v>
      </c>
      <c r="Y6" s="114">
        <f t="shared" si="4"/>
        <v>-173.1</v>
      </c>
      <c r="Z6" s="114">
        <f t="shared" si="4"/>
        <v>0</v>
      </c>
      <c r="AA6" s="114">
        <f t="shared" si="4"/>
        <v>-29.75</v>
      </c>
      <c r="AB6" s="114">
        <f t="shared" si="4"/>
        <v>0</v>
      </c>
      <c r="AC6" s="114">
        <f t="shared" si="4"/>
        <v>-76.73</v>
      </c>
      <c r="AD6" s="114">
        <f t="shared" si="4"/>
        <v>-24.8</v>
      </c>
      <c r="AE6" s="114">
        <f t="shared" si="4"/>
        <v>-10.5</v>
      </c>
      <c r="AF6" s="114">
        <f t="shared" si="4"/>
        <v>-109.88</v>
      </c>
      <c r="AG6" s="114">
        <f t="shared" si="4"/>
        <v>-4.5</v>
      </c>
      <c r="AH6" s="114">
        <f t="shared" si="4"/>
        <v>-28.8</v>
      </c>
      <c r="AI6" s="114">
        <f t="shared" si="4"/>
        <v>-60.84</v>
      </c>
      <c r="AJ6" s="96"/>
      <c r="AL6" s="78">
        <v>3</v>
      </c>
      <c r="AM6" s="1"/>
    </row>
    <row r="7" spans="1:39" x14ac:dyDescent="0.25">
      <c r="A7" s="96"/>
      <c r="B7" s="83" t="s">
        <v>90</v>
      </c>
      <c r="C7" s="15"/>
      <c r="D7" s="91" t="s">
        <v>66</v>
      </c>
      <c r="E7" s="92" t="s">
        <v>66</v>
      </c>
      <c r="F7" s="92" t="s">
        <v>66</v>
      </c>
      <c r="G7" s="92" t="s">
        <v>66</v>
      </c>
      <c r="H7" s="92" t="s">
        <v>66</v>
      </c>
      <c r="I7" s="92" t="s">
        <v>66</v>
      </c>
      <c r="J7" s="92" t="s">
        <v>66</v>
      </c>
      <c r="K7" s="92" t="s">
        <v>66</v>
      </c>
      <c r="L7" s="92" t="s">
        <v>66</v>
      </c>
      <c r="M7" s="92" t="s">
        <v>66</v>
      </c>
      <c r="N7" s="92" t="s">
        <v>66</v>
      </c>
      <c r="O7" s="92" t="s">
        <v>66</v>
      </c>
      <c r="P7" s="92" t="s">
        <v>66</v>
      </c>
      <c r="Q7" s="92" t="s">
        <v>66</v>
      </c>
      <c r="R7" s="92" t="s">
        <v>66</v>
      </c>
      <c r="S7" s="92" t="s">
        <v>66</v>
      </c>
      <c r="T7" s="92" t="s">
        <v>66</v>
      </c>
      <c r="U7" s="92" t="s">
        <v>66</v>
      </c>
      <c r="V7" s="92" t="s">
        <v>66</v>
      </c>
      <c r="W7" s="92" t="s">
        <v>66</v>
      </c>
      <c r="X7" s="92" t="s">
        <v>66</v>
      </c>
      <c r="Y7" s="92" t="s">
        <v>66</v>
      </c>
      <c r="Z7" s="92" t="s">
        <v>66</v>
      </c>
      <c r="AA7" s="92" t="s">
        <v>66</v>
      </c>
      <c r="AB7" s="92" t="s">
        <v>66</v>
      </c>
      <c r="AC7" s="92" t="s">
        <v>66</v>
      </c>
      <c r="AD7" s="92" t="s">
        <v>66</v>
      </c>
      <c r="AE7" s="92" t="s">
        <v>66</v>
      </c>
      <c r="AF7" s="92" t="s">
        <v>66</v>
      </c>
      <c r="AG7" s="92" t="s">
        <v>66</v>
      </c>
      <c r="AH7" s="92" t="s">
        <v>66</v>
      </c>
      <c r="AI7" s="92" t="s">
        <v>66</v>
      </c>
      <c r="AJ7" s="96" t="s">
        <v>66</v>
      </c>
      <c r="AL7" s="78"/>
      <c r="AM7" s="1"/>
    </row>
    <row r="8" spans="1:39" x14ac:dyDescent="0.25">
      <c r="A8" s="96"/>
      <c r="B8" s="86" t="s">
        <v>20</v>
      </c>
      <c r="C8" s="87">
        <f t="shared" ref="C8:C32" si="5">SUM(E8:AI8)</f>
        <v>-263.74</v>
      </c>
      <c r="D8" s="88">
        <f t="shared" ref="D8:D32" si="6">C8/$C$2</f>
        <v>0.12897757050022374</v>
      </c>
      <c r="E8" s="89" t="s">
        <v>66</v>
      </c>
      <c r="F8" s="89" t="s">
        <v>66</v>
      </c>
      <c r="G8" s="89">
        <f>-15-8.8</f>
        <v>-23.8</v>
      </c>
      <c r="H8" s="89">
        <v>-35</v>
      </c>
      <c r="I8" s="89" t="s">
        <v>66</v>
      </c>
      <c r="J8" s="89" t="s">
        <v>66</v>
      </c>
      <c r="K8" s="89" t="s">
        <v>66</v>
      </c>
      <c r="L8" s="89" t="s">
        <v>66</v>
      </c>
      <c r="M8" s="89" t="s">
        <v>66</v>
      </c>
      <c r="N8" s="89" t="s">
        <v>66</v>
      </c>
      <c r="O8" s="89">
        <v>-18.899999999999999</v>
      </c>
      <c r="P8" s="89" t="s">
        <v>66</v>
      </c>
      <c r="Q8" s="89">
        <v>-14.9</v>
      </c>
      <c r="R8" s="89" t="s">
        <v>66</v>
      </c>
      <c r="S8" s="89" t="s">
        <v>66</v>
      </c>
      <c r="T8" s="89">
        <v>-19.899999999999999</v>
      </c>
      <c r="U8" s="89">
        <f>-15.99-5</f>
        <v>-20.990000000000002</v>
      </c>
      <c r="V8" s="89" t="s">
        <v>66</v>
      </c>
      <c r="W8" s="89">
        <v>-17.5</v>
      </c>
      <c r="X8" s="89" t="s">
        <v>66</v>
      </c>
      <c r="Y8" s="89" t="s">
        <v>66</v>
      </c>
      <c r="Z8" s="89" t="s">
        <v>66</v>
      </c>
      <c r="AA8" s="89">
        <v>-14.25</v>
      </c>
      <c r="AB8" s="89" t="s">
        <v>66</v>
      </c>
      <c r="AC8" s="89" t="s">
        <v>66</v>
      </c>
      <c r="AD8" s="89">
        <v>-24.8</v>
      </c>
      <c r="AE8" s="89">
        <v>-8</v>
      </c>
      <c r="AF8" s="89">
        <v>-19.899999999999999</v>
      </c>
      <c r="AG8" s="89" t="s">
        <v>66</v>
      </c>
      <c r="AH8" s="89">
        <v>-22.8</v>
      </c>
      <c r="AI8" s="89">
        <v>-23</v>
      </c>
      <c r="AJ8" s="97"/>
    </row>
    <row r="9" spans="1:39" x14ac:dyDescent="0.25">
      <c r="A9" s="96"/>
      <c r="B9" s="86" t="s">
        <v>21</v>
      </c>
      <c r="C9" s="87">
        <f t="shared" si="5"/>
        <v>-28.799999999999997</v>
      </c>
      <c r="D9" s="91">
        <f t="shared" si="6"/>
        <v>1.4084151173149479E-2</v>
      </c>
      <c r="E9" s="92" t="s">
        <v>66</v>
      </c>
      <c r="F9" s="92" t="s">
        <v>66</v>
      </c>
      <c r="G9" s="92" t="s">
        <v>66</v>
      </c>
      <c r="H9" s="92" t="s">
        <v>66</v>
      </c>
      <c r="I9" s="92" t="s">
        <v>66</v>
      </c>
      <c r="J9" s="92" t="s">
        <v>66</v>
      </c>
      <c r="K9" s="92" t="s">
        <v>66</v>
      </c>
      <c r="L9" s="92" t="s">
        <v>66</v>
      </c>
      <c r="M9" s="92">
        <v>-10.9</v>
      </c>
      <c r="N9" s="92" t="s">
        <v>66</v>
      </c>
      <c r="O9" s="92" t="s">
        <v>66</v>
      </c>
      <c r="P9" s="92" t="s">
        <v>66</v>
      </c>
      <c r="Q9" s="92" t="s">
        <v>66</v>
      </c>
      <c r="R9" s="92" t="s">
        <v>66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>
        <v>-17.899999999999999</v>
      </c>
      <c r="Z9" s="92" t="s">
        <v>66</v>
      </c>
      <c r="AA9" s="92" t="s">
        <v>66</v>
      </c>
      <c r="AB9" s="92" t="s">
        <v>66</v>
      </c>
      <c r="AC9" s="92" t="s">
        <v>66</v>
      </c>
      <c r="AD9" s="92" t="s">
        <v>66</v>
      </c>
      <c r="AE9" s="92" t="s">
        <v>66</v>
      </c>
      <c r="AF9" s="92" t="s">
        <v>66</v>
      </c>
      <c r="AG9" s="92" t="s">
        <v>66</v>
      </c>
      <c r="AH9" s="92" t="s">
        <v>66</v>
      </c>
      <c r="AI9" s="92" t="s">
        <v>66</v>
      </c>
      <c r="AJ9" s="97"/>
      <c r="AL9" s="54"/>
    </row>
    <row r="10" spans="1:39" x14ac:dyDescent="0.25">
      <c r="A10" s="96"/>
      <c r="B10" s="86" t="s">
        <v>91</v>
      </c>
      <c r="C10" s="87">
        <f t="shared" si="5"/>
        <v>0</v>
      </c>
      <c r="D10" s="93">
        <f t="shared" si="6"/>
        <v>0</v>
      </c>
      <c r="E10" s="94" t="s">
        <v>66</v>
      </c>
      <c r="F10" s="94" t="s">
        <v>66</v>
      </c>
      <c r="G10" s="94" t="s">
        <v>66</v>
      </c>
      <c r="H10" s="94" t="s">
        <v>66</v>
      </c>
      <c r="I10" s="94" t="s">
        <v>66</v>
      </c>
      <c r="J10" s="94" t="s">
        <v>66</v>
      </c>
      <c r="K10" s="94" t="s">
        <v>66</v>
      </c>
      <c r="L10" s="94" t="s">
        <v>66</v>
      </c>
      <c r="M10" s="94" t="s">
        <v>66</v>
      </c>
      <c r="N10" s="94" t="s">
        <v>66</v>
      </c>
      <c r="O10" s="94" t="s">
        <v>66</v>
      </c>
      <c r="P10" s="94" t="s">
        <v>66</v>
      </c>
      <c r="Q10" s="94" t="s">
        <v>66</v>
      </c>
      <c r="R10" s="94" t="s">
        <v>66</v>
      </c>
      <c r="S10" s="94" t="s">
        <v>66</v>
      </c>
      <c r="T10" s="94" t="s">
        <v>66</v>
      </c>
      <c r="U10" s="94" t="s">
        <v>66</v>
      </c>
      <c r="V10" s="94" t="s">
        <v>66</v>
      </c>
      <c r="W10" s="94" t="s">
        <v>66</v>
      </c>
      <c r="X10" s="94" t="s">
        <v>66</v>
      </c>
      <c r="Y10" s="94" t="s">
        <v>66</v>
      </c>
      <c r="Z10" s="94" t="s">
        <v>66</v>
      </c>
      <c r="AA10" s="94" t="s">
        <v>66</v>
      </c>
      <c r="AB10" s="94" t="s">
        <v>66</v>
      </c>
      <c r="AC10" s="94" t="s">
        <v>66</v>
      </c>
      <c r="AD10" s="94" t="s">
        <v>66</v>
      </c>
      <c r="AE10" s="94" t="s">
        <v>66</v>
      </c>
      <c r="AF10" s="94" t="s">
        <v>66</v>
      </c>
      <c r="AG10" s="94" t="s">
        <v>66</v>
      </c>
      <c r="AH10" s="94" t="s">
        <v>66</v>
      </c>
      <c r="AI10" s="94" t="s">
        <v>66</v>
      </c>
      <c r="AJ10" s="97"/>
      <c r="AL10" s="54"/>
    </row>
    <row r="11" spans="1:39" x14ac:dyDescent="0.25">
      <c r="A11" s="96"/>
      <c r="B11" s="86" t="s">
        <v>22</v>
      </c>
      <c r="C11" s="87">
        <f t="shared" si="5"/>
        <v>-8.5</v>
      </c>
      <c r="D11" s="91">
        <f t="shared" si="6"/>
        <v>4.1567807281864787E-3</v>
      </c>
      <c r="E11" s="92" t="s">
        <v>66</v>
      </c>
      <c r="F11" s="92" t="s">
        <v>66</v>
      </c>
      <c r="G11" s="92" t="s">
        <v>66</v>
      </c>
      <c r="H11" s="92" t="s">
        <v>66</v>
      </c>
      <c r="I11" s="92">
        <v>-6</v>
      </c>
      <c r="J11" s="92" t="s">
        <v>66</v>
      </c>
      <c r="K11" s="92" t="s">
        <v>66</v>
      </c>
      <c r="L11" s="92" t="s">
        <v>66</v>
      </c>
      <c r="M11" s="92">
        <v>-2.5</v>
      </c>
      <c r="N11" s="92" t="s">
        <v>66</v>
      </c>
      <c r="O11" s="92" t="s">
        <v>66</v>
      </c>
      <c r="P11" s="92" t="s">
        <v>66</v>
      </c>
      <c r="Q11" s="92" t="s">
        <v>66</v>
      </c>
      <c r="R11" s="92" t="s">
        <v>66</v>
      </c>
      <c r="S11" s="92" t="s">
        <v>66</v>
      </c>
      <c r="T11" s="92" t="s">
        <v>66</v>
      </c>
      <c r="U11" s="92" t="s">
        <v>66</v>
      </c>
      <c r="V11" s="92" t="s">
        <v>66</v>
      </c>
      <c r="W11" s="92" t="s">
        <v>66</v>
      </c>
      <c r="X11" s="92" t="s">
        <v>66</v>
      </c>
      <c r="Y11" s="92" t="s">
        <v>66</v>
      </c>
      <c r="Z11" s="92" t="s">
        <v>66</v>
      </c>
      <c r="AA11" s="92" t="s">
        <v>66</v>
      </c>
      <c r="AB11" s="92" t="s">
        <v>66</v>
      </c>
      <c r="AC11" s="92" t="s">
        <v>66</v>
      </c>
      <c r="AD11" s="92" t="s">
        <v>66</v>
      </c>
      <c r="AE11" s="92" t="s">
        <v>66</v>
      </c>
      <c r="AF11" s="92" t="s">
        <v>66</v>
      </c>
      <c r="AG11" s="92" t="s">
        <v>66</v>
      </c>
      <c r="AH11" s="92" t="s">
        <v>66</v>
      </c>
      <c r="AI11" s="92" t="s">
        <v>66</v>
      </c>
      <c r="AJ11" s="97"/>
      <c r="AL11" s="54"/>
    </row>
    <row r="12" spans="1:39" x14ac:dyDescent="0.25">
      <c r="A12" s="96"/>
      <c r="B12" s="86" t="s">
        <v>23</v>
      </c>
      <c r="C12" s="87">
        <f t="shared" si="5"/>
        <v>-21.5</v>
      </c>
      <c r="D12" s="93">
        <f t="shared" si="6"/>
        <v>1.0514210077177562E-2</v>
      </c>
      <c r="E12" s="94" t="s">
        <v>66</v>
      </c>
      <c r="F12" s="94" t="s">
        <v>66</v>
      </c>
      <c r="G12" s="94" t="s">
        <v>66</v>
      </c>
      <c r="H12" s="94" t="s">
        <v>66</v>
      </c>
      <c r="I12" s="94" t="s">
        <v>66</v>
      </c>
      <c r="J12" s="94" t="s">
        <v>66</v>
      </c>
      <c r="K12" s="94" t="s">
        <v>66</v>
      </c>
      <c r="L12" s="94" t="s">
        <v>66</v>
      </c>
      <c r="M12" s="94">
        <v>-2.8</v>
      </c>
      <c r="N12" s="94" t="s">
        <v>66</v>
      </c>
      <c r="O12" s="94" t="s">
        <v>66</v>
      </c>
      <c r="P12" s="94" t="s">
        <v>66</v>
      </c>
      <c r="Q12" s="94" t="s">
        <v>66</v>
      </c>
      <c r="R12" s="94" t="s">
        <v>66</v>
      </c>
      <c r="S12" s="94" t="s">
        <v>66</v>
      </c>
      <c r="T12" s="94" t="s">
        <v>66</v>
      </c>
      <c r="U12" s="94" t="s">
        <v>66</v>
      </c>
      <c r="V12" s="94" t="s">
        <v>66</v>
      </c>
      <c r="W12" s="94" t="s">
        <v>66</v>
      </c>
      <c r="X12" s="94" t="s">
        <v>66</v>
      </c>
      <c r="Y12" s="94">
        <v>-5.2</v>
      </c>
      <c r="Z12" s="94" t="s">
        <v>66</v>
      </c>
      <c r="AA12" s="94">
        <v>-5.5</v>
      </c>
      <c r="AB12" s="94" t="s">
        <v>66</v>
      </c>
      <c r="AC12" s="94" t="s">
        <v>66</v>
      </c>
      <c r="AD12" s="94" t="s">
        <v>66</v>
      </c>
      <c r="AE12" s="94">
        <v>-2.5</v>
      </c>
      <c r="AF12" s="94" t="s">
        <v>66</v>
      </c>
      <c r="AG12" s="94">
        <v>-4.5</v>
      </c>
      <c r="AH12" s="94">
        <v>-1</v>
      </c>
      <c r="AI12" s="94" t="s">
        <v>66</v>
      </c>
      <c r="AJ12" s="97"/>
    </row>
    <row r="13" spans="1:39" x14ac:dyDescent="0.25">
      <c r="A13" s="96"/>
      <c r="B13" s="86" t="s">
        <v>81</v>
      </c>
      <c r="C13" s="87">
        <f t="shared" si="5"/>
        <v>-75</v>
      </c>
      <c r="D13" s="91">
        <f t="shared" si="6"/>
        <v>3.6677477013410106E-2</v>
      </c>
      <c r="E13" s="92" t="s">
        <v>66</v>
      </c>
      <c r="F13" s="92">
        <v>-10</v>
      </c>
      <c r="G13" s="92" t="s">
        <v>66</v>
      </c>
      <c r="H13" s="92" t="s">
        <v>66</v>
      </c>
      <c r="I13" s="92">
        <v>-10</v>
      </c>
      <c r="J13" s="92">
        <v>-10</v>
      </c>
      <c r="K13" s="92" t="s">
        <v>66</v>
      </c>
      <c r="L13" s="92" t="s">
        <v>66</v>
      </c>
      <c r="M13" s="92" t="s">
        <v>66</v>
      </c>
      <c r="N13" s="92">
        <v>-10</v>
      </c>
      <c r="O13" s="92" t="s">
        <v>66</v>
      </c>
      <c r="P13" s="92">
        <v>-25</v>
      </c>
      <c r="Q13" s="92" t="s">
        <v>66</v>
      </c>
      <c r="R13" s="92" t="s">
        <v>66</v>
      </c>
      <c r="S13" s="92" t="s">
        <v>66</v>
      </c>
      <c r="T13" s="92" t="s">
        <v>66</v>
      </c>
      <c r="U13" s="92" t="s">
        <v>66</v>
      </c>
      <c r="V13" s="92" t="s">
        <v>66</v>
      </c>
      <c r="W13" s="92" t="s">
        <v>66</v>
      </c>
      <c r="X13" s="92" t="s">
        <v>66</v>
      </c>
      <c r="Y13" s="92" t="s">
        <v>66</v>
      </c>
      <c r="Z13" s="92" t="s">
        <v>66</v>
      </c>
      <c r="AA13" s="92">
        <v>-10</v>
      </c>
      <c r="AB13" s="92" t="s">
        <v>66</v>
      </c>
      <c r="AC13" s="92" t="s">
        <v>66</v>
      </c>
      <c r="AD13" s="92" t="s">
        <v>66</v>
      </c>
      <c r="AE13" s="92" t="s">
        <v>66</v>
      </c>
      <c r="AF13" s="92" t="s">
        <v>66</v>
      </c>
      <c r="AG13" s="92" t="s">
        <v>66</v>
      </c>
      <c r="AH13" s="92" t="s">
        <v>66</v>
      </c>
      <c r="AI13" s="92" t="s">
        <v>66</v>
      </c>
      <c r="AJ13" s="97"/>
    </row>
    <row r="14" spans="1:39" x14ac:dyDescent="0.25">
      <c r="A14" s="96"/>
      <c r="B14" s="86" t="s">
        <v>24</v>
      </c>
      <c r="C14" s="87">
        <f t="shared" si="5"/>
        <v>-105.34</v>
      </c>
      <c r="D14" s="93">
        <f t="shared" si="6"/>
        <v>5.151473904790161E-2</v>
      </c>
      <c r="E14" s="94" t="s">
        <v>66</v>
      </c>
      <c r="F14" s="94" t="s">
        <v>66</v>
      </c>
      <c r="G14" s="94" t="s">
        <v>66</v>
      </c>
      <c r="H14" s="94" t="s">
        <v>66</v>
      </c>
      <c r="I14" s="94" t="s">
        <v>66</v>
      </c>
      <c r="J14" s="94">
        <v>-8.68</v>
      </c>
      <c r="K14" s="94" t="s">
        <v>66</v>
      </c>
      <c r="L14" s="94" t="s">
        <v>66</v>
      </c>
      <c r="M14" s="94" t="s">
        <v>66</v>
      </c>
      <c r="N14" s="94" t="s">
        <v>66</v>
      </c>
      <c r="O14" s="94">
        <v>-14.64</v>
      </c>
      <c r="P14" s="94" t="s">
        <v>66</v>
      </c>
      <c r="Q14" s="94">
        <v>-16.489999999999998</v>
      </c>
      <c r="R14" s="94" t="s">
        <v>66</v>
      </c>
      <c r="S14" s="94" t="s">
        <v>66</v>
      </c>
      <c r="T14" s="94" t="s">
        <v>66</v>
      </c>
      <c r="U14" s="94">
        <v>-9.85</v>
      </c>
      <c r="V14" s="133" t="s">
        <v>66</v>
      </c>
      <c r="W14" s="94" t="s">
        <v>66</v>
      </c>
      <c r="X14" s="94">
        <v>-15.99</v>
      </c>
      <c r="Y14" s="94" t="s">
        <v>66</v>
      </c>
      <c r="Z14" s="94" t="s">
        <v>66</v>
      </c>
      <c r="AA14" s="94" t="s">
        <v>66</v>
      </c>
      <c r="AB14" s="94" t="s">
        <v>66</v>
      </c>
      <c r="AC14" s="94">
        <v>-16.73</v>
      </c>
      <c r="AD14" s="94" t="s">
        <v>66</v>
      </c>
      <c r="AE14" s="94" t="s">
        <v>66</v>
      </c>
      <c r="AF14" s="94" t="s">
        <v>66</v>
      </c>
      <c r="AG14" s="94" t="s">
        <v>66</v>
      </c>
      <c r="AH14" s="94">
        <v>-5</v>
      </c>
      <c r="AI14" s="94">
        <v>-17.96</v>
      </c>
      <c r="AJ14" s="97"/>
    </row>
    <row r="15" spans="1:39" x14ac:dyDescent="0.25">
      <c r="A15" s="96"/>
      <c r="B15" s="86" t="s">
        <v>27</v>
      </c>
      <c r="C15" s="87">
        <f t="shared" si="5"/>
        <v>-154.91</v>
      </c>
      <c r="D15" s="91">
        <f t="shared" si="6"/>
        <v>7.5756106188631461E-2</v>
      </c>
      <c r="E15" s="92" t="s">
        <v>66</v>
      </c>
      <c r="F15" s="92" t="s">
        <v>66</v>
      </c>
      <c r="G15" s="92" t="s">
        <v>66</v>
      </c>
      <c r="H15" s="92" t="s">
        <v>66</v>
      </c>
      <c r="I15" s="92" t="s">
        <v>77</v>
      </c>
      <c r="J15" s="92" t="s">
        <v>66</v>
      </c>
      <c r="K15" s="92" t="s">
        <v>66</v>
      </c>
      <c r="L15" s="92" t="s">
        <v>66</v>
      </c>
      <c r="M15" s="92" t="s">
        <v>66</v>
      </c>
      <c r="N15" s="92" t="s">
        <v>66</v>
      </c>
      <c r="O15" s="92">
        <v>-4.91</v>
      </c>
      <c r="P15" s="92" t="s">
        <v>66</v>
      </c>
      <c r="Q15" s="92" t="s">
        <v>66</v>
      </c>
      <c r="R15" s="92" t="s">
        <v>67</v>
      </c>
      <c r="S15" s="92" t="s">
        <v>66</v>
      </c>
      <c r="T15" s="92" t="s">
        <v>66</v>
      </c>
      <c r="U15" s="92" t="s">
        <v>66</v>
      </c>
      <c r="V15" s="92" t="s">
        <v>66</v>
      </c>
      <c r="W15" s="92" t="s">
        <v>66</v>
      </c>
      <c r="X15" s="92" t="s">
        <v>66</v>
      </c>
      <c r="Y15" s="92">
        <v>-150</v>
      </c>
      <c r="Z15" s="92" t="s">
        <v>66</v>
      </c>
      <c r="AA15" s="92" t="s">
        <v>66</v>
      </c>
      <c r="AB15" s="92" t="s">
        <v>66</v>
      </c>
      <c r="AC15" s="92" t="s">
        <v>66</v>
      </c>
      <c r="AD15" s="92" t="s">
        <v>66</v>
      </c>
      <c r="AE15" s="92" t="s">
        <v>66</v>
      </c>
      <c r="AF15" s="92" t="s">
        <v>67</v>
      </c>
      <c r="AG15" s="92" t="s">
        <v>66</v>
      </c>
      <c r="AH15" s="92" t="s">
        <v>66</v>
      </c>
      <c r="AI15" s="92" t="s">
        <v>66</v>
      </c>
      <c r="AJ15" s="97"/>
    </row>
    <row r="16" spans="1:39" x14ac:dyDescent="0.25">
      <c r="A16" s="96"/>
      <c r="B16" s="86" t="s">
        <v>28</v>
      </c>
      <c r="C16" s="87">
        <f t="shared" si="5"/>
        <v>-5</v>
      </c>
      <c r="D16" s="93">
        <f t="shared" si="6"/>
        <v>2.4451651342273402E-3</v>
      </c>
      <c r="E16" s="94" t="s">
        <v>66</v>
      </c>
      <c r="F16" s="94" t="s">
        <v>66</v>
      </c>
      <c r="G16" s="94" t="s">
        <v>66</v>
      </c>
      <c r="H16" s="94" t="s">
        <v>66</v>
      </c>
      <c r="I16" s="94" t="s">
        <v>66</v>
      </c>
      <c r="J16" s="94" t="s">
        <v>66</v>
      </c>
      <c r="K16" s="94" t="s">
        <v>66</v>
      </c>
      <c r="L16" s="94" t="s">
        <v>66</v>
      </c>
      <c r="M16" s="94" t="s">
        <v>66</v>
      </c>
      <c r="N16" s="94" t="s">
        <v>66</v>
      </c>
      <c r="O16" s="94" t="s">
        <v>66</v>
      </c>
      <c r="P16" s="94" t="s">
        <v>66</v>
      </c>
      <c r="Q16" s="94" t="s">
        <v>66</v>
      </c>
      <c r="R16" s="94" t="s">
        <v>66</v>
      </c>
      <c r="S16" s="94" t="s">
        <v>66</v>
      </c>
      <c r="T16" s="94">
        <v>-5</v>
      </c>
      <c r="U16" s="94" t="s">
        <v>66</v>
      </c>
      <c r="V16" s="94" t="s">
        <v>66</v>
      </c>
      <c r="W16" s="94" t="s">
        <v>66</v>
      </c>
      <c r="X16" s="94" t="s">
        <v>66</v>
      </c>
      <c r="Y16" s="94" t="s">
        <v>66</v>
      </c>
      <c r="Z16" s="94" t="s">
        <v>66</v>
      </c>
      <c r="AA16" s="94" t="s">
        <v>66</v>
      </c>
      <c r="AB16" s="94" t="s">
        <v>66</v>
      </c>
      <c r="AC16" s="94" t="s">
        <v>66</v>
      </c>
      <c r="AD16" s="94" t="s">
        <v>66</v>
      </c>
      <c r="AE16" s="94" t="s">
        <v>66</v>
      </c>
      <c r="AF16" s="94" t="s">
        <v>66</v>
      </c>
      <c r="AG16" s="94" t="s">
        <v>66</v>
      </c>
      <c r="AH16" s="94" t="s">
        <v>66</v>
      </c>
      <c r="AI16" s="94" t="s">
        <v>66</v>
      </c>
      <c r="AJ16" s="97"/>
    </row>
    <row r="17" spans="1:39" x14ac:dyDescent="0.25">
      <c r="A17" s="96"/>
      <c r="B17" s="86" t="s">
        <v>89</v>
      </c>
      <c r="C17" s="87">
        <f t="shared" si="5"/>
        <v>-15</v>
      </c>
      <c r="D17" s="91">
        <f t="shared" si="6"/>
        <v>7.3354954026820206E-3</v>
      </c>
      <c r="E17" s="92" t="s">
        <v>66</v>
      </c>
      <c r="F17" s="92" t="s">
        <v>66</v>
      </c>
      <c r="G17" s="92" t="s">
        <v>66</v>
      </c>
      <c r="H17" s="92" t="s">
        <v>66</v>
      </c>
      <c r="I17" s="92" t="s">
        <v>66</v>
      </c>
      <c r="J17" s="92" t="s">
        <v>66</v>
      </c>
      <c r="K17" s="92" t="s">
        <v>66</v>
      </c>
      <c r="L17" s="92" t="s">
        <v>66</v>
      </c>
      <c r="M17" s="92" t="s">
        <v>66</v>
      </c>
      <c r="N17" s="92">
        <v>-10</v>
      </c>
      <c r="O17" s="92" t="s">
        <v>66</v>
      </c>
      <c r="P17" s="92" t="s">
        <v>66</v>
      </c>
      <c r="Q17" s="92" t="s">
        <v>66</v>
      </c>
      <c r="R17" s="92" t="s">
        <v>66</v>
      </c>
      <c r="S17" s="92" t="s">
        <v>66</v>
      </c>
      <c r="T17" s="92" t="s">
        <v>66</v>
      </c>
      <c r="U17" s="92" t="s">
        <v>66</v>
      </c>
      <c r="V17" s="92" t="s">
        <v>66</v>
      </c>
      <c r="W17" s="92" t="s">
        <v>66</v>
      </c>
      <c r="X17" s="92" t="s">
        <v>66</v>
      </c>
      <c r="Y17" s="92" t="s">
        <v>66</v>
      </c>
      <c r="Z17" s="92" t="s">
        <v>66</v>
      </c>
      <c r="AA17" s="92" t="s">
        <v>66</v>
      </c>
      <c r="AB17" s="92" t="s">
        <v>66</v>
      </c>
      <c r="AC17" s="92" t="s">
        <v>66</v>
      </c>
      <c r="AD17" s="92" t="s">
        <v>66</v>
      </c>
      <c r="AE17" s="92" t="s">
        <v>66</v>
      </c>
      <c r="AF17" s="92" t="s">
        <v>66</v>
      </c>
      <c r="AG17" s="92" t="s">
        <v>66</v>
      </c>
      <c r="AH17" s="92" t="s">
        <v>66</v>
      </c>
      <c r="AI17" s="92">
        <v>-5</v>
      </c>
      <c r="AJ17" s="97"/>
    </row>
    <row r="18" spans="1:39" x14ac:dyDescent="0.25">
      <c r="A18" s="96"/>
      <c r="B18" s="86" t="s">
        <v>29</v>
      </c>
      <c r="C18" s="87">
        <f t="shared" si="5"/>
        <v>-76.89</v>
      </c>
      <c r="D18" s="93">
        <f t="shared" si="6"/>
        <v>3.7601749434148041E-2</v>
      </c>
      <c r="E18" s="94" t="s">
        <v>66</v>
      </c>
      <c r="F18" s="94" t="s">
        <v>66</v>
      </c>
      <c r="G18" s="94" t="s">
        <v>66</v>
      </c>
      <c r="H18" s="94" t="s">
        <v>66</v>
      </c>
      <c r="I18" s="94" t="s">
        <v>66</v>
      </c>
      <c r="J18" s="94" t="s">
        <v>66</v>
      </c>
      <c r="K18" s="94" t="s">
        <v>66</v>
      </c>
      <c r="L18" s="94">
        <v>-26.9</v>
      </c>
      <c r="M18" s="94" t="s">
        <v>66</v>
      </c>
      <c r="N18" s="94" t="s">
        <v>66</v>
      </c>
      <c r="O18" s="94" t="s">
        <v>66</v>
      </c>
      <c r="P18" s="94" t="s">
        <v>66</v>
      </c>
      <c r="Q18" s="94" t="s">
        <v>66</v>
      </c>
      <c r="R18" s="94" t="s">
        <v>66</v>
      </c>
      <c r="S18" s="94" t="s">
        <v>66</v>
      </c>
      <c r="T18" s="94" t="s">
        <v>66</v>
      </c>
      <c r="U18" s="94" t="s">
        <v>66</v>
      </c>
      <c r="V18" s="94" t="s">
        <v>66</v>
      </c>
      <c r="W18" s="94" t="s">
        <v>66</v>
      </c>
      <c r="X18" s="94" t="s">
        <v>66</v>
      </c>
      <c r="Y18" s="94" t="s">
        <v>66</v>
      </c>
      <c r="Z18" s="94" t="s">
        <v>66</v>
      </c>
      <c r="AA18" s="94" t="s">
        <v>66</v>
      </c>
      <c r="AB18" s="94" t="s">
        <v>66</v>
      </c>
      <c r="AC18" s="94" t="s">
        <v>66</v>
      </c>
      <c r="AD18" s="94" t="s">
        <v>66</v>
      </c>
      <c r="AE18" s="94" t="s">
        <v>66</v>
      </c>
      <c r="AF18" s="94">
        <v>-49.99</v>
      </c>
      <c r="AG18" s="94" t="s">
        <v>66</v>
      </c>
      <c r="AH18" s="94" t="s">
        <v>66</v>
      </c>
      <c r="AI18" s="94" t="s">
        <v>66</v>
      </c>
      <c r="AJ18" s="97"/>
    </row>
    <row r="19" spans="1:39" x14ac:dyDescent="0.25">
      <c r="A19" s="96"/>
      <c r="B19" s="86" t="s">
        <v>31</v>
      </c>
      <c r="C19" s="87">
        <f t="shared" si="5"/>
        <v>-206.4</v>
      </c>
      <c r="D19" s="91">
        <f t="shared" si="6"/>
        <v>0.10093641674090462</v>
      </c>
      <c r="E19" s="92">
        <v>-206.4</v>
      </c>
      <c r="F19" s="92" t="s">
        <v>66</v>
      </c>
      <c r="G19" s="92" t="s">
        <v>66</v>
      </c>
      <c r="H19" s="92" t="s">
        <v>66</v>
      </c>
      <c r="I19" s="92" t="s">
        <v>66</v>
      </c>
      <c r="J19" s="92" t="s">
        <v>66</v>
      </c>
      <c r="K19" s="92" t="s">
        <v>66</v>
      </c>
      <c r="L19" s="92" t="s">
        <v>66</v>
      </c>
      <c r="M19" s="92" t="s">
        <v>66</v>
      </c>
      <c r="N19" s="92" t="s">
        <v>66</v>
      </c>
      <c r="O19" s="92" t="s">
        <v>66</v>
      </c>
      <c r="P19" s="92" t="s">
        <v>66</v>
      </c>
      <c r="Q19" s="92" t="s">
        <v>66</v>
      </c>
      <c r="R19" s="92" t="s">
        <v>66</v>
      </c>
      <c r="S19" s="92" t="s">
        <v>66</v>
      </c>
      <c r="T19" s="92" t="s">
        <v>66</v>
      </c>
      <c r="U19" s="92" t="s">
        <v>66</v>
      </c>
      <c r="V19" s="92" t="s">
        <v>66</v>
      </c>
      <c r="W19" s="92" t="s">
        <v>66</v>
      </c>
      <c r="X19" s="92" t="s">
        <v>66</v>
      </c>
      <c r="Y19" s="92" t="s">
        <v>66</v>
      </c>
      <c r="Z19" s="92" t="s">
        <v>66</v>
      </c>
      <c r="AA19" s="92" t="s">
        <v>66</v>
      </c>
      <c r="AB19" s="92" t="s">
        <v>66</v>
      </c>
      <c r="AC19" s="92" t="s">
        <v>66</v>
      </c>
      <c r="AD19" s="92" t="s">
        <v>66</v>
      </c>
      <c r="AE19" s="92" t="s">
        <v>66</v>
      </c>
      <c r="AF19" s="92" t="s">
        <v>66</v>
      </c>
      <c r="AG19" s="92" t="s">
        <v>66</v>
      </c>
      <c r="AH19" s="92" t="s">
        <v>66</v>
      </c>
      <c r="AI19" s="92" t="s">
        <v>66</v>
      </c>
      <c r="AJ19" s="97"/>
    </row>
    <row r="20" spans="1:39" x14ac:dyDescent="0.25">
      <c r="A20" s="96"/>
      <c r="B20" s="86" t="s">
        <v>32</v>
      </c>
      <c r="C20" s="87">
        <f t="shared" si="5"/>
        <v>0</v>
      </c>
      <c r="D20" s="93">
        <f t="shared" si="6"/>
        <v>0</v>
      </c>
      <c r="E20" s="94" t="s">
        <v>66</v>
      </c>
      <c r="F20" s="94" t="s">
        <v>66</v>
      </c>
      <c r="G20" s="94" t="s">
        <v>66</v>
      </c>
      <c r="H20" s="94" t="s">
        <v>66</v>
      </c>
      <c r="I20" s="94" t="s">
        <v>66</v>
      </c>
      <c r="J20" s="94" t="s">
        <v>66</v>
      </c>
      <c r="K20" s="94" t="s">
        <v>66</v>
      </c>
      <c r="L20" s="94" t="s">
        <v>66</v>
      </c>
      <c r="M20" s="94" t="s">
        <v>66</v>
      </c>
      <c r="N20" s="94" t="s">
        <v>66</v>
      </c>
      <c r="O20" s="94" t="s">
        <v>66</v>
      </c>
      <c r="P20" s="94" t="s">
        <v>66</v>
      </c>
      <c r="Q20" s="94" t="s">
        <v>66</v>
      </c>
      <c r="R20" s="94" t="s">
        <v>66</v>
      </c>
      <c r="S20" s="94" t="s">
        <v>66</v>
      </c>
      <c r="T20" s="94" t="s">
        <v>66</v>
      </c>
      <c r="U20" s="94" t="s">
        <v>66</v>
      </c>
      <c r="V20" s="94" t="s">
        <v>66</v>
      </c>
      <c r="W20" s="94" t="s">
        <v>66</v>
      </c>
      <c r="X20" s="94" t="s">
        <v>66</v>
      </c>
      <c r="Y20" s="94" t="s">
        <v>66</v>
      </c>
      <c r="Z20" s="94" t="s">
        <v>66</v>
      </c>
      <c r="AA20" s="94" t="s">
        <v>66</v>
      </c>
      <c r="AB20" s="94" t="s">
        <v>66</v>
      </c>
      <c r="AC20" s="94" t="s">
        <v>66</v>
      </c>
      <c r="AD20" s="94" t="s">
        <v>66</v>
      </c>
      <c r="AE20" s="94" t="s">
        <v>66</v>
      </c>
      <c r="AF20" s="94" t="s">
        <v>66</v>
      </c>
      <c r="AG20" s="94" t="s">
        <v>66</v>
      </c>
      <c r="AH20" s="94" t="s">
        <v>66</v>
      </c>
      <c r="AI20" s="94" t="s">
        <v>66</v>
      </c>
      <c r="AJ20" s="97"/>
    </row>
    <row r="21" spans="1:39" ht="15.75" customHeight="1" x14ac:dyDescent="0.25">
      <c r="A21" s="96"/>
      <c r="B21" s="86" t="s">
        <v>33</v>
      </c>
      <c r="C21" s="87">
        <f t="shared" si="5"/>
        <v>-48.580000000000005</v>
      </c>
      <c r="D21" s="91">
        <f t="shared" si="6"/>
        <v>2.375722444415284E-2</v>
      </c>
      <c r="E21" s="92" t="s">
        <v>66</v>
      </c>
      <c r="F21" s="92" t="s">
        <v>66</v>
      </c>
      <c r="G21" s="92" t="s">
        <v>66</v>
      </c>
      <c r="H21" s="92" t="s">
        <v>66</v>
      </c>
      <c r="I21" s="92" t="s">
        <v>66</v>
      </c>
      <c r="J21" s="92" t="s">
        <v>66</v>
      </c>
      <c r="K21" s="92" t="s">
        <v>66</v>
      </c>
      <c r="L21" s="92" t="s">
        <v>66</v>
      </c>
      <c r="M21" s="92" t="s">
        <v>66</v>
      </c>
      <c r="N21" s="92" t="s">
        <v>66</v>
      </c>
      <c r="O21" s="92" t="s">
        <v>66</v>
      </c>
      <c r="P21" s="92" t="s">
        <v>66</v>
      </c>
      <c r="Q21" s="92" t="s">
        <v>66</v>
      </c>
      <c r="R21" s="92" t="s">
        <v>66</v>
      </c>
      <c r="S21" s="92">
        <v>-17.239999999999998</v>
      </c>
      <c r="T21" s="92" t="s">
        <v>66</v>
      </c>
      <c r="U21" s="92">
        <v>-16.46</v>
      </c>
      <c r="V21" s="92" t="s">
        <v>66</v>
      </c>
      <c r="W21" s="92" t="s">
        <v>66</v>
      </c>
      <c r="X21" s="92" t="s">
        <v>66</v>
      </c>
      <c r="Y21" s="92" t="s">
        <v>66</v>
      </c>
      <c r="Z21" s="92" t="s">
        <v>66</v>
      </c>
      <c r="AA21" s="92" t="s">
        <v>66</v>
      </c>
      <c r="AB21" s="92" t="s">
        <v>66</v>
      </c>
      <c r="AC21" s="92" t="s">
        <v>66</v>
      </c>
      <c r="AD21" s="92" t="s">
        <v>66</v>
      </c>
      <c r="AE21" s="92" t="s">
        <v>66</v>
      </c>
      <c r="AF21" s="92" t="s">
        <v>66</v>
      </c>
      <c r="AG21" s="92" t="s">
        <v>66</v>
      </c>
      <c r="AH21" s="92" t="s">
        <v>66</v>
      </c>
      <c r="AI21" s="92">
        <v>-14.88</v>
      </c>
      <c r="AJ21" s="97"/>
    </row>
    <row r="22" spans="1:39" ht="15.75" customHeight="1" x14ac:dyDescent="0.25">
      <c r="A22" s="96"/>
      <c r="B22" s="86" t="s">
        <v>94</v>
      </c>
      <c r="C22" s="87">
        <f t="shared" si="5"/>
        <v>-6</v>
      </c>
      <c r="D22" s="91">
        <f t="shared" si="6"/>
        <v>2.9341981610728081E-3</v>
      </c>
      <c r="E22" s="92" t="s">
        <v>66</v>
      </c>
      <c r="F22" s="92" t="s">
        <v>66</v>
      </c>
      <c r="G22" s="92" t="s">
        <v>66</v>
      </c>
      <c r="H22" s="92" t="s">
        <v>66</v>
      </c>
      <c r="I22" s="92" t="s">
        <v>66</v>
      </c>
      <c r="J22" s="92" t="s">
        <v>66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>
        <v>-6</v>
      </c>
      <c r="Q22" s="92" t="s">
        <v>66</v>
      </c>
      <c r="R22" s="92" t="s">
        <v>66</v>
      </c>
      <c r="S22" s="92" t="s">
        <v>66</v>
      </c>
      <c r="T22" s="92" t="s">
        <v>66</v>
      </c>
      <c r="U22" s="92" t="s">
        <v>66</v>
      </c>
      <c r="V22" s="92" t="s">
        <v>66</v>
      </c>
      <c r="W22" s="92" t="s">
        <v>66</v>
      </c>
      <c r="X22" s="92" t="s">
        <v>66</v>
      </c>
      <c r="Y22" s="92" t="s">
        <v>66</v>
      </c>
      <c r="Z22" s="92" t="s">
        <v>66</v>
      </c>
      <c r="AA22" s="92" t="s">
        <v>66</v>
      </c>
      <c r="AB22" s="92" t="s">
        <v>66</v>
      </c>
      <c r="AC22" s="92" t="s">
        <v>66</v>
      </c>
      <c r="AD22" s="92" t="s">
        <v>66</v>
      </c>
      <c r="AE22" s="92" t="s">
        <v>66</v>
      </c>
      <c r="AF22" s="92" t="s">
        <v>66</v>
      </c>
      <c r="AG22" s="92" t="s">
        <v>66</v>
      </c>
      <c r="AH22" s="92" t="s">
        <v>66</v>
      </c>
      <c r="AI22" s="92" t="s">
        <v>66</v>
      </c>
      <c r="AJ22" s="97"/>
    </row>
    <row r="23" spans="1:39" ht="15.75" customHeight="1" x14ac:dyDescent="0.25">
      <c r="A23" s="96"/>
      <c r="B23" s="86" t="s">
        <v>34</v>
      </c>
      <c r="C23" s="87">
        <f t="shared" si="5"/>
        <v>0</v>
      </c>
      <c r="D23" s="93">
        <f t="shared" si="6"/>
        <v>0</v>
      </c>
      <c r="E23" s="94" t="s">
        <v>66</v>
      </c>
      <c r="F23" s="94" t="s">
        <v>66</v>
      </c>
      <c r="G23" s="94" t="s">
        <v>66</v>
      </c>
      <c r="H23" s="94" t="s">
        <v>66</v>
      </c>
      <c r="I23" s="94" t="s">
        <v>66</v>
      </c>
      <c r="J23" s="94" t="s">
        <v>66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 t="s">
        <v>66</v>
      </c>
      <c r="R23" s="94" t="s">
        <v>66</v>
      </c>
      <c r="S23" s="94" t="s">
        <v>66</v>
      </c>
      <c r="T23" s="94" t="s">
        <v>66</v>
      </c>
      <c r="U23" s="94" t="s">
        <v>66</v>
      </c>
      <c r="V23" s="94" t="s">
        <v>66</v>
      </c>
      <c r="W23" s="94" t="s">
        <v>66</v>
      </c>
      <c r="X23" s="94" t="s">
        <v>66</v>
      </c>
      <c r="Y23" s="94" t="s">
        <v>66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4" t="s">
        <v>66</v>
      </c>
      <c r="AH23" s="94" t="s">
        <v>66</v>
      </c>
      <c r="AI23" s="94" t="s">
        <v>66</v>
      </c>
      <c r="AJ23" s="97"/>
      <c r="AL23" s="86"/>
      <c r="AM23" s="95"/>
    </row>
    <row r="24" spans="1:39" ht="15.75" customHeight="1" x14ac:dyDescent="0.25">
      <c r="A24" s="96"/>
      <c r="B24" s="86" t="s">
        <v>35</v>
      </c>
      <c r="C24" s="87">
        <f t="shared" si="5"/>
        <v>0</v>
      </c>
      <c r="D24" s="91">
        <f t="shared" si="6"/>
        <v>0</v>
      </c>
      <c r="E24" s="92" t="s">
        <v>66</v>
      </c>
      <c r="F24" s="92" t="s">
        <v>66</v>
      </c>
      <c r="G24" s="92" t="s">
        <v>66</v>
      </c>
      <c r="H24" s="92" t="s">
        <v>66</v>
      </c>
      <c r="I24" s="92" t="s">
        <v>66</v>
      </c>
      <c r="J24" s="92" t="s">
        <v>66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 t="s">
        <v>66</v>
      </c>
      <c r="AB24" s="92" t="s">
        <v>66</v>
      </c>
      <c r="AC24" s="92" t="s">
        <v>66</v>
      </c>
      <c r="AD24" s="92" t="s">
        <v>66</v>
      </c>
      <c r="AE24" s="92" t="s">
        <v>66</v>
      </c>
      <c r="AF24" s="92" t="s">
        <v>66</v>
      </c>
      <c r="AG24" s="92" t="s">
        <v>66</v>
      </c>
      <c r="AH24" s="92" t="s">
        <v>66</v>
      </c>
      <c r="AI24" s="92" t="s">
        <v>66</v>
      </c>
      <c r="AJ24" s="97"/>
    </row>
    <row r="25" spans="1:39" ht="15.75" customHeight="1" x14ac:dyDescent="0.25">
      <c r="A25" s="96"/>
      <c r="B25" s="86" t="s">
        <v>36</v>
      </c>
      <c r="C25" s="87">
        <f t="shared" si="5"/>
        <v>0</v>
      </c>
      <c r="D25" s="93">
        <f t="shared" si="6"/>
        <v>0</v>
      </c>
      <c r="E25" s="94" t="s">
        <v>66</v>
      </c>
      <c r="F25" s="94" t="s">
        <v>66</v>
      </c>
      <c r="G25" s="94" t="s">
        <v>66</v>
      </c>
      <c r="H25" s="94" t="s">
        <v>66</v>
      </c>
      <c r="I25" s="94" t="s">
        <v>66</v>
      </c>
      <c r="J25" s="94" t="s">
        <v>66</v>
      </c>
      <c r="K25" s="94" t="s">
        <v>66</v>
      </c>
      <c r="L25" s="94" t="s">
        <v>66</v>
      </c>
      <c r="M25" s="94" t="s">
        <v>66</v>
      </c>
      <c r="N25" s="94" t="s">
        <v>66</v>
      </c>
      <c r="O25" s="94" t="s">
        <v>66</v>
      </c>
      <c r="P25" s="94" t="s">
        <v>66</v>
      </c>
      <c r="Q25" s="94" t="s">
        <v>66</v>
      </c>
      <c r="R25" s="94" t="s">
        <v>66</v>
      </c>
      <c r="S25" s="94" t="s">
        <v>66</v>
      </c>
      <c r="T25" s="94" t="s">
        <v>66</v>
      </c>
      <c r="U25" s="94" t="s">
        <v>66</v>
      </c>
      <c r="V25" s="94" t="s">
        <v>66</v>
      </c>
      <c r="W25" s="94" t="s">
        <v>66</v>
      </c>
      <c r="X25" s="94" t="s">
        <v>66</v>
      </c>
      <c r="Y25" s="94" t="s">
        <v>66</v>
      </c>
      <c r="Z25" s="94" t="s">
        <v>66</v>
      </c>
      <c r="AA25" s="94" t="s">
        <v>66</v>
      </c>
      <c r="AB25" s="94" t="s">
        <v>66</v>
      </c>
      <c r="AC25" s="94" t="s">
        <v>66</v>
      </c>
      <c r="AD25" s="94" t="s">
        <v>66</v>
      </c>
      <c r="AE25" s="94" t="s">
        <v>66</v>
      </c>
      <c r="AF25" s="94" t="s">
        <v>66</v>
      </c>
      <c r="AG25" s="94" t="s">
        <v>66</v>
      </c>
      <c r="AH25" s="94" t="s">
        <v>66</v>
      </c>
      <c r="AI25" s="94" t="s">
        <v>66</v>
      </c>
      <c r="AJ25" s="97"/>
    </row>
    <row r="26" spans="1:39" ht="15.75" customHeight="1" x14ac:dyDescent="0.25">
      <c r="A26" s="96"/>
      <c r="B26" s="86" t="s">
        <v>39</v>
      </c>
      <c r="C26" s="87">
        <f t="shared" si="5"/>
        <v>-160.97</v>
      </c>
      <c r="D26" s="91">
        <f t="shared" si="6"/>
        <v>7.8719646331314994E-2</v>
      </c>
      <c r="E26" s="92" t="s">
        <v>66</v>
      </c>
      <c r="F26" s="92">
        <f>-20-15-5-10-10</f>
        <v>-60</v>
      </c>
      <c r="G26" s="92" t="s">
        <v>66</v>
      </c>
      <c r="H26" s="92">
        <f>-7.99-7.99</f>
        <v>-15.98</v>
      </c>
      <c r="I26" s="92" t="s">
        <v>66</v>
      </c>
      <c r="J26" s="92" t="s">
        <v>66</v>
      </c>
      <c r="K26" s="92" t="s">
        <v>66</v>
      </c>
      <c r="L26" s="92" t="s">
        <v>66</v>
      </c>
      <c r="M26" s="92" t="s">
        <v>66</v>
      </c>
      <c r="N26" s="92" t="s">
        <v>66</v>
      </c>
      <c r="O26" s="92" t="s">
        <v>66</v>
      </c>
      <c r="P26" s="92" t="s">
        <v>66</v>
      </c>
      <c r="Q26" s="92" t="s">
        <v>66</v>
      </c>
      <c r="R26" s="92">
        <v>-45</v>
      </c>
      <c r="S26" s="92" t="s">
        <v>66</v>
      </c>
      <c r="T26" s="92" t="s">
        <v>66</v>
      </c>
      <c r="U26" s="92" t="s">
        <v>66</v>
      </c>
      <c r="V26" s="92" t="s">
        <v>66</v>
      </c>
      <c r="W26" s="92" t="s">
        <v>66</v>
      </c>
      <c r="X26" s="92" t="s">
        <v>66</v>
      </c>
      <c r="Y26" s="92" t="s">
        <v>66</v>
      </c>
      <c r="Z26" s="92" t="s">
        <v>66</v>
      </c>
      <c r="AA26" s="92" t="s">
        <v>66</v>
      </c>
      <c r="AB26" s="92" t="s">
        <v>66</v>
      </c>
      <c r="AC26" s="92" t="s">
        <v>66</v>
      </c>
      <c r="AD26" s="92" t="s">
        <v>66</v>
      </c>
      <c r="AE26" s="92" t="s">
        <v>66</v>
      </c>
      <c r="AF26" s="92">
        <v>-39.99</v>
      </c>
      <c r="AG26" s="92" t="s">
        <v>66</v>
      </c>
      <c r="AH26" s="92" t="s">
        <v>66</v>
      </c>
      <c r="AI26" s="92" t="s">
        <v>66</v>
      </c>
      <c r="AJ26" s="97"/>
    </row>
    <row r="27" spans="1:39" ht="15.75" customHeight="1" x14ac:dyDescent="0.25">
      <c r="A27" s="96"/>
      <c r="B27" s="86" t="s">
        <v>40</v>
      </c>
      <c r="C27" s="87">
        <f t="shared" si="5"/>
        <v>0</v>
      </c>
      <c r="D27" s="93">
        <f t="shared" si="6"/>
        <v>0</v>
      </c>
      <c r="E27" s="94" t="s">
        <v>66</v>
      </c>
      <c r="F27" s="94" t="s">
        <v>66</v>
      </c>
      <c r="G27" s="94" t="s">
        <v>66</v>
      </c>
      <c r="H27" s="94" t="s">
        <v>66</v>
      </c>
      <c r="I27" s="94" t="s">
        <v>66</v>
      </c>
      <c r="J27" s="94" t="s">
        <v>66</v>
      </c>
      <c r="K27" s="94" t="s">
        <v>66</v>
      </c>
      <c r="L27" s="94" t="s">
        <v>66</v>
      </c>
      <c r="M27" s="94" t="s">
        <v>66</v>
      </c>
      <c r="N27" s="94" t="s">
        <v>66</v>
      </c>
      <c r="O27" s="94" t="s">
        <v>66</v>
      </c>
      <c r="P27" s="94" t="s">
        <v>66</v>
      </c>
      <c r="Q27" s="94" t="s">
        <v>66</v>
      </c>
      <c r="R27" s="94" t="s">
        <v>66</v>
      </c>
      <c r="S27" s="94" t="s">
        <v>66</v>
      </c>
      <c r="T27" s="94" t="s">
        <v>66</v>
      </c>
      <c r="U27" s="94" t="s">
        <v>66</v>
      </c>
      <c r="V27" s="94" t="s">
        <v>66</v>
      </c>
      <c r="W27" s="94" t="s">
        <v>66</v>
      </c>
      <c r="X27" s="94" t="s">
        <v>66</v>
      </c>
      <c r="Y27" s="94" t="s">
        <v>66</v>
      </c>
      <c r="Z27" s="94" t="s">
        <v>66</v>
      </c>
      <c r="AA27" s="94" t="s">
        <v>66</v>
      </c>
      <c r="AB27" s="94" t="s">
        <v>66</v>
      </c>
      <c r="AC27" s="94" t="s">
        <v>66</v>
      </c>
      <c r="AD27" s="94" t="s">
        <v>66</v>
      </c>
      <c r="AE27" s="94" t="s">
        <v>66</v>
      </c>
      <c r="AF27" s="94" t="s">
        <v>66</v>
      </c>
      <c r="AG27" s="94" t="s">
        <v>66</v>
      </c>
      <c r="AH27" s="94" t="s">
        <v>66</v>
      </c>
      <c r="AI27" s="94" t="s">
        <v>66</v>
      </c>
      <c r="AJ27" s="97"/>
    </row>
    <row r="28" spans="1:39" ht="15.75" customHeight="1" x14ac:dyDescent="0.25">
      <c r="A28" s="96"/>
      <c r="B28" s="86" t="s">
        <v>41</v>
      </c>
      <c r="C28" s="87">
        <f t="shared" si="5"/>
        <v>-60</v>
      </c>
      <c r="D28" s="91">
        <f t="shared" si="6"/>
        <v>2.9341981610728082E-2</v>
      </c>
      <c r="E28" s="92" t="s">
        <v>66</v>
      </c>
      <c r="F28" s="92" t="s">
        <v>66</v>
      </c>
      <c r="G28" s="92" t="s">
        <v>66</v>
      </c>
      <c r="H28" s="92" t="s">
        <v>66</v>
      </c>
      <c r="I28" s="92" t="s">
        <v>66</v>
      </c>
      <c r="J28" s="92" t="s">
        <v>66</v>
      </c>
      <c r="K28" s="92" t="s">
        <v>66</v>
      </c>
      <c r="L28" s="92" t="s">
        <v>66</v>
      </c>
      <c r="M28" s="92" t="s">
        <v>66</v>
      </c>
      <c r="N28" s="92" t="s">
        <v>66</v>
      </c>
      <c r="O28" s="92" t="s">
        <v>66</v>
      </c>
      <c r="P28" s="92" t="s">
        <v>66</v>
      </c>
      <c r="Q28" s="92" t="s">
        <v>66</v>
      </c>
      <c r="R28" s="92" t="s">
        <v>66</v>
      </c>
      <c r="S28" s="92" t="s">
        <v>66</v>
      </c>
      <c r="T28" s="92" t="s">
        <v>66</v>
      </c>
      <c r="U28" s="92" t="s">
        <v>66</v>
      </c>
      <c r="V28" s="92" t="s">
        <v>66</v>
      </c>
      <c r="W28" s="92" t="s">
        <v>66</v>
      </c>
      <c r="X28" s="92" t="s">
        <v>66</v>
      </c>
      <c r="Y28" s="92" t="s">
        <v>66</v>
      </c>
      <c r="Z28" s="92" t="s">
        <v>66</v>
      </c>
      <c r="AA28" s="92" t="s">
        <v>66</v>
      </c>
      <c r="AB28" s="92" t="s">
        <v>66</v>
      </c>
      <c r="AC28" s="92">
        <v>-60</v>
      </c>
      <c r="AD28" s="92" t="s">
        <v>66</v>
      </c>
      <c r="AE28" s="92" t="s">
        <v>66</v>
      </c>
      <c r="AF28" s="92" t="s">
        <v>66</v>
      </c>
      <c r="AG28" s="92" t="s">
        <v>66</v>
      </c>
      <c r="AH28" s="92" t="s">
        <v>66</v>
      </c>
      <c r="AI28" s="92" t="s">
        <v>66</v>
      </c>
      <c r="AJ28" s="97"/>
    </row>
    <row r="29" spans="1:39" ht="15.75" customHeight="1" x14ac:dyDescent="0.25">
      <c r="A29" s="246"/>
      <c r="B29" s="86" t="s">
        <v>207</v>
      </c>
      <c r="C29" s="87">
        <f>-(2587+511.66)/12</f>
        <v>-258.22166666666664</v>
      </c>
      <c r="D29" s="91">
        <f t="shared" si="6"/>
        <v>0.12627892324708148</v>
      </c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247"/>
    </row>
    <row r="30" spans="1:39" ht="15.75" customHeight="1" x14ac:dyDescent="0.25">
      <c r="A30" s="96"/>
      <c r="B30" s="86" t="s">
        <v>72</v>
      </c>
      <c r="C30" s="87">
        <f t="shared" si="5"/>
        <v>-550</v>
      </c>
      <c r="D30" s="93">
        <f t="shared" si="6"/>
        <v>0.26896816476500746</v>
      </c>
      <c r="E30" s="94" t="s">
        <v>66</v>
      </c>
      <c r="F30" s="94" t="s">
        <v>66</v>
      </c>
      <c r="G30" s="94" t="s">
        <v>66</v>
      </c>
      <c r="H30" s="94" t="s">
        <v>66</v>
      </c>
      <c r="I30" s="94" t="s">
        <v>66</v>
      </c>
      <c r="J30" s="94" t="s">
        <v>66</v>
      </c>
      <c r="K30" s="94">
        <v>-550</v>
      </c>
      <c r="L30" s="94" t="s">
        <v>66</v>
      </c>
      <c r="M30" s="94" t="s">
        <v>66</v>
      </c>
      <c r="N30" s="94" t="s">
        <v>66</v>
      </c>
      <c r="O30" s="94" t="s">
        <v>66</v>
      </c>
      <c r="P30" s="94" t="s">
        <v>66</v>
      </c>
      <c r="Q30" s="94" t="s">
        <v>66</v>
      </c>
      <c r="R30" s="94" t="s">
        <v>66</v>
      </c>
      <c r="S30" s="94" t="s">
        <v>66</v>
      </c>
      <c r="T30" s="94" t="s">
        <v>66</v>
      </c>
      <c r="U30" s="94" t="s">
        <v>66</v>
      </c>
      <c r="V30" s="94" t="s">
        <v>66</v>
      </c>
      <c r="W30" s="94" t="s">
        <v>66</v>
      </c>
      <c r="X30" s="94" t="s">
        <v>66</v>
      </c>
      <c r="Y30" s="94" t="s">
        <v>66</v>
      </c>
      <c r="Z30" s="94" t="s">
        <v>66</v>
      </c>
      <c r="AA30" s="94" t="s">
        <v>66</v>
      </c>
      <c r="AB30" s="94" t="s">
        <v>66</v>
      </c>
      <c r="AC30" s="94" t="s">
        <v>66</v>
      </c>
      <c r="AD30" s="94" t="s">
        <v>66</v>
      </c>
      <c r="AE30" s="94" t="s">
        <v>66</v>
      </c>
      <c r="AF30" s="94" t="s">
        <v>66</v>
      </c>
      <c r="AG30" s="94" t="s">
        <v>66</v>
      </c>
      <c r="AH30" s="94" t="s">
        <v>66</v>
      </c>
      <c r="AI30" s="94" t="s">
        <v>66</v>
      </c>
      <c r="AJ30" s="97"/>
    </row>
    <row r="31" spans="1:39" ht="15.75" customHeight="1" x14ac:dyDescent="0.25">
      <c r="A31" s="96"/>
      <c r="B31" s="86" t="s">
        <v>42</v>
      </c>
      <c r="C31" s="87">
        <f t="shared" si="5"/>
        <v>0</v>
      </c>
      <c r="D31" s="91">
        <f t="shared" si="6"/>
        <v>0</v>
      </c>
      <c r="E31" s="92" t="s">
        <v>66</v>
      </c>
      <c r="F31" s="92" t="s">
        <v>66</v>
      </c>
      <c r="G31" s="92" t="s">
        <v>66</v>
      </c>
      <c r="H31" s="92" t="s">
        <v>66</v>
      </c>
      <c r="I31" s="92" t="s">
        <v>66</v>
      </c>
      <c r="J31" s="92" t="s">
        <v>66</v>
      </c>
      <c r="K31" s="92" t="s">
        <v>66</v>
      </c>
      <c r="L31" s="92" t="s">
        <v>66</v>
      </c>
      <c r="M31" s="92" t="s">
        <v>66</v>
      </c>
      <c r="N31" s="92" t="s">
        <v>66</v>
      </c>
      <c r="O31" s="92" t="s">
        <v>66</v>
      </c>
      <c r="P31" s="92" t="s">
        <v>66</v>
      </c>
      <c r="Q31" s="92" t="s">
        <v>66</v>
      </c>
      <c r="R31" s="92" t="s">
        <v>66</v>
      </c>
      <c r="S31" s="92" t="s">
        <v>66</v>
      </c>
      <c r="T31" s="92" t="s">
        <v>66</v>
      </c>
      <c r="U31" s="92" t="s">
        <v>66</v>
      </c>
      <c r="V31" s="92" t="s">
        <v>66</v>
      </c>
      <c r="W31" s="92" t="s">
        <v>66</v>
      </c>
      <c r="X31" s="92" t="s">
        <v>66</v>
      </c>
      <c r="Y31" s="92" t="s">
        <v>66</v>
      </c>
      <c r="Z31" s="92" t="s">
        <v>66</v>
      </c>
      <c r="AA31" s="92" t="s">
        <v>66</v>
      </c>
      <c r="AB31" s="92" t="s">
        <v>66</v>
      </c>
      <c r="AC31" s="92" t="s">
        <v>66</v>
      </c>
      <c r="AD31" s="92" t="s">
        <v>66</v>
      </c>
      <c r="AE31" s="92" t="s">
        <v>66</v>
      </c>
      <c r="AF31" s="92" t="s">
        <v>66</v>
      </c>
      <c r="AG31" s="92" t="s">
        <v>66</v>
      </c>
      <c r="AH31" s="92" t="s">
        <v>66</v>
      </c>
      <c r="AI31" s="92" t="s">
        <v>66</v>
      </c>
      <c r="AJ31" s="97"/>
    </row>
    <row r="32" spans="1:39" ht="15.75" customHeight="1" x14ac:dyDescent="0.25">
      <c r="A32" s="96"/>
      <c r="B32" s="86" t="s">
        <v>96</v>
      </c>
      <c r="C32" s="87">
        <f t="shared" si="5"/>
        <v>30</v>
      </c>
      <c r="D32" s="91">
        <f t="shared" si="6"/>
        <v>-1.4670990805364041E-2</v>
      </c>
      <c r="E32" s="136" t="s">
        <v>66</v>
      </c>
      <c r="F32" s="136" t="s">
        <v>66</v>
      </c>
      <c r="G32" s="136" t="s">
        <v>66</v>
      </c>
      <c r="H32" s="136" t="s">
        <v>66</v>
      </c>
      <c r="I32" s="136" t="s">
        <v>66</v>
      </c>
      <c r="J32" s="136" t="s">
        <v>66</v>
      </c>
      <c r="K32" s="136" t="s">
        <v>66</v>
      </c>
      <c r="L32" s="136" t="s">
        <v>66</v>
      </c>
      <c r="M32" s="136" t="s">
        <v>66</v>
      </c>
      <c r="N32" s="136" t="s">
        <v>66</v>
      </c>
      <c r="O32" s="136" t="s">
        <v>66</v>
      </c>
      <c r="P32" s="136" t="s">
        <v>66</v>
      </c>
      <c r="Q32" s="136" t="s">
        <v>66</v>
      </c>
      <c r="R32" s="136" t="s">
        <v>66</v>
      </c>
      <c r="S32" s="136" t="s">
        <v>66</v>
      </c>
      <c r="T32" s="136" t="s">
        <v>66</v>
      </c>
      <c r="U32" s="136" t="s">
        <v>66</v>
      </c>
      <c r="V32" s="136" t="s">
        <v>66</v>
      </c>
      <c r="W32" s="136" t="s">
        <v>66</v>
      </c>
      <c r="X32" s="136" t="s">
        <v>66</v>
      </c>
      <c r="Y32" s="136" t="s">
        <v>66</v>
      </c>
      <c r="Z32" s="136" t="s">
        <v>66</v>
      </c>
      <c r="AA32" s="136" t="s">
        <v>66</v>
      </c>
      <c r="AB32" s="136" t="s">
        <v>66</v>
      </c>
      <c r="AC32" s="136" t="s">
        <v>66</v>
      </c>
      <c r="AD32" s="136" t="s">
        <v>66</v>
      </c>
      <c r="AE32" s="136" t="s">
        <v>66</v>
      </c>
      <c r="AF32" s="136" t="s">
        <v>66</v>
      </c>
      <c r="AG32" s="136" t="s">
        <v>66</v>
      </c>
      <c r="AH32" s="136" t="s">
        <v>66</v>
      </c>
      <c r="AI32" s="136">
        <v>30</v>
      </c>
      <c r="AJ32" s="97"/>
    </row>
    <row r="33" spans="1:36" ht="15.75" customHeight="1" x14ac:dyDescent="0.25">
      <c r="A33" s="96"/>
      <c r="B33" s="99" t="s">
        <v>44</v>
      </c>
      <c r="C33" s="124">
        <f>SUM(E32:AI33)</f>
        <v>2233.9899999999998</v>
      </c>
      <c r="D33" s="125"/>
      <c r="E33" s="126"/>
      <c r="F33" s="126"/>
      <c r="G33" s="126"/>
      <c r="H33" s="126"/>
      <c r="I33" s="126"/>
      <c r="J33" s="126"/>
      <c r="K33" s="126">
        <v>2053.9899999999998</v>
      </c>
      <c r="L33" s="126"/>
      <c r="M33" s="126"/>
      <c r="N33" s="126"/>
      <c r="O33" s="126"/>
      <c r="P33" s="126"/>
      <c r="Q33" s="126"/>
      <c r="R33" s="126"/>
      <c r="S33" s="126"/>
      <c r="T33" s="126"/>
      <c r="U33" s="126">
        <v>50</v>
      </c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>
        <v>100</v>
      </c>
      <c r="AI33" s="126"/>
      <c r="AJ33" s="97"/>
    </row>
    <row r="34" spans="1:36" ht="15.75" customHeight="1" x14ac:dyDescent="0.25">
      <c r="A34" s="96"/>
      <c r="B34" s="83"/>
      <c r="C34" s="12"/>
      <c r="D34" s="106"/>
      <c r="E34" s="107">
        <f t="shared" ref="E34:AI34" si="7">E5</f>
        <v>43525</v>
      </c>
      <c r="F34" s="107">
        <f t="shared" si="7"/>
        <v>43526</v>
      </c>
      <c r="G34" s="107">
        <f t="shared" si="7"/>
        <v>43527</v>
      </c>
      <c r="H34" s="107">
        <f t="shared" si="7"/>
        <v>43528</v>
      </c>
      <c r="I34" s="107">
        <f t="shared" si="7"/>
        <v>43529</v>
      </c>
      <c r="J34" s="107">
        <f t="shared" si="7"/>
        <v>43530</v>
      </c>
      <c r="K34" s="107">
        <f t="shared" si="7"/>
        <v>43531</v>
      </c>
      <c r="L34" s="107">
        <f t="shared" si="7"/>
        <v>43532</v>
      </c>
      <c r="M34" s="107">
        <f t="shared" si="7"/>
        <v>43533</v>
      </c>
      <c r="N34" s="107">
        <f t="shared" si="7"/>
        <v>43534</v>
      </c>
      <c r="O34" s="107">
        <f t="shared" si="7"/>
        <v>43535</v>
      </c>
      <c r="P34" s="107">
        <f t="shared" si="7"/>
        <v>43536</v>
      </c>
      <c r="Q34" s="107">
        <f t="shared" si="7"/>
        <v>43537</v>
      </c>
      <c r="R34" s="107">
        <f t="shared" si="7"/>
        <v>43538</v>
      </c>
      <c r="S34" s="107">
        <f t="shared" si="7"/>
        <v>43539</v>
      </c>
      <c r="T34" s="107">
        <f t="shared" si="7"/>
        <v>43540</v>
      </c>
      <c r="U34" s="107">
        <f t="shared" si="7"/>
        <v>43541</v>
      </c>
      <c r="V34" s="107">
        <f t="shared" si="7"/>
        <v>43542</v>
      </c>
      <c r="W34" s="107">
        <f t="shared" si="7"/>
        <v>43543</v>
      </c>
      <c r="X34" s="107">
        <f t="shared" si="7"/>
        <v>43544</v>
      </c>
      <c r="Y34" s="107">
        <f t="shared" si="7"/>
        <v>43545</v>
      </c>
      <c r="Z34" s="107">
        <f t="shared" si="7"/>
        <v>43546</v>
      </c>
      <c r="AA34" s="107">
        <f t="shared" si="7"/>
        <v>43547</v>
      </c>
      <c r="AB34" s="107">
        <f t="shared" si="7"/>
        <v>43548</v>
      </c>
      <c r="AC34" s="107">
        <f t="shared" si="7"/>
        <v>43549</v>
      </c>
      <c r="AD34" s="107">
        <f t="shared" si="7"/>
        <v>43550</v>
      </c>
      <c r="AE34" s="107">
        <f t="shared" si="7"/>
        <v>43551</v>
      </c>
      <c r="AF34" s="107">
        <f t="shared" si="7"/>
        <v>43552</v>
      </c>
      <c r="AG34" s="107">
        <f t="shared" si="7"/>
        <v>43553</v>
      </c>
      <c r="AH34" s="107">
        <f t="shared" si="7"/>
        <v>43554</v>
      </c>
      <c r="AI34" s="107">
        <f t="shared" si="7"/>
        <v>43555</v>
      </c>
      <c r="AJ34" s="97"/>
    </row>
    <row r="35" spans="1:36" ht="15.75" customHeight="1" x14ac:dyDescent="0.25">
      <c r="A35" s="96"/>
      <c r="B35" s="110" t="s">
        <v>79</v>
      </c>
      <c r="C35" s="58"/>
      <c r="D35" s="66"/>
      <c r="E35" s="112">
        <f t="shared" ref="E35:AI35" si="8">SUM($E$6:E6)</f>
        <v>-206.4</v>
      </c>
      <c r="F35" s="112">
        <f t="shared" si="8"/>
        <v>-276.39999999999998</v>
      </c>
      <c r="G35" s="112">
        <f t="shared" si="8"/>
        <v>-300.2</v>
      </c>
      <c r="H35" s="112">
        <f t="shared" si="8"/>
        <v>-351.18</v>
      </c>
      <c r="I35" s="112">
        <f t="shared" si="8"/>
        <v>-367.18</v>
      </c>
      <c r="J35" s="112">
        <f t="shared" si="8"/>
        <v>-385.86</v>
      </c>
      <c r="K35" s="112">
        <f t="shared" si="8"/>
        <v>-935.86</v>
      </c>
      <c r="L35" s="112">
        <f t="shared" si="8"/>
        <v>-962.76</v>
      </c>
      <c r="M35" s="112">
        <f t="shared" si="8"/>
        <v>-978.96</v>
      </c>
      <c r="N35" s="112">
        <f t="shared" si="8"/>
        <v>-998.96</v>
      </c>
      <c r="O35" s="112">
        <f t="shared" si="8"/>
        <v>-1037.4100000000001</v>
      </c>
      <c r="P35" s="112">
        <f t="shared" si="8"/>
        <v>-1068.4100000000001</v>
      </c>
      <c r="Q35" s="112">
        <f t="shared" si="8"/>
        <v>-1099.8000000000002</v>
      </c>
      <c r="R35" s="112">
        <f t="shared" si="8"/>
        <v>-1144.8000000000002</v>
      </c>
      <c r="S35" s="112">
        <f t="shared" si="8"/>
        <v>-1162.0400000000002</v>
      </c>
      <c r="T35" s="112">
        <f t="shared" si="8"/>
        <v>-1186.9400000000003</v>
      </c>
      <c r="U35" s="112">
        <f t="shared" si="8"/>
        <v>-1234.2400000000002</v>
      </c>
      <c r="V35" s="112">
        <f t="shared" si="8"/>
        <v>-1234.2400000000002</v>
      </c>
      <c r="W35" s="112">
        <f t="shared" si="8"/>
        <v>-1251.7400000000002</v>
      </c>
      <c r="X35" s="112">
        <f t="shared" si="8"/>
        <v>-1267.7300000000002</v>
      </c>
      <c r="Y35" s="112">
        <f t="shared" si="8"/>
        <v>-1440.8300000000002</v>
      </c>
      <c r="Z35" s="112">
        <f t="shared" si="8"/>
        <v>-1440.8300000000002</v>
      </c>
      <c r="AA35" s="112">
        <f t="shared" si="8"/>
        <v>-1470.5800000000002</v>
      </c>
      <c r="AB35" s="112">
        <f t="shared" si="8"/>
        <v>-1470.5800000000002</v>
      </c>
      <c r="AC35" s="112">
        <f t="shared" si="8"/>
        <v>-1547.3100000000002</v>
      </c>
      <c r="AD35" s="112">
        <f t="shared" si="8"/>
        <v>-1572.1100000000001</v>
      </c>
      <c r="AE35" s="112">
        <f t="shared" si="8"/>
        <v>-1582.6100000000001</v>
      </c>
      <c r="AF35" s="112">
        <f t="shared" si="8"/>
        <v>-1692.4900000000002</v>
      </c>
      <c r="AG35" s="112">
        <f t="shared" si="8"/>
        <v>-1696.9900000000002</v>
      </c>
      <c r="AH35" s="112">
        <f t="shared" si="8"/>
        <v>-1725.7900000000002</v>
      </c>
      <c r="AI35" s="112">
        <f t="shared" si="8"/>
        <v>-1786.63</v>
      </c>
      <c r="AJ35" s="97"/>
    </row>
    <row r="36" spans="1:36" ht="15.75" customHeight="1" x14ac:dyDescent="0.25">
      <c r="A36" s="96"/>
      <c r="B36" s="99" t="s">
        <v>69</v>
      </c>
      <c r="C36" s="44"/>
      <c r="D36" s="115">
        <f>'Fev2019'!AF36</f>
        <v>3160.849999999999</v>
      </c>
      <c r="E36" s="73">
        <f t="shared" ref="E36:AI36" si="9">D45+E6+E33</f>
        <v>2954.4499999999989</v>
      </c>
      <c r="F36" s="73">
        <f t="shared" si="9"/>
        <v>2884.4499999999989</v>
      </c>
      <c r="G36" s="73">
        <f t="shared" si="9"/>
        <v>2860.6499999999987</v>
      </c>
      <c r="H36" s="73">
        <f t="shared" si="9"/>
        <v>2809.6699999999987</v>
      </c>
      <c r="I36" s="73">
        <f t="shared" si="9"/>
        <v>2793.6699999999987</v>
      </c>
      <c r="J36" s="73">
        <f t="shared" si="9"/>
        <v>2774.9899999999989</v>
      </c>
      <c r="K36" s="73">
        <f t="shared" si="9"/>
        <v>4278.9799999999987</v>
      </c>
      <c r="L36" s="73">
        <f t="shared" si="9"/>
        <v>4252.079999999999</v>
      </c>
      <c r="M36" s="73">
        <f t="shared" si="9"/>
        <v>4235.8799999999992</v>
      </c>
      <c r="N36" s="73">
        <f t="shared" si="9"/>
        <v>4215.8799999999992</v>
      </c>
      <c r="O36" s="73">
        <f t="shared" si="9"/>
        <v>4177.4299999999994</v>
      </c>
      <c r="P36" s="73">
        <f t="shared" si="9"/>
        <v>4146.4299999999994</v>
      </c>
      <c r="Q36" s="73">
        <f t="shared" si="9"/>
        <v>4115.0399999999991</v>
      </c>
      <c r="R36" s="73">
        <f t="shared" si="9"/>
        <v>4070.0399999999991</v>
      </c>
      <c r="S36" s="73">
        <f t="shared" si="9"/>
        <v>4052.7999999999993</v>
      </c>
      <c r="T36" s="73">
        <f t="shared" si="9"/>
        <v>4027.8999999999992</v>
      </c>
      <c r="U36" s="73">
        <f t="shared" si="9"/>
        <v>4030.599999999999</v>
      </c>
      <c r="V36" s="73">
        <f t="shared" si="9"/>
        <v>4030.599999999999</v>
      </c>
      <c r="W36" s="73">
        <f t="shared" si="9"/>
        <v>4013.099999999999</v>
      </c>
      <c r="X36" s="73">
        <f t="shared" si="9"/>
        <v>3997.1099999999992</v>
      </c>
      <c r="Y36" s="73">
        <f t="shared" si="9"/>
        <v>3824.0099999999993</v>
      </c>
      <c r="Z36" s="73">
        <f t="shared" si="9"/>
        <v>3824.0099999999993</v>
      </c>
      <c r="AA36" s="73">
        <f t="shared" si="9"/>
        <v>3794.2599999999993</v>
      </c>
      <c r="AB36" s="73">
        <f t="shared" si="9"/>
        <v>3794.2599999999993</v>
      </c>
      <c r="AC36" s="73">
        <f t="shared" si="9"/>
        <v>3717.5299999999993</v>
      </c>
      <c r="AD36" s="73">
        <f t="shared" si="9"/>
        <v>3692.7299999999991</v>
      </c>
      <c r="AE36" s="73">
        <f t="shared" si="9"/>
        <v>3682.2299999999991</v>
      </c>
      <c r="AF36" s="73">
        <f t="shared" si="9"/>
        <v>3572.349999999999</v>
      </c>
      <c r="AG36" s="73">
        <f t="shared" si="9"/>
        <v>3567.849999999999</v>
      </c>
      <c r="AH36" s="73">
        <f t="shared" si="9"/>
        <v>3639.0499999999988</v>
      </c>
      <c r="AI36" s="73">
        <f t="shared" si="9"/>
        <v>3578.2099999999987</v>
      </c>
      <c r="AJ36" s="97"/>
    </row>
    <row r="37" spans="1:36" ht="15.75" customHeight="1" x14ac:dyDescent="0.25">
      <c r="A37" s="96"/>
      <c r="B37" s="83" t="s">
        <v>61</v>
      </c>
      <c r="C37" s="12"/>
      <c r="D37" s="12"/>
      <c r="E37" s="1">
        <f>160+500</f>
        <v>660</v>
      </c>
      <c r="F37" s="1"/>
      <c r="G37" s="1"/>
      <c r="H37" s="1"/>
      <c r="I37" s="1">
        <v>70</v>
      </c>
      <c r="J37" s="1"/>
      <c r="K37" s="1">
        <v>70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>
        <v>100</v>
      </c>
      <c r="X37" s="1">
        <v>100</v>
      </c>
      <c r="Y37" s="1"/>
      <c r="Z37" s="1"/>
      <c r="AA37" s="1"/>
      <c r="AB37" s="1"/>
      <c r="AC37" s="1"/>
      <c r="AD37" s="1"/>
      <c r="AE37" s="1"/>
      <c r="AF37" s="1">
        <v>70</v>
      </c>
      <c r="AG37" s="1"/>
      <c r="AH37" s="1"/>
      <c r="AI37" s="1">
        <v>100</v>
      </c>
      <c r="AJ37" s="97"/>
    </row>
    <row r="38" spans="1:36" ht="15.75" customHeight="1" x14ac:dyDescent="0.25">
      <c r="A38" s="96"/>
      <c r="B38" s="83" t="s">
        <v>70</v>
      </c>
      <c r="C38" s="12"/>
      <c r="D38" s="12"/>
      <c r="E38" s="1">
        <v>-1021.38</v>
      </c>
      <c r="F38" s="1"/>
      <c r="G38" s="1"/>
      <c r="H38" s="1"/>
      <c r="I38" s="1">
        <v>-1051.3800000000001</v>
      </c>
      <c r="J38" s="1"/>
      <c r="K38" s="1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>
        <v>-58.7</v>
      </c>
      <c r="X38" s="1">
        <v>-58.7</v>
      </c>
      <c r="Y38" s="1"/>
      <c r="Z38" s="1"/>
      <c r="AA38" s="1"/>
      <c r="AB38" s="1"/>
      <c r="AC38" s="1"/>
      <c r="AD38" s="1"/>
      <c r="AE38" s="1"/>
      <c r="AF38" s="1">
        <v>-68.7</v>
      </c>
      <c r="AG38" s="1"/>
      <c r="AH38" s="1"/>
      <c r="AI38" s="1">
        <v>-68.7</v>
      </c>
      <c r="AJ38" s="97"/>
    </row>
    <row r="39" spans="1:36" ht="15.75" customHeight="1" x14ac:dyDescent="0.25">
      <c r="A39" s="96"/>
      <c r="B39" s="83" t="s">
        <v>71</v>
      </c>
      <c r="C39" s="12"/>
      <c r="D39" s="12"/>
      <c r="E39" s="1">
        <v>755.11</v>
      </c>
      <c r="F39" s="1"/>
      <c r="G39" s="1"/>
      <c r="H39" s="1"/>
      <c r="I39" s="1">
        <v>1092.73</v>
      </c>
      <c r="J39" s="1"/>
      <c r="K39" s="7">
        <v>703.35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>
        <v>666.45</v>
      </c>
      <c r="X39" s="1">
        <f>666.45+400</f>
        <v>1066.45</v>
      </c>
      <c r="Y39" s="1"/>
      <c r="Z39" s="1"/>
      <c r="AA39" s="1"/>
      <c r="AB39" s="1"/>
      <c r="AC39" s="1"/>
      <c r="AD39" s="1"/>
      <c r="AE39" s="1"/>
      <c r="AF39" s="1">
        <v>955.22</v>
      </c>
      <c r="AG39" s="1"/>
      <c r="AH39" s="1"/>
      <c r="AI39" s="1">
        <f>AF39-16-5-1</f>
        <v>933.22</v>
      </c>
      <c r="AJ39" s="97"/>
    </row>
    <row r="40" spans="1:36" ht="15.75" customHeight="1" x14ac:dyDescent="0.25">
      <c r="A40" s="96"/>
      <c r="B40" s="83" t="s">
        <v>85</v>
      </c>
      <c r="C40" s="12"/>
      <c r="D40" s="12"/>
      <c r="E40" s="1">
        <v>585.11</v>
      </c>
      <c r="F40" s="1"/>
      <c r="G40" s="1"/>
      <c r="H40" s="1"/>
      <c r="I40" s="1">
        <v>585.11</v>
      </c>
      <c r="J40" s="1"/>
      <c r="K40" s="1">
        <v>35.11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7">
        <v>0</v>
      </c>
      <c r="X40" s="1">
        <v>0</v>
      </c>
      <c r="Y40" s="1"/>
      <c r="Z40" s="1"/>
      <c r="AA40" s="1"/>
      <c r="AB40" s="1"/>
      <c r="AC40" s="1"/>
      <c r="AD40" s="1"/>
      <c r="AE40" s="1"/>
      <c r="AF40" s="1">
        <v>0</v>
      </c>
      <c r="AG40" s="1"/>
      <c r="AH40" s="1"/>
      <c r="AI40" s="1">
        <v>0</v>
      </c>
      <c r="AJ40" s="97"/>
    </row>
    <row r="41" spans="1:36" ht="15.75" customHeight="1" x14ac:dyDescent="0.25">
      <c r="A41" s="96"/>
      <c r="B41" s="83" t="s">
        <v>95</v>
      </c>
      <c r="C41" s="12"/>
      <c r="D41" s="12"/>
      <c r="E41" s="1">
        <v>2000</v>
      </c>
      <c r="F41" s="1"/>
      <c r="G41" s="1"/>
      <c r="H41" s="1"/>
      <c r="I41" s="1">
        <v>2000</v>
      </c>
      <c r="J41" s="1"/>
      <c r="K41" s="1">
        <v>3000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3000</v>
      </c>
      <c r="X41" s="1">
        <v>3000</v>
      </c>
      <c r="Y41" s="1"/>
      <c r="Z41" s="1"/>
      <c r="AA41" s="1"/>
      <c r="AB41" s="1"/>
      <c r="AC41" s="1"/>
      <c r="AD41" s="1"/>
      <c r="AE41" s="1"/>
      <c r="AF41" s="1">
        <v>3000</v>
      </c>
      <c r="AG41" s="1"/>
      <c r="AH41" s="1"/>
      <c r="AI41" s="1">
        <v>2933.78</v>
      </c>
      <c r="AJ41" s="97"/>
    </row>
    <row r="42" spans="1:36" ht="15.75" customHeight="1" x14ac:dyDescent="0.25">
      <c r="A42" s="96"/>
      <c r="B42" s="83" t="s">
        <v>99</v>
      </c>
      <c r="C42" s="12"/>
      <c r="D42" s="12"/>
      <c r="E42" s="1">
        <v>-386.79</v>
      </c>
      <c r="F42" s="1"/>
      <c r="G42" s="1"/>
      <c r="H42" s="1"/>
      <c r="I42" s="1">
        <v>-381.99</v>
      </c>
      <c r="J42" s="1"/>
      <c r="K42" s="1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>
        <v>-323.86</v>
      </c>
      <c r="X42" s="1">
        <v>-323.86</v>
      </c>
      <c r="Y42" s="1"/>
      <c r="Z42" s="1"/>
      <c r="AA42" s="1"/>
      <c r="AB42" s="1"/>
      <c r="AC42" s="1"/>
      <c r="AD42" s="1"/>
      <c r="AE42" s="1"/>
      <c r="AF42" s="1">
        <v>-508.37</v>
      </c>
      <c r="AG42" s="1"/>
      <c r="AH42" s="1"/>
      <c r="AI42" s="1">
        <v>-536.16999999999996</v>
      </c>
      <c r="AJ42" s="97"/>
    </row>
    <row r="43" spans="1:36" ht="15.75" customHeight="1" x14ac:dyDescent="0.25">
      <c r="A43" s="96"/>
      <c r="B43" s="83" t="s">
        <v>73</v>
      </c>
      <c r="C43" s="12"/>
      <c r="D43" s="12"/>
      <c r="E43" s="1">
        <v>1900</v>
      </c>
      <c r="F43" s="1"/>
      <c r="G43" s="1"/>
      <c r="H43" s="1"/>
      <c r="I43" s="1">
        <v>1900</v>
      </c>
      <c r="J43" s="1"/>
      <c r="K43" s="1">
        <v>1900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>
        <v>1900</v>
      </c>
      <c r="X43" s="1">
        <v>1900</v>
      </c>
      <c r="Y43" s="1"/>
      <c r="Z43" s="1"/>
      <c r="AA43" s="1"/>
      <c r="AB43" s="1"/>
      <c r="AC43" s="1"/>
      <c r="AD43" s="1"/>
      <c r="AE43" s="1"/>
      <c r="AF43" s="1">
        <v>1900</v>
      </c>
      <c r="AG43" s="1"/>
      <c r="AH43" s="1"/>
      <c r="AI43" s="1">
        <v>1900</v>
      </c>
      <c r="AJ43" s="97"/>
    </row>
    <row r="44" spans="1:36" ht="15.75" customHeight="1" x14ac:dyDescent="0.25">
      <c r="A44" s="96"/>
      <c r="B44" s="116" t="s">
        <v>63</v>
      </c>
      <c r="C44" s="68"/>
      <c r="D44" s="68"/>
      <c r="E44" s="44">
        <v>892.3</v>
      </c>
      <c r="F44" s="44"/>
      <c r="G44" s="44"/>
      <c r="H44" s="44"/>
      <c r="I44" s="44">
        <v>892.3</v>
      </c>
      <c r="J44" s="44"/>
      <c r="K44" s="44">
        <v>892.3</v>
      </c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1">
        <v>900.72</v>
      </c>
      <c r="X44" s="44">
        <v>900.72</v>
      </c>
      <c r="Y44" s="44"/>
      <c r="Z44" s="44"/>
      <c r="AA44" s="44"/>
      <c r="AB44" s="44"/>
      <c r="AC44" s="44"/>
      <c r="AD44" s="44"/>
      <c r="AE44" s="44"/>
      <c r="AF44" s="44">
        <v>902.27</v>
      </c>
      <c r="AG44" s="44"/>
      <c r="AH44" s="44"/>
      <c r="AI44" s="44">
        <v>902.27</v>
      </c>
      <c r="AJ44" s="97"/>
    </row>
    <row r="45" spans="1:36" ht="15.75" customHeight="1" x14ac:dyDescent="0.25">
      <c r="A45" s="96"/>
      <c r="B45" s="86" t="s">
        <v>80</v>
      </c>
      <c r="C45" s="12"/>
      <c r="D45" s="50">
        <f t="shared" ref="D45:AI45" si="10">D36</f>
        <v>3160.849999999999</v>
      </c>
      <c r="E45" s="50">
        <f t="shared" si="10"/>
        <v>2954.4499999999989</v>
      </c>
      <c r="F45" s="50">
        <f t="shared" si="10"/>
        <v>2884.4499999999989</v>
      </c>
      <c r="G45" s="50">
        <f t="shared" si="10"/>
        <v>2860.6499999999987</v>
      </c>
      <c r="H45" s="50">
        <f t="shared" si="10"/>
        <v>2809.6699999999987</v>
      </c>
      <c r="I45" s="50">
        <f t="shared" si="10"/>
        <v>2793.6699999999987</v>
      </c>
      <c r="J45" s="50">
        <f t="shared" si="10"/>
        <v>2774.9899999999989</v>
      </c>
      <c r="K45" s="50">
        <f t="shared" si="10"/>
        <v>4278.9799999999987</v>
      </c>
      <c r="L45" s="50">
        <f t="shared" si="10"/>
        <v>4252.079999999999</v>
      </c>
      <c r="M45" s="50">
        <f t="shared" si="10"/>
        <v>4235.8799999999992</v>
      </c>
      <c r="N45" s="50">
        <f t="shared" si="10"/>
        <v>4215.8799999999992</v>
      </c>
      <c r="O45" s="50">
        <f t="shared" si="10"/>
        <v>4177.4299999999994</v>
      </c>
      <c r="P45" s="50">
        <f t="shared" si="10"/>
        <v>4146.4299999999994</v>
      </c>
      <c r="Q45" s="50">
        <f t="shared" si="10"/>
        <v>4115.0399999999991</v>
      </c>
      <c r="R45" s="50">
        <f t="shared" si="10"/>
        <v>4070.0399999999991</v>
      </c>
      <c r="S45" s="50">
        <f t="shared" si="10"/>
        <v>4052.7999999999993</v>
      </c>
      <c r="T45" s="50">
        <f t="shared" si="10"/>
        <v>4027.8999999999992</v>
      </c>
      <c r="U45" s="50">
        <f t="shared" si="10"/>
        <v>4030.599999999999</v>
      </c>
      <c r="V45" s="50">
        <f t="shared" si="10"/>
        <v>4030.599999999999</v>
      </c>
      <c r="W45" s="73">
        <f t="shared" si="10"/>
        <v>4013.099999999999</v>
      </c>
      <c r="X45" s="50">
        <f t="shared" si="10"/>
        <v>3997.1099999999992</v>
      </c>
      <c r="Y45" s="50">
        <f t="shared" si="10"/>
        <v>3824.0099999999993</v>
      </c>
      <c r="Z45" s="50">
        <f t="shared" si="10"/>
        <v>3824.0099999999993</v>
      </c>
      <c r="AA45" s="73">
        <f t="shared" si="10"/>
        <v>3794.2599999999993</v>
      </c>
      <c r="AB45" s="50">
        <f t="shared" si="10"/>
        <v>3794.2599999999993</v>
      </c>
      <c r="AC45" s="50">
        <f t="shared" si="10"/>
        <v>3717.5299999999993</v>
      </c>
      <c r="AD45" s="50">
        <f t="shared" si="10"/>
        <v>3692.7299999999991</v>
      </c>
      <c r="AE45" s="50">
        <f t="shared" si="10"/>
        <v>3682.2299999999991</v>
      </c>
      <c r="AF45" s="50">
        <f t="shared" si="10"/>
        <v>3572.349999999999</v>
      </c>
      <c r="AG45" s="50">
        <f t="shared" si="10"/>
        <v>3567.849999999999</v>
      </c>
      <c r="AH45" s="50">
        <f t="shared" si="10"/>
        <v>3639.0499999999988</v>
      </c>
      <c r="AI45" s="50">
        <f t="shared" si="10"/>
        <v>3578.2099999999987</v>
      </c>
      <c r="AJ45" s="97"/>
    </row>
    <row r="46" spans="1:36" ht="15.75" customHeight="1" x14ac:dyDescent="0.25">
      <c r="A46" s="96"/>
      <c r="B46" s="117" t="s">
        <v>74</v>
      </c>
      <c r="C46" s="70"/>
      <c r="D46" s="70"/>
      <c r="E46" s="69">
        <f>SUM(E37:E44)</f>
        <v>5384.35</v>
      </c>
      <c r="F46" s="69"/>
      <c r="G46" s="69"/>
      <c r="H46" s="69"/>
      <c r="I46" s="69">
        <f>SUM(I37:I44)</f>
        <v>5106.7700000000004</v>
      </c>
      <c r="J46" s="69"/>
      <c r="K46" s="69">
        <f>SUM(K37:K44)</f>
        <v>6600.76</v>
      </c>
      <c r="L46" s="69"/>
      <c r="M46" s="69"/>
      <c r="N46" s="69"/>
      <c r="O46" s="69"/>
      <c r="P46" s="71"/>
      <c r="Q46" s="71"/>
      <c r="R46" s="71"/>
      <c r="S46" s="71"/>
      <c r="T46" s="71"/>
      <c r="U46" s="69"/>
      <c r="V46" s="71"/>
      <c r="W46" s="71">
        <f t="shared" ref="W46:X46" si="11">SUM(W37:W44)</f>
        <v>6184.61</v>
      </c>
      <c r="X46" s="71">
        <f t="shared" si="11"/>
        <v>6584.61</v>
      </c>
      <c r="Y46" s="71"/>
      <c r="Z46" s="71"/>
      <c r="AA46" s="1"/>
      <c r="AB46" s="71"/>
      <c r="AC46" s="71"/>
      <c r="AD46" s="71"/>
      <c r="AE46" s="71"/>
      <c r="AF46" s="71">
        <f>SUM(AF37:AF44)</f>
        <v>6250.42</v>
      </c>
      <c r="AG46" s="71"/>
      <c r="AH46" s="71"/>
      <c r="AI46" s="71">
        <f>SUM(AI37:AI44)</f>
        <v>6164.4</v>
      </c>
      <c r="AJ46" s="97"/>
    </row>
    <row r="47" spans="1:36" ht="9" customHeight="1" x14ac:dyDescent="0.25">
      <c r="A47" s="96"/>
      <c r="B47" s="97"/>
      <c r="C47" s="127"/>
      <c r="D47" s="12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6"/>
    </row>
    <row r="48" spans="1:36" ht="15.7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2:37" ht="15.75" customHeight="1" x14ac:dyDescent="0.25">
      <c r="B49" s="1"/>
      <c r="C49" s="1"/>
      <c r="D49" s="1"/>
      <c r="K49" s="5"/>
      <c r="L49" s="5"/>
      <c r="M49" s="5"/>
      <c r="N49" s="128"/>
      <c r="O49" s="5"/>
      <c r="P49" s="5"/>
      <c r="Q49" s="5"/>
      <c r="R49" s="128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15">
        <f>AI46-6*400-527</f>
        <v>3237.3999999999996</v>
      </c>
    </row>
    <row r="50" spans="2:37" ht="15.75" customHeight="1" x14ac:dyDescent="0.25">
      <c r="B50" s="1"/>
      <c r="C50" s="1"/>
      <c r="D50" s="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2:37" ht="15.75" customHeight="1" x14ac:dyDescent="0.25">
      <c r="B51" s="1"/>
      <c r="C51" s="1"/>
      <c r="D51" s="1"/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K51" s="128"/>
    </row>
    <row r="52" spans="2:37" ht="15.75" customHeight="1" x14ac:dyDescent="0.25">
      <c r="B52" s="1"/>
      <c r="C52" s="1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</row>
    <row r="53" spans="2:37" ht="15.75" customHeight="1" x14ac:dyDescent="0.25">
      <c r="B53" s="1"/>
      <c r="C53" s="1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</row>
    <row r="54" spans="2:37" ht="15.75" customHeight="1" x14ac:dyDescent="0.25"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2:37" ht="15.75" customHeight="1" x14ac:dyDescent="0.25">
      <c r="I55" s="1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</row>
    <row r="56" spans="2:37" ht="15.75" customHeight="1" x14ac:dyDescent="0.25"/>
    <row r="57" spans="2:37" ht="15.75" customHeight="1" x14ac:dyDescent="0.25"/>
    <row r="58" spans="2:37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2:37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7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2:37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2:37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2:37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2:37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2:35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2:35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2:35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2:35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2:35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2:35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2:35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2:35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2:35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2:35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2:35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2:35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2:35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2:35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2:35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2:35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2:35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2:35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2:35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2:35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2:35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2:35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2:35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2:35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2:35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2:35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2:35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2:35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2:35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2:35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2:35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2:35" ht="15.7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2:35" ht="15.7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2:35" ht="15.75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2:35" ht="15.75" customHeight="1" x14ac:dyDescent="0.25"/>
    <row r="251" spans="2:35" ht="15.75" customHeight="1" x14ac:dyDescent="0.25"/>
    <row r="252" spans="2:35" ht="15.75" customHeight="1" x14ac:dyDescent="0.25"/>
    <row r="253" spans="2:35" ht="15.75" customHeight="1" x14ac:dyDescent="0.25"/>
    <row r="254" spans="2:35" ht="15.75" customHeight="1" x14ac:dyDescent="0.25"/>
    <row r="255" spans="2:35" ht="15.75" customHeight="1" x14ac:dyDescent="0.25"/>
    <row r="256" spans="2:3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32" priority="1" operator="lessThan">
      <formula>0</formula>
    </cfRule>
  </conditionalFormatting>
  <conditionalFormatting sqref="C4">
    <cfRule type="cellIs" dxfId="131" priority="2" operator="greaterThan">
      <formula>0</formula>
    </cfRule>
  </conditionalFormatting>
  <conditionalFormatting sqref="C4">
    <cfRule type="cellIs" dxfId="130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1001"/>
  <sheetViews>
    <sheetView showGridLines="0" workbookViewId="0">
      <selection activeCell="B29" sqref="B29:D29"/>
    </sheetView>
  </sheetViews>
  <sheetFormatPr defaultColWidth="14.42578125" defaultRowHeight="15" customHeight="1" x14ac:dyDescent="0.25"/>
  <cols>
    <col min="1" max="1" width="1.7109375" customWidth="1"/>
    <col min="2" max="2" width="18.42578125" customWidth="1"/>
    <col min="3" max="3" width="10.42578125" customWidth="1"/>
    <col min="4" max="4" width="7.5703125" customWidth="1"/>
    <col min="5" max="8" width="8.7109375" customWidth="1"/>
    <col min="9" max="9" width="9.28515625" customWidth="1"/>
    <col min="10" max="34" width="10.42578125" customWidth="1"/>
    <col min="35" max="35" width="1.85546875" customWidth="1"/>
    <col min="36" max="36" width="14.42578125" customWidth="1"/>
    <col min="37" max="37" width="5.5703125" customWidth="1"/>
    <col min="38" max="38" width="5.7109375" customWidth="1"/>
  </cols>
  <sheetData>
    <row r="1" spans="1:38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</row>
    <row r="2" spans="1:38" x14ac:dyDescent="0.25">
      <c r="A2" s="96"/>
      <c r="B2" s="74" t="s">
        <v>45</v>
      </c>
      <c r="C2" s="75">
        <f>SUM(C8:C31)</f>
        <v>-2177.8216666666667</v>
      </c>
      <c r="D2" s="12"/>
      <c r="E2" s="48">
        <f t="shared" ref="E2:AH2" si="0">E6/$C$2</f>
        <v>0.16410893760049222</v>
      </c>
      <c r="F2" s="48">
        <f t="shared" si="0"/>
        <v>0</v>
      </c>
      <c r="G2" s="48">
        <f t="shared" si="0"/>
        <v>3.214220937894364E-3</v>
      </c>
      <c r="H2" s="48">
        <f t="shared" si="0"/>
        <v>1.5060920966133588E-2</v>
      </c>
      <c r="I2" s="48">
        <f t="shared" si="0"/>
        <v>0.27265777041738187</v>
      </c>
      <c r="J2" s="48">
        <f t="shared" si="0"/>
        <v>3.5296737642277108E-2</v>
      </c>
      <c r="K2" s="48">
        <f t="shared" si="0"/>
        <v>2.546122157232035E-2</v>
      </c>
      <c r="L2" s="48">
        <f t="shared" si="0"/>
        <v>1.2351791889908341E-2</v>
      </c>
      <c r="M2" s="48">
        <f t="shared" si="0"/>
        <v>0</v>
      </c>
      <c r="N2" s="48">
        <f t="shared" si="0"/>
        <v>7.824332111674279E-3</v>
      </c>
      <c r="O2" s="48">
        <f t="shared" si="0"/>
        <v>1.3729315149005925E-2</v>
      </c>
      <c r="P2" s="48">
        <f t="shared" si="0"/>
        <v>6.428441875788728E-3</v>
      </c>
      <c r="Q2" s="48">
        <f t="shared" si="0"/>
        <v>1.3729315149005925E-2</v>
      </c>
      <c r="R2" s="48">
        <f t="shared" si="0"/>
        <v>1.3417076543610473E-2</v>
      </c>
      <c r="S2" s="48">
        <f t="shared" si="0"/>
        <v>0</v>
      </c>
      <c r="T2" s="48">
        <f t="shared" si="0"/>
        <v>2.295872098495974E-3</v>
      </c>
      <c r="U2" s="48">
        <f t="shared" si="0"/>
        <v>1.4105838173159264E-2</v>
      </c>
      <c r="V2" s="48">
        <f t="shared" si="0"/>
        <v>2.7963722159680963E-2</v>
      </c>
      <c r="W2" s="48">
        <f t="shared" si="0"/>
        <v>2.295872098495974E-3</v>
      </c>
      <c r="X2" s="48">
        <f t="shared" si="0"/>
        <v>1.3775232590975845E-2</v>
      </c>
      <c r="Y2" s="48">
        <f t="shared" si="0"/>
        <v>2.295872098495974E-3</v>
      </c>
      <c r="Z2" s="48">
        <f t="shared" si="0"/>
        <v>2.3812785405600244E-2</v>
      </c>
      <c r="AA2" s="48">
        <f t="shared" si="0"/>
        <v>2.0662848886463768E-2</v>
      </c>
      <c r="AB2" s="48">
        <f t="shared" si="0"/>
        <v>4.591744196991948E-3</v>
      </c>
      <c r="AC2" s="48">
        <f t="shared" si="0"/>
        <v>9.4130756038334942E-2</v>
      </c>
      <c r="AD2" s="48">
        <f t="shared" si="0"/>
        <v>1.8366976787967792E-2</v>
      </c>
      <c r="AE2" s="48">
        <f t="shared" si="0"/>
        <v>2.1512321562907277E-2</v>
      </c>
      <c r="AF2" s="48">
        <f t="shared" si="0"/>
        <v>4.5545510689963133E-2</v>
      </c>
      <c r="AG2" s="48">
        <f t="shared" si="0"/>
        <v>1.147936049247987E-3</v>
      </c>
      <c r="AH2" s="48">
        <f t="shared" si="0"/>
        <v>5.6478453623000965E-3</v>
      </c>
      <c r="AI2" s="97"/>
    </row>
    <row r="3" spans="1:38" hidden="1" x14ac:dyDescent="0.25">
      <c r="A3" s="96"/>
      <c r="B3" s="76"/>
      <c r="C3" s="77"/>
      <c r="D3" s="1"/>
      <c r="E3" s="55" t="str">
        <f t="shared" ref="E3:AH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96"/>
      <c r="AK3" s="78" t="s">
        <v>0</v>
      </c>
      <c r="AL3" s="1" t="s">
        <v>64</v>
      </c>
    </row>
    <row r="4" spans="1:38" x14ac:dyDescent="0.25">
      <c r="A4" s="96"/>
      <c r="B4" s="79" t="s">
        <v>47</v>
      </c>
      <c r="C4" s="102">
        <f>C33+C2</f>
        <v>178.82833333333338</v>
      </c>
      <c r="D4" s="104" t="s">
        <v>7</v>
      </c>
      <c r="E4" s="105" t="str">
        <f t="shared" ref="E4:AH4" si="2">TEXT(E5,"ddd")</f>
        <v>Mon</v>
      </c>
      <c r="F4" s="105" t="str">
        <f t="shared" si="2"/>
        <v>Tue</v>
      </c>
      <c r="G4" s="105" t="str">
        <f t="shared" si="2"/>
        <v>Wed</v>
      </c>
      <c r="H4" s="105" t="str">
        <f t="shared" si="2"/>
        <v>Thu</v>
      </c>
      <c r="I4" s="105" t="str">
        <f t="shared" si="2"/>
        <v>Fri</v>
      </c>
      <c r="J4" s="105" t="str">
        <f t="shared" si="2"/>
        <v>Sat</v>
      </c>
      <c r="K4" s="105" t="str">
        <f t="shared" si="2"/>
        <v>Sun</v>
      </c>
      <c r="L4" s="105" t="str">
        <f t="shared" si="2"/>
        <v>Mon</v>
      </c>
      <c r="M4" s="105" t="str">
        <f t="shared" si="2"/>
        <v>Tue</v>
      </c>
      <c r="N4" s="105" t="str">
        <f t="shared" si="2"/>
        <v>Wed</v>
      </c>
      <c r="O4" s="105" t="str">
        <f t="shared" si="2"/>
        <v>Thu</v>
      </c>
      <c r="P4" s="105" t="str">
        <f t="shared" si="2"/>
        <v>Fri</v>
      </c>
      <c r="Q4" s="105" t="str">
        <f t="shared" si="2"/>
        <v>Sat</v>
      </c>
      <c r="R4" s="105" t="str">
        <f t="shared" si="2"/>
        <v>Sun</v>
      </c>
      <c r="S4" s="105" t="str">
        <f t="shared" si="2"/>
        <v>Mon</v>
      </c>
      <c r="T4" s="105" t="str">
        <f t="shared" si="2"/>
        <v>Tue</v>
      </c>
      <c r="U4" s="105" t="str">
        <f t="shared" si="2"/>
        <v>Wed</v>
      </c>
      <c r="V4" s="105" t="str">
        <f t="shared" si="2"/>
        <v>Thu</v>
      </c>
      <c r="W4" s="105" t="str">
        <f t="shared" si="2"/>
        <v>Fri</v>
      </c>
      <c r="X4" s="105" t="str">
        <f t="shared" si="2"/>
        <v>Sat</v>
      </c>
      <c r="Y4" s="105" t="str">
        <f t="shared" si="2"/>
        <v>Sun</v>
      </c>
      <c r="Z4" s="105" t="str">
        <f t="shared" si="2"/>
        <v>Mon</v>
      </c>
      <c r="AA4" s="105" t="str">
        <f t="shared" si="2"/>
        <v>Tue</v>
      </c>
      <c r="AB4" s="105" t="str">
        <f t="shared" si="2"/>
        <v>Wed</v>
      </c>
      <c r="AC4" s="105" t="str">
        <f t="shared" si="2"/>
        <v>Thu</v>
      </c>
      <c r="AD4" s="105" t="str">
        <f t="shared" si="2"/>
        <v>Fri</v>
      </c>
      <c r="AE4" s="105" t="str">
        <f t="shared" si="2"/>
        <v>Sat</v>
      </c>
      <c r="AF4" s="105" t="str">
        <f t="shared" si="2"/>
        <v>Sun</v>
      </c>
      <c r="AG4" s="105" t="str">
        <f t="shared" si="2"/>
        <v>Mon</v>
      </c>
      <c r="AH4" s="105" t="str">
        <f t="shared" si="2"/>
        <v>Tue</v>
      </c>
      <c r="AI4" s="96"/>
      <c r="AK4" s="78">
        <v>2019</v>
      </c>
      <c r="AL4" s="56">
        <f ca="1">TODAY()</f>
        <v>43926</v>
      </c>
    </row>
    <row r="5" spans="1:38" x14ac:dyDescent="0.25">
      <c r="A5" s="96"/>
      <c r="B5" s="81" t="s">
        <v>51</v>
      </c>
      <c r="C5" s="108">
        <f>C4/C33</f>
        <v>7.5882431983253076E-2</v>
      </c>
      <c r="D5" s="109"/>
      <c r="E5" s="111">
        <f>DATE($AK$4,$AK$6,1)</f>
        <v>43556</v>
      </c>
      <c r="F5" s="111">
        <f t="shared" ref="F5:AH5" si="3">E5+1</f>
        <v>43557</v>
      </c>
      <c r="G5" s="111">
        <f t="shared" si="3"/>
        <v>43558</v>
      </c>
      <c r="H5" s="111">
        <f t="shared" si="3"/>
        <v>43559</v>
      </c>
      <c r="I5" s="111">
        <f t="shared" si="3"/>
        <v>43560</v>
      </c>
      <c r="J5" s="111">
        <f t="shared" si="3"/>
        <v>43561</v>
      </c>
      <c r="K5" s="111">
        <f t="shared" si="3"/>
        <v>43562</v>
      </c>
      <c r="L5" s="111">
        <f t="shared" si="3"/>
        <v>43563</v>
      </c>
      <c r="M5" s="111">
        <f t="shared" si="3"/>
        <v>43564</v>
      </c>
      <c r="N5" s="111">
        <f t="shared" si="3"/>
        <v>43565</v>
      </c>
      <c r="O5" s="111">
        <f t="shared" si="3"/>
        <v>43566</v>
      </c>
      <c r="P5" s="111">
        <f t="shared" si="3"/>
        <v>43567</v>
      </c>
      <c r="Q5" s="111">
        <f t="shared" si="3"/>
        <v>43568</v>
      </c>
      <c r="R5" s="111">
        <f t="shared" si="3"/>
        <v>43569</v>
      </c>
      <c r="S5" s="111">
        <f t="shared" si="3"/>
        <v>43570</v>
      </c>
      <c r="T5" s="111">
        <f t="shared" si="3"/>
        <v>43571</v>
      </c>
      <c r="U5" s="111">
        <f t="shared" si="3"/>
        <v>43572</v>
      </c>
      <c r="V5" s="111">
        <f t="shared" si="3"/>
        <v>43573</v>
      </c>
      <c r="W5" s="111">
        <f t="shared" si="3"/>
        <v>43574</v>
      </c>
      <c r="X5" s="111">
        <f t="shared" si="3"/>
        <v>43575</v>
      </c>
      <c r="Y5" s="111">
        <f t="shared" si="3"/>
        <v>43576</v>
      </c>
      <c r="Z5" s="111">
        <f t="shared" si="3"/>
        <v>43577</v>
      </c>
      <c r="AA5" s="111">
        <f t="shared" si="3"/>
        <v>43578</v>
      </c>
      <c r="AB5" s="111">
        <f t="shared" si="3"/>
        <v>43579</v>
      </c>
      <c r="AC5" s="111">
        <f t="shared" si="3"/>
        <v>43580</v>
      </c>
      <c r="AD5" s="111">
        <f t="shared" si="3"/>
        <v>43581</v>
      </c>
      <c r="AE5" s="111">
        <f t="shared" si="3"/>
        <v>43582</v>
      </c>
      <c r="AF5" s="111">
        <f t="shared" si="3"/>
        <v>43583</v>
      </c>
      <c r="AG5" s="111">
        <f t="shared" si="3"/>
        <v>43584</v>
      </c>
      <c r="AH5" s="111">
        <f t="shared" si="3"/>
        <v>43585</v>
      </c>
      <c r="AI5" s="96"/>
      <c r="AK5" s="78" t="s">
        <v>1</v>
      </c>
      <c r="AL5" s="1" t="str">
        <f ca="1">IF(V5=AL4,"sim","não")</f>
        <v>não</v>
      </c>
    </row>
    <row r="6" spans="1:38" x14ac:dyDescent="0.25">
      <c r="A6" s="96"/>
      <c r="B6" s="83"/>
      <c r="C6" s="15" t="s">
        <v>62</v>
      </c>
      <c r="D6" s="113">
        <f>SUM(D8:D31)</f>
        <v>1</v>
      </c>
      <c r="E6" s="114">
        <f t="shared" ref="E6:AH6" si="4">SUM(E7:E31)</f>
        <v>-357.4</v>
      </c>
      <c r="F6" s="114">
        <f t="shared" si="4"/>
        <v>0</v>
      </c>
      <c r="G6" s="114">
        <f t="shared" si="4"/>
        <v>-7</v>
      </c>
      <c r="H6" s="114">
        <f t="shared" si="4"/>
        <v>-32.799999999999997</v>
      </c>
      <c r="I6" s="114">
        <f t="shared" si="4"/>
        <v>-593.79999999999995</v>
      </c>
      <c r="J6" s="114">
        <f t="shared" si="4"/>
        <v>-76.87</v>
      </c>
      <c r="K6" s="114">
        <f t="shared" si="4"/>
        <v>-55.449999999999996</v>
      </c>
      <c r="L6" s="114">
        <f t="shared" si="4"/>
        <v>-26.9</v>
      </c>
      <c r="M6" s="114">
        <f t="shared" si="4"/>
        <v>0</v>
      </c>
      <c r="N6" s="114">
        <f t="shared" si="4"/>
        <v>-17.04</v>
      </c>
      <c r="O6" s="114">
        <f t="shared" si="4"/>
        <v>-29.9</v>
      </c>
      <c r="P6" s="114">
        <f t="shared" si="4"/>
        <v>-14</v>
      </c>
      <c r="Q6" s="114">
        <f t="shared" si="4"/>
        <v>-29.9</v>
      </c>
      <c r="R6" s="114">
        <f t="shared" si="4"/>
        <v>-29.22</v>
      </c>
      <c r="S6" s="114">
        <f t="shared" si="4"/>
        <v>0</v>
      </c>
      <c r="T6" s="114">
        <f t="shared" si="4"/>
        <v>-5</v>
      </c>
      <c r="U6" s="114">
        <f t="shared" si="4"/>
        <v>-30.72</v>
      </c>
      <c r="V6" s="114">
        <f t="shared" si="4"/>
        <v>-60.9</v>
      </c>
      <c r="W6" s="114">
        <f t="shared" si="4"/>
        <v>-5</v>
      </c>
      <c r="X6" s="114">
        <f t="shared" si="4"/>
        <v>-30</v>
      </c>
      <c r="Y6" s="114">
        <f t="shared" si="4"/>
        <v>-5</v>
      </c>
      <c r="Z6" s="114">
        <f t="shared" si="4"/>
        <v>-51.86</v>
      </c>
      <c r="AA6" s="114">
        <f t="shared" si="4"/>
        <v>-45</v>
      </c>
      <c r="AB6" s="114">
        <f t="shared" si="4"/>
        <v>-10</v>
      </c>
      <c r="AC6" s="114">
        <f t="shared" si="4"/>
        <v>-205</v>
      </c>
      <c r="AD6" s="114">
        <f t="shared" si="4"/>
        <v>-40</v>
      </c>
      <c r="AE6" s="114">
        <f t="shared" si="4"/>
        <v>-46.85</v>
      </c>
      <c r="AF6" s="114">
        <f t="shared" si="4"/>
        <v>-99.19</v>
      </c>
      <c r="AG6" s="114">
        <f t="shared" si="4"/>
        <v>-2.5</v>
      </c>
      <c r="AH6" s="114">
        <f t="shared" si="4"/>
        <v>-12.3</v>
      </c>
      <c r="AI6" s="96"/>
      <c r="AK6" s="78">
        <v>4</v>
      </c>
      <c r="AL6" s="1"/>
    </row>
    <row r="7" spans="1:38" x14ac:dyDescent="0.25">
      <c r="A7" s="96"/>
      <c r="B7" s="83" t="s">
        <v>90</v>
      </c>
      <c r="C7" s="15"/>
      <c r="D7" s="91" t="s">
        <v>66</v>
      </c>
      <c r="E7" s="92" t="s">
        <v>66</v>
      </c>
      <c r="F7" s="92" t="s">
        <v>66</v>
      </c>
      <c r="G7" s="92" t="s">
        <v>66</v>
      </c>
      <c r="H7" s="92" t="s">
        <v>66</v>
      </c>
      <c r="I7" s="92" t="s">
        <v>66</v>
      </c>
      <c r="J7" s="92" t="s">
        <v>66</v>
      </c>
      <c r="K7" s="92" t="s">
        <v>66</v>
      </c>
      <c r="L7" s="92" t="s">
        <v>66</v>
      </c>
      <c r="M7" s="92" t="s">
        <v>66</v>
      </c>
      <c r="N7" s="92" t="s">
        <v>66</v>
      </c>
      <c r="O7" s="92" t="s">
        <v>66</v>
      </c>
      <c r="P7" s="92" t="s">
        <v>66</v>
      </c>
      <c r="Q7" s="92" t="s">
        <v>66</v>
      </c>
      <c r="R7" s="92" t="s">
        <v>66</v>
      </c>
      <c r="S7" s="92" t="s">
        <v>66</v>
      </c>
      <c r="T7" s="92" t="s">
        <v>66</v>
      </c>
      <c r="U7" s="92" t="s">
        <v>66</v>
      </c>
      <c r="V7" s="92" t="s">
        <v>66</v>
      </c>
      <c r="W7" s="92" t="s">
        <v>66</v>
      </c>
      <c r="X7" s="92" t="s">
        <v>66</v>
      </c>
      <c r="Y7" s="92" t="s">
        <v>66</v>
      </c>
      <c r="Z7" s="92" t="s">
        <v>66</v>
      </c>
      <c r="AA7" s="92" t="s">
        <v>66</v>
      </c>
      <c r="AB7" s="92" t="s">
        <v>66</v>
      </c>
      <c r="AC7" s="92" t="s">
        <v>66</v>
      </c>
      <c r="AD7" s="92" t="s">
        <v>66</v>
      </c>
      <c r="AE7" s="92" t="s">
        <v>66</v>
      </c>
      <c r="AF7" s="92" t="s">
        <v>66</v>
      </c>
      <c r="AG7" s="92" t="s">
        <v>66</v>
      </c>
      <c r="AH7" s="92" t="s">
        <v>66</v>
      </c>
      <c r="AI7" s="96" t="s">
        <v>66</v>
      </c>
      <c r="AK7" s="78"/>
      <c r="AL7" s="1"/>
    </row>
    <row r="8" spans="1:38" x14ac:dyDescent="0.25">
      <c r="A8" s="96"/>
      <c r="B8" s="86" t="s">
        <v>20</v>
      </c>
      <c r="C8" s="87">
        <f t="shared" ref="C8:C32" si="5">SUM(E8:AH8)</f>
        <v>-239.00000000000003</v>
      </c>
      <c r="D8" s="88">
        <f t="shared" ref="D8:D32" si="6">C8/$C$2</f>
        <v>0.10974268630810757</v>
      </c>
      <c r="E8" s="89">
        <v>-16</v>
      </c>
      <c r="F8" s="89" t="s">
        <v>66</v>
      </c>
      <c r="G8" s="89" t="s">
        <v>66</v>
      </c>
      <c r="H8" s="89">
        <v>-22.8</v>
      </c>
      <c r="I8" s="89" t="s">
        <v>66</v>
      </c>
      <c r="J8" s="89">
        <f>-9-20-10.6</f>
        <v>-39.6</v>
      </c>
      <c r="K8" s="89">
        <v>-13</v>
      </c>
      <c r="L8" s="89" t="s">
        <v>66</v>
      </c>
      <c r="M8" s="89" t="s">
        <v>66</v>
      </c>
      <c r="N8" s="89">
        <v>-7.9</v>
      </c>
      <c r="O8" s="89">
        <v>-19.899999999999999</v>
      </c>
      <c r="P8" s="89" t="s">
        <v>66</v>
      </c>
      <c r="Q8" s="89">
        <v>-17.899999999999999</v>
      </c>
      <c r="R8" s="89" t="s">
        <v>66</v>
      </c>
      <c r="S8" s="89" t="s">
        <v>66</v>
      </c>
      <c r="T8" s="89" t="s">
        <v>66</v>
      </c>
      <c r="U8" s="89" t="s">
        <v>66</v>
      </c>
      <c r="V8" s="89">
        <v>-19.899999999999999</v>
      </c>
      <c r="W8" s="89" t="s">
        <v>66</v>
      </c>
      <c r="X8" s="89">
        <v>-30</v>
      </c>
      <c r="Y8" s="89" t="s">
        <v>66</v>
      </c>
      <c r="Z8" s="89" t="s">
        <v>66</v>
      </c>
      <c r="AA8" s="89" t="s">
        <v>66</v>
      </c>
      <c r="AB8" s="89" t="s">
        <v>66</v>
      </c>
      <c r="AC8" s="89">
        <v>-19.899999999999999</v>
      </c>
      <c r="AD8" s="89" t="s">
        <v>66</v>
      </c>
      <c r="AE8" s="89">
        <f>-26.6-7-5.5+4+3-5+5</f>
        <v>-32.1</v>
      </c>
      <c r="AF8" s="89" t="s">
        <v>66</v>
      </c>
      <c r="AG8" s="89" t="s">
        <v>66</v>
      </c>
      <c r="AH8" s="89" t="s">
        <v>66</v>
      </c>
      <c r="AI8" s="97"/>
    </row>
    <row r="9" spans="1:38" x14ac:dyDescent="0.25">
      <c r="A9" s="96"/>
      <c r="B9" s="86" t="s">
        <v>21</v>
      </c>
      <c r="C9" s="87">
        <f t="shared" si="5"/>
        <v>0</v>
      </c>
      <c r="D9" s="91">
        <f t="shared" si="6"/>
        <v>0</v>
      </c>
      <c r="E9" s="92" t="s">
        <v>66</v>
      </c>
      <c r="F9" s="92" t="s">
        <v>66</v>
      </c>
      <c r="G9" s="92" t="s">
        <v>66</v>
      </c>
      <c r="H9" s="92" t="s">
        <v>66</v>
      </c>
      <c r="I9" s="92" t="s">
        <v>66</v>
      </c>
      <c r="J9" s="92" t="s">
        <v>66</v>
      </c>
      <c r="K9" s="92" t="s">
        <v>66</v>
      </c>
      <c r="L9" s="92" t="s">
        <v>66</v>
      </c>
      <c r="M9" s="92" t="s">
        <v>66</v>
      </c>
      <c r="N9" s="92" t="s">
        <v>66</v>
      </c>
      <c r="O9" s="92" t="s">
        <v>66</v>
      </c>
      <c r="P9" s="92" t="s">
        <v>66</v>
      </c>
      <c r="Q9" s="92" t="s">
        <v>66</v>
      </c>
      <c r="R9" s="92" t="s">
        <v>66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 t="s">
        <v>66</v>
      </c>
      <c r="Z9" s="92" t="s">
        <v>66</v>
      </c>
      <c r="AA9" s="92" t="s">
        <v>66</v>
      </c>
      <c r="AB9" s="92" t="s">
        <v>66</v>
      </c>
      <c r="AC9" s="92" t="s">
        <v>66</v>
      </c>
      <c r="AD9" s="92" t="s">
        <v>66</v>
      </c>
      <c r="AE9" s="92" t="s">
        <v>66</v>
      </c>
      <c r="AF9" s="92" t="s">
        <v>66</v>
      </c>
      <c r="AG9" s="92" t="s">
        <v>66</v>
      </c>
      <c r="AH9" s="92" t="s">
        <v>66</v>
      </c>
      <c r="AI9" s="97"/>
      <c r="AK9" s="54"/>
    </row>
    <row r="10" spans="1:38" x14ac:dyDescent="0.25">
      <c r="A10" s="96"/>
      <c r="B10" s="86" t="s">
        <v>91</v>
      </c>
      <c r="C10" s="87">
        <f t="shared" si="5"/>
        <v>-24.5</v>
      </c>
      <c r="D10" s="93">
        <f t="shared" si="6"/>
        <v>1.1249773282630273E-2</v>
      </c>
      <c r="E10" s="94" t="s">
        <v>66</v>
      </c>
      <c r="F10" s="94" t="s">
        <v>66</v>
      </c>
      <c r="G10" s="94">
        <v>-7</v>
      </c>
      <c r="H10" s="94" t="s">
        <v>66</v>
      </c>
      <c r="I10" s="94" t="s">
        <v>66</v>
      </c>
      <c r="J10" s="94" t="s">
        <v>66</v>
      </c>
      <c r="K10" s="94">
        <f>-2.5-4</f>
        <v>-6.5</v>
      </c>
      <c r="L10" s="94" t="s">
        <v>66</v>
      </c>
      <c r="M10" s="94" t="s">
        <v>66</v>
      </c>
      <c r="N10" s="94" t="s">
        <v>66</v>
      </c>
      <c r="O10" s="94" t="s">
        <v>66</v>
      </c>
      <c r="P10" s="94">
        <v>-9</v>
      </c>
      <c r="Q10" s="94" t="s">
        <v>66</v>
      </c>
      <c r="R10" s="94" t="s">
        <v>66</v>
      </c>
      <c r="S10" s="94" t="s">
        <v>66</v>
      </c>
      <c r="T10" s="94" t="s">
        <v>66</v>
      </c>
      <c r="U10" s="94" t="s">
        <v>66</v>
      </c>
      <c r="V10" s="94" t="s">
        <v>66</v>
      </c>
      <c r="W10" s="94" t="s">
        <v>66</v>
      </c>
      <c r="X10" s="94" t="s">
        <v>66</v>
      </c>
      <c r="Y10" s="94" t="s">
        <v>66</v>
      </c>
      <c r="Z10" s="94" t="s">
        <v>66</v>
      </c>
      <c r="AA10" s="94" t="s">
        <v>66</v>
      </c>
      <c r="AB10" s="94" t="s">
        <v>66</v>
      </c>
      <c r="AC10" s="94">
        <v>-2</v>
      </c>
      <c r="AD10" s="94" t="s">
        <v>66</v>
      </c>
      <c r="AE10" s="94" t="s">
        <v>66</v>
      </c>
      <c r="AF10" s="94" t="s">
        <v>66</v>
      </c>
      <c r="AG10" s="94" t="s">
        <v>66</v>
      </c>
      <c r="AH10" s="94" t="s">
        <v>66</v>
      </c>
      <c r="AI10" s="97"/>
      <c r="AK10" s="54"/>
    </row>
    <row r="11" spans="1:38" x14ac:dyDescent="0.25">
      <c r="A11" s="96"/>
      <c r="B11" s="86" t="s">
        <v>22</v>
      </c>
      <c r="C11" s="87">
        <f t="shared" si="5"/>
        <v>-28.8</v>
      </c>
      <c r="D11" s="91">
        <f t="shared" si="6"/>
        <v>1.3224223287336811E-2</v>
      </c>
      <c r="E11" s="92" t="s">
        <v>66</v>
      </c>
      <c r="F11" s="92" t="s">
        <v>66</v>
      </c>
      <c r="G11" s="92" t="s">
        <v>66</v>
      </c>
      <c r="H11" s="92" t="s">
        <v>66</v>
      </c>
      <c r="I11" s="92">
        <v>-8.8000000000000007</v>
      </c>
      <c r="J11" s="92" t="s">
        <v>66</v>
      </c>
      <c r="K11" s="92" t="s">
        <v>66</v>
      </c>
      <c r="L11" s="92" t="s">
        <v>66</v>
      </c>
      <c r="M11" s="92" t="s">
        <v>66</v>
      </c>
      <c r="N11" s="92" t="s">
        <v>66</v>
      </c>
      <c r="O11" s="92" t="s">
        <v>66</v>
      </c>
      <c r="P11" s="92">
        <v>-5</v>
      </c>
      <c r="Q11" s="92" t="s">
        <v>66</v>
      </c>
      <c r="R11" s="92" t="s">
        <v>66</v>
      </c>
      <c r="S11" s="92" t="s">
        <v>66</v>
      </c>
      <c r="T11" s="92">
        <v>-5</v>
      </c>
      <c r="U11" s="92">
        <v>-5</v>
      </c>
      <c r="V11" s="92" t="s">
        <v>66</v>
      </c>
      <c r="W11" s="92">
        <v>-5</v>
      </c>
      <c r="X11" s="92" t="s">
        <v>66</v>
      </c>
      <c r="Y11" s="92" t="s">
        <v>66</v>
      </c>
      <c r="Z11" s="92" t="s">
        <v>66</v>
      </c>
      <c r="AA11" s="92" t="s">
        <v>66</v>
      </c>
      <c r="AB11" s="92" t="s">
        <v>66</v>
      </c>
      <c r="AC11" s="92" t="s">
        <v>66</v>
      </c>
      <c r="AD11" s="92" t="s">
        <v>66</v>
      </c>
      <c r="AE11" s="92" t="s">
        <v>66</v>
      </c>
      <c r="AF11" s="92" t="s">
        <v>66</v>
      </c>
      <c r="AG11" s="92" t="s">
        <v>66</v>
      </c>
      <c r="AH11" s="92" t="s">
        <v>66</v>
      </c>
      <c r="AI11" s="97"/>
      <c r="AK11" s="54"/>
    </row>
    <row r="12" spans="1:38" x14ac:dyDescent="0.25">
      <c r="A12" s="96"/>
      <c r="B12" s="86" t="s">
        <v>23</v>
      </c>
      <c r="C12" s="87">
        <f t="shared" si="5"/>
        <v>-18</v>
      </c>
      <c r="D12" s="93">
        <f t="shared" si="6"/>
        <v>8.2651395545855072E-3</v>
      </c>
      <c r="E12" s="94" t="s">
        <v>66</v>
      </c>
      <c r="F12" s="94" t="s">
        <v>66</v>
      </c>
      <c r="G12" s="94" t="s">
        <v>66</v>
      </c>
      <c r="H12" s="94" t="s">
        <v>66</v>
      </c>
      <c r="I12" s="94" t="s">
        <v>66</v>
      </c>
      <c r="J12" s="94" t="s">
        <v>66</v>
      </c>
      <c r="K12" s="94" t="s">
        <v>66</v>
      </c>
      <c r="L12" s="94" t="s">
        <v>66</v>
      </c>
      <c r="M12" s="94" t="s">
        <v>66</v>
      </c>
      <c r="N12" s="94" t="s">
        <v>66</v>
      </c>
      <c r="O12" s="94">
        <v>-10</v>
      </c>
      <c r="P12" s="94" t="s">
        <v>66</v>
      </c>
      <c r="Q12" s="94">
        <v>-2</v>
      </c>
      <c r="R12" s="94" t="s">
        <v>66</v>
      </c>
      <c r="S12" s="94" t="s">
        <v>66</v>
      </c>
      <c r="T12" s="94" t="s">
        <v>66</v>
      </c>
      <c r="U12" s="94" t="s">
        <v>66</v>
      </c>
      <c r="V12" s="94" t="s">
        <v>66</v>
      </c>
      <c r="W12" s="94" t="s">
        <v>66</v>
      </c>
      <c r="X12" s="94" t="s">
        <v>66</v>
      </c>
      <c r="Y12" s="94" t="s">
        <v>66</v>
      </c>
      <c r="Z12" s="94">
        <v>-2.5</v>
      </c>
      <c r="AA12" s="94" t="s">
        <v>66</v>
      </c>
      <c r="AB12" s="94" t="s">
        <v>66</v>
      </c>
      <c r="AC12" s="94" t="s">
        <v>66</v>
      </c>
      <c r="AD12" s="94" t="s">
        <v>66</v>
      </c>
      <c r="AE12" s="94">
        <v>-1</v>
      </c>
      <c r="AF12" s="94" t="s">
        <v>66</v>
      </c>
      <c r="AG12" s="94">
        <v>-2.5</v>
      </c>
      <c r="AH12" s="94" t="s">
        <v>66</v>
      </c>
      <c r="AI12" s="97"/>
    </row>
    <row r="13" spans="1:38" x14ac:dyDescent="0.25">
      <c r="A13" s="96"/>
      <c r="B13" s="86" t="s">
        <v>81</v>
      </c>
      <c r="C13" s="87">
        <f t="shared" si="5"/>
        <v>-30</v>
      </c>
      <c r="D13" s="91">
        <f t="shared" si="6"/>
        <v>1.3775232590975845E-2</v>
      </c>
      <c r="E13" s="92" t="s">
        <v>66</v>
      </c>
      <c r="F13" s="92" t="s">
        <v>66</v>
      </c>
      <c r="G13" s="92" t="s">
        <v>66</v>
      </c>
      <c r="H13" s="92">
        <v>-10</v>
      </c>
      <c r="I13" s="92" t="s">
        <v>66</v>
      </c>
      <c r="J13" s="92" t="s">
        <v>66</v>
      </c>
      <c r="K13" s="92" t="s">
        <v>66</v>
      </c>
      <c r="L13" s="92" t="s">
        <v>66</v>
      </c>
      <c r="M13" s="92" t="s">
        <v>66</v>
      </c>
      <c r="N13" s="92" t="s">
        <v>66</v>
      </c>
      <c r="O13" s="92" t="s">
        <v>66</v>
      </c>
      <c r="P13" s="92" t="s">
        <v>66</v>
      </c>
      <c r="Q13" s="92">
        <v>-10</v>
      </c>
      <c r="R13" s="92" t="s">
        <v>66</v>
      </c>
      <c r="S13" s="92" t="s">
        <v>66</v>
      </c>
      <c r="T13" s="92" t="s">
        <v>66</v>
      </c>
      <c r="U13" s="92" t="s">
        <v>66</v>
      </c>
      <c r="V13" s="92" t="s">
        <v>66</v>
      </c>
      <c r="W13" s="92" t="s">
        <v>66</v>
      </c>
      <c r="X13" s="92" t="s">
        <v>66</v>
      </c>
      <c r="Y13" s="92" t="s">
        <v>66</v>
      </c>
      <c r="Z13" s="92" t="s">
        <v>66</v>
      </c>
      <c r="AA13" s="92" t="s">
        <v>66</v>
      </c>
      <c r="AB13" s="92">
        <v>-10</v>
      </c>
      <c r="AC13" s="92" t="s">
        <v>66</v>
      </c>
      <c r="AD13" s="92" t="s">
        <v>66</v>
      </c>
      <c r="AE13" s="92" t="s">
        <v>66</v>
      </c>
      <c r="AF13" s="92" t="s">
        <v>66</v>
      </c>
      <c r="AG13" s="92" t="s">
        <v>66</v>
      </c>
      <c r="AH13" s="92" t="s">
        <v>66</v>
      </c>
      <c r="AI13" s="97"/>
    </row>
    <row r="14" spans="1:38" x14ac:dyDescent="0.25">
      <c r="A14" s="96"/>
      <c r="B14" s="86" t="s">
        <v>24</v>
      </c>
      <c r="C14" s="87">
        <f t="shared" si="5"/>
        <v>-144.04</v>
      </c>
      <c r="D14" s="93">
        <f t="shared" si="6"/>
        <v>6.6139483413472019E-2</v>
      </c>
      <c r="E14" s="94" t="s">
        <v>66</v>
      </c>
      <c r="F14" s="94" t="s">
        <v>66</v>
      </c>
      <c r="G14" s="94" t="s">
        <v>66</v>
      </c>
      <c r="H14" s="94" t="s">
        <v>66</v>
      </c>
      <c r="I14" s="94" t="s">
        <v>66</v>
      </c>
      <c r="J14" s="94" t="s">
        <v>66</v>
      </c>
      <c r="K14" s="94">
        <v>-15.55</v>
      </c>
      <c r="L14" s="94" t="s">
        <v>66</v>
      </c>
      <c r="M14" s="94" t="s">
        <v>66</v>
      </c>
      <c r="N14" s="94">
        <v>-9.14</v>
      </c>
      <c r="O14" s="94" t="s">
        <v>66</v>
      </c>
      <c r="P14" s="94" t="s">
        <v>66</v>
      </c>
      <c r="Q14" s="94" t="s">
        <v>66</v>
      </c>
      <c r="R14" s="94">
        <v>-24.22</v>
      </c>
      <c r="S14" s="94" t="s">
        <v>66</v>
      </c>
      <c r="T14" s="94" t="s">
        <v>66</v>
      </c>
      <c r="U14" s="94">
        <v>-20.72</v>
      </c>
      <c r="V14" s="133">
        <v>-1.9</v>
      </c>
      <c r="W14" s="94" t="s">
        <v>66</v>
      </c>
      <c r="X14" s="94" t="s">
        <v>66</v>
      </c>
      <c r="Y14" s="94" t="s">
        <v>66</v>
      </c>
      <c r="Z14" s="94">
        <v>-49.36</v>
      </c>
      <c r="AA14" s="94" t="s">
        <v>66</v>
      </c>
      <c r="AB14" s="94" t="s">
        <v>66</v>
      </c>
      <c r="AC14" s="94" t="s">
        <v>66</v>
      </c>
      <c r="AD14" s="94" t="s">
        <v>66</v>
      </c>
      <c r="AE14" s="94" t="s">
        <v>66</v>
      </c>
      <c r="AF14" s="94">
        <v>-23.15</v>
      </c>
      <c r="AG14" s="94" t="s">
        <v>66</v>
      </c>
      <c r="AH14" s="94" t="s">
        <v>66</v>
      </c>
      <c r="AI14" s="97"/>
    </row>
    <row r="15" spans="1:38" x14ac:dyDescent="0.25">
      <c r="A15" s="96"/>
      <c r="B15" s="86" t="s">
        <v>27</v>
      </c>
      <c r="C15" s="87">
        <f t="shared" si="5"/>
        <v>-154.74</v>
      </c>
      <c r="D15" s="91">
        <f t="shared" si="6"/>
        <v>7.1052649704253415E-2</v>
      </c>
      <c r="E15" s="92" t="s">
        <v>66</v>
      </c>
      <c r="F15" s="92" t="s">
        <v>66</v>
      </c>
      <c r="G15" s="92" t="s">
        <v>66</v>
      </c>
      <c r="H15" s="92" t="s">
        <v>67</v>
      </c>
      <c r="I15" s="92" t="s">
        <v>66</v>
      </c>
      <c r="J15" s="92">
        <v>-4.74</v>
      </c>
      <c r="K15" s="92" t="s">
        <v>66</v>
      </c>
      <c r="L15" s="92" t="s">
        <v>66</v>
      </c>
      <c r="M15" s="92" t="s">
        <v>66</v>
      </c>
      <c r="N15" s="92" t="s">
        <v>66</v>
      </c>
      <c r="O15" s="92" t="s">
        <v>68</v>
      </c>
      <c r="P15" s="92" t="s">
        <v>66</v>
      </c>
      <c r="Q15" s="92" t="s">
        <v>66</v>
      </c>
      <c r="R15" s="92" t="s">
        <v>66</v>
      </c>
      <c r="S15" s="92" t="s">
        <v>66</v>
      </c>
      <c r="T15" s="92" t="s">
        <v>66</v>
      </c>
      <c r="U15" s="92" t="s">
        <v>66</v>
      </c>
      <c r="V15" s="92" t="s">
        <v>67</v>
      </c>
      <c r="W15" s="92" t="s">
        <v>66</v>
      </c>
      <c r="X15" s="92" t="s">
        <v>66</v>
      </c>
      <c r="Y15" s="92" t="s">
        <v>66</v>
      </c>
      <c r="Z15" s="92" t="s">
        <v>66</v>
      </c>
      <c r="AA15" s="92" t="s">
        <v>66</v>
      </c>
      <c r="AB15" s="92" t="s">
        <v>66</v>
      </c>
      <c r="AC15" s="92">
        <v>-150</v>
      </c>
      <c r="AD15" s="92" t="s">
        <v>66</v>
      </c>
      <c r="AE15" s="92" t="s">
        <v>66</v>
      </c>
      <c r="AF15" s="92" t="s">
        <v>66</v>
      </c>
      <c r="AG15" s="92" t="s">
        <v>66</v>
      </c>
      <c r="AH15" s="92" t="s">
        <v>66</v>
      </c>
      <c r="AI15" s="97"/>
    </row>
    <row r="16" spans="1:38" x14ac:dyDescent="0.25">
      <c r="A16" s="96"/>
      <c r="B16" s="86" t="s">
        <v>28</v>
      </c>
      <c r="C16" s="87">
        <f t="shared" si="5"/>
        <v>-81</v>
      </c>
      <c r="D16" s="93">
        <f t="shared" si="6"/>
        <v>3.7193127995634782E-2</v>
      </c>
      <c r="E16" s="94" t="s">
        <v>66</v>
      </c>
      <c r="F16" s="94" t="s">
        <v>66</v>
      </c>
      <c r="G16" s="94" t="s">
        <v>66</v>
      </c>
      <c r="H16" s="94" t="s">
        <v>66</v>
      </c>
      <c r="I16" s="94">
        <v>-35</v>
      </c>
      <c r="J16" s="94">
        <v>-6</v>
      </c>
      <c r="K16" s="94" t="s">
        <v>66</v>
      </c>
      <c r="L16" s="94" t="s">
        <v>66</v>
      </c>
      <c r="M16" s="94" t="s">
        <v>66</v>
      </c>
      <c r="N16" s="94" t="s">
        <v>66</v>
      </c>
      <c r="O16" s="94" t="s">
        <v>66</v>
      </c>
      <c r="P16" s="94" t="s">
        <v>66</v>
      </c>
      <c r="Q16" s="94" t="s">
        <v>66</v>
      </c>
      <c r="R16" s="94" t="s">
        <v>66</v>
      </c>
      <c r="S16" s="94" t="s">
        <v>66</v>
      </c>
      <c r="T16" s="94" t="s">
        <v>66</v>
      </c>
      <c r="U16" s="94" t="s">
        <v>66</v>
      </c>
      <c r="V16" s="94" t="s">
        <v>66</v>
      </c>
      <c r="W16" s="94" t="s">
        <v>66</v>
      </c>
      <c r="X16" s="94" t="s">
        <v>66</v>
      </c>
      <c r="Y16" s="94" t="s">
        <v>66</v>
      </c>
      <c r="Z16" s="94" t="s">
        <v>66</v>
      </c>
      <c r="AA16" s="94" t="s">
        <v>66</v>
      </c>
      <c r="AB16" s="94" t="s">
        <v>66</v>
      </c>
      <c r="AC16" s="94" t="s">
        <v>66</v>
      </c>
      <c r="AD16" s="94">
        <v>-40</v>
      </c>
      <c r="AE16" s="94" t="s">
        <v>66</v>
      </c>
      <c r="AF16" s="94" t="s">
        <v>66</v>
      </c>
      <c r="AG16" s="94" t="s">
        <v>66</v>
      </c>
      <c r="AH16" s="94" t="s">
        <v>66</v>
      </c>
      <c r="AI16" s="97"/>
    </row>
    <row r="17" spans="1:38" x14ac:dyDescent="0.25">
      <c r="A17" s="96"/>
      <c r="B17" s="86" t="s">
        <v>89</v>
      </c>
      <c r="C17" s="87">
        <f t="shared" si="5"/>
        <v>-25</v>
      </c>
      <c r="D17" s="91">
        <f t="shared" si="6"/>
        <v>1.147936049247987E-2</v>
      </c>
      <c r="E17" s="92" t="s">
        <v>66</v>
      </c>
      <c r="F17" s="92" t="s">
        <v>66</v>
      </c>
      <c r="G17" s="92" t="s">
        <v>66</v>
      </c>
      <c r="H17" s="92" t="s">
        <v>66</v>
      </c>
      <c r="I17" s="92" t="s">
        <v>66</v>
      </c>
      <c r="J17" s="92">
        <v>-5</v>
      </c>
      <c r="K17" s="92" t="s">
        <v>66</v>
      </c>
      <c r="L17" s="92" t="s">
        <v>66</v>
      </c>
      <c r="M17" s="92" t="s">
        <v>66</v>
      </c>
      <c r="N17" s="92" t="s">
        <v>66</v>
      </c>
      <c r="O17" s="92" t="s">
        <v>66</v>
      </c>
      <c r="P17" s="92" t="s">
        <v>66</v>
      </c>
      <c r="Q17" s="92" t="s">
        <v>66</v>
      </c>
      <c r="R17" s="92">
        <v>-5</v>
      </c>
      <c r="S17" s="92" t="s">
        <v>66</v>
      </c>
      <c r="T17" s="92" t="s">
        <v>66</v>
      </c>
      <c r="U17" s="92">
        <v>-5</v>
      </c>
      <c r="V17" s="92" t="s">
        <v>66</v>
      </c>
      <c r="W17" s="92" t="s">
        <v>66</v>
      </c>
      <c r="X17" s="92" t="s">
        <v>66</v>
      </c>
      <c r="Y17" s="92">
        <v>-5</v>
      </c>
      <c r="Z17" s="92" t="s">
        <v>66</v>
      </c>
      <c r="AA17" s="92" t="s">
        <v>66</v>
      </c>
      <c r="AB17" s="92" t="s">
        <v>66</v>
      </c>
      <c r="AC17" s="92" t="s">
        <v>66</v>
      </c>
      <c r="AD17" s="92" t="s">
        <v>66</v>
      </c>
      <c r="AE17" s="92">
        <v>-5</v>
      </c>
      <c r="AF17" s="92" t="s">
        <v>66</v>
      </c>
      <c r="AG17" s="92" t="s">
        <v>66</v>
      </c>
      <c r="AH17" s="92" t="s">
        <v>66</v>
      </c>
      <c r="AI17" s="97"/>
    </row>
    <row r="18" spans="1:38" x14ac:dyDescent="0.25">
      <c r="A18" s="96"/>
      <c r="B18" s="86" t="s">
        <v>29</v>
      </c>
      <c r="C18" s="87">
        <f t="shared" si="5"/>
        <v>-76.89</v>
      </c>
      <c r="D18" s="93">
        <f t="shared" si="6"/>
        <v>3.5305921130671089E-2</v>
      </c>
      <c r="E18" s="94" t="s">
        <v>66</v>
      </c>
      <c r="F18" s="94" t="s">
        <v>66</v>
      </c>
      <c r="G18" s="94" t="s">
        <v>66</v>
      </c>
      <c r="H18" s="94" t="s">
        <v>66</v>
      </c>
      <c r="I18" s="94" t="s">
        <v>66</v>
      </c>
      <c r="J18" s="94" t="s">
        <v>66</v>
      </c>
      <c r="K18" s="94" t="s">
        <v>66</v>
      </c>
      <c r="L18" s="94">
        <v>-26.9</v>
      </c>
      <c r="M18" s="94" t="s">
        <v>66</v>
      </c>
      <c r="N18" s="94" t="s">
        <v>66</v>
      </c>
      <c r="O18" s="94" t="s">
        <v>66</v>
      </c>
      <c r="P18" s="94" t="s">
        <v>66</v>
      </c>
      <c r="Q18" s="94" t="s">
        <v>66</v>
      </c>
      <c r="R18" s="94" t="s">
        <v>66</v>
      </c>
      <c r="S18" s="94" t="s">
        <v>66</v>
      </c>
      <c r="T18" s="94" t="s">
        <v>66</v>
      </c>
      <c r="U18" s="94" t="s">
        <v>66</v>
      </c>
      <c r="V18" s="94" t="s">
        <v>66</v>
      </c>
      <c r="W18" s="94" t="s">
        <v>66</v>
      </c>
      <c r="X18" s="94" t="s">
        <v>66</v>
      </c>
      <c r="Y18" s="94" t="s">
        <v>66</v>
      </c>
      <c r="Z18" s="94" t="s">
        <v>66</v>
      </c>
      <c r="AA18" s="94" t="s">
        <v>66</v>
      </c>
      <c r="AB18" s="94" t="s">
        <v>66</v>
      </c>
      <c r="AC18" s="94" t="s">
        <v>66</v>
      </c>
      <c r="AD18" s="94" t="s">
        <v>66</v>
      </c>
      <c r="AE18" s="94" t="s">
        <v>66</v>
      </c>
      <c r="AF18" s="94">
        <v>-49.99</v>
      </c>
      <c r="AG18" s="94" t="s">
        <v>66</v>
      </c>
      <c r="AH18" s="94" t="s">
        <v>66</v>
      </c>
      <c r="AI18" s="97"/>
    </row>
    <row r="19" spans="1:38" x14ac:dyDescent="0.25">
      <c r="A19" s="96"/>
      <c r="B19" s="86" t="s">
        <v>31</v>
      </c>
      <c r="C19" s="87">
        <f t="shared" si="5"/>
        <v>-211.15</v>
      </c>
      <c r="D19" s="91">
        <f t="shared" si="6"/>
        <v>9.6954678719484988E-2</v>
      </c>
      <c r="E19" s="92">
        <v>-206.4</v>
      </c>
      <c r="F19" s="92" t="s">
        <v>66</v>
      </c>
      <c r="G19" s="92" t="s">
        <v>66</v>
      </c>
      <c r="H19" s="92" t="s">
        <v>66</v>
      </c>
      <c r="I19" s="92" t="s">
        <v>66</v>
      </c>
      <c r="J19" s="92" t="s">
        <v>66</v>
      </c>
      <c r="K19" s="92" t="s">
        <v>66</v>
      </c>
      <c r="L19" s="92" t="s">
        <v>66</v>
      </c>
      <c r="M19" s="92" t="s">
        <v>66</v>
      </c>
      <c r="N19" s="92" t="s">
        <v>66</v>
      </c>
      <c r="O19" s="92" t="s">
        <v>66</v>
      </c>
      <c r="P19" s="92" t="s">
        <v>66</v>
      </c>
      <c r="Q19" s="92" t="s">
        <v>66</v>
      </c>
      <c r="R19" s="92" t="s">
        <v>66</v>
      </c>
      <c r="S19" s="92" t="s">
        <v>66</v>
      </c>
      <c r="T19" s="92" t="s">
        <v>66</v>
      </c>
      <c r="U19" s="92" t="s">
        <v>66</v>
      </c>
      <c r="V19" s="92" t="s">
        <v>66</v>
      </c>
      <c r="W19" s="92" t="s">
        <v>66</v>
      </c>
      <c r="X19" s="92" t="s">
        <v>66</v>
      </c>
      <c r="Y19" s="92" t="s">
        <v>66</v>
      </c>
      <c r="Z19" s="92" t="s">
        <v>66</v>
      </c>
      <c r="AA19" s="92" t="s">
        <v>66</v>
      </c>
      <c r="AB19" s="92" t="s">
        <v>66</v>
      </c>
      <c r="AC19" s="92" t="s">
        <v>66</v>
      </c>
      <c r="AD19" s="92" t="s">
        <v>66</v>
      </c>
      <c r="AE19" s="92" t="s">
        <v>66</v>
      </c>
      <c r="AF19" s="92">
        <v>-4.75</v>
      </c>
      <c r="AG19" s="92" t="s">
        <v>66</v>
      </c>
      <c r="AH19" s="92" t="s">
        <v>66</v>
      </c>
      <c r="AI19" s="97"/>
    </row>
    <row r="20" spans="1:38" x14ac:dyDescent="0.25">
      <c r="A20" s="96"/>
      <c r="B20" s="86" t="s">
        <v>32</v>
      </c>
      <c r="C20" s="87">
        <f t="shared" si="5"/>
        <v>-135</v>
      </c>
      <c r="D20" s="93">
        <f t="shared" si="6"/>
        <v>6.1988546659391304E-2</v>
      </c>
      <c r="E20" s="94">
        <v>-135</v>
      </c>
      <c r="F20" s="94" t="s">
        <v>66</v>
      </c>
      <c r="G20" s="94" t="s">
        <v>66</v>
      </c>
      <c r="H20" s="94" t="s">
        <v>66</v>
      </c>
      <c r="I20" s="94" t="s">
        <v>66</v>
      </c>
      <c r="J20" s="94" t="s">
        <v>66</v>
      </c>
      <c r="K20" s="94" t="s">
        <v>66</v>
      </c>
      <c r="L20" s="94" t="s">
        <v>66</v>
      </c>
      <c r="M20" s="94" t="s">
        <v>66</v>
      </c>
      <c r="N20" s="94" t="s">
        <v>66</v>
      </c>
      <c r="O20" s="94" t="s">
        <v>66</v>
      </c>
      <c r="P20" s="94" t="s">
        <v>66</v>
      </c>
      <c r="Q20" s="94" t="s">
        <v>66</v>
      </c>
      <c r="R20" s="94" t="s">
        <v>66</v>
      </c>
      <c r="S20" s="94" t="s">
        <v>66</v>
      </c>
      <c r="T20" s="94" t="s">
        <v>66</v>
      </c>
      <c r="U20" s="94" t="s">
        <v>66</v>
      </c>
      <c r="V20" s="94" t="s">
        <v>66</v>
      </c>
      <c r="W20" s="94" t="s">
        <v>66</v>
      </c>
      <c r="X20" s="94" t="s">
        <v>66</v>
      </c>
      <c r="Y20" s="94" t="s">
        <v>66</v>
      </c>
      <c r="Z20" s="94" t="s">
        <v>66</v>
      </c>
      <c r="AA20" s="94" t="s">
        <v>66</v>
      </c>
      <c r="AB20" s="94" t="s">
        <v>66</v>
      </c>
      <c r="AC20" s="94" t="s">
        <v>66</v>
      </c>
      <c r="AD20" s="94" t="s">
        <v>66</v>
      </c>
      <c r="AE20" s="94" t="s">
        <v>66</v>
      </c>
      <c r="AF20" s="94" t="s">
        <v>66</v>
      </c>
      <c r="AG20" s="94" t="s">
        <v>66</v>
      </c>
      <c r="AH20" s="94" t="s">
        <v>66</v>
      </c>
      <c r="AI20" s="97"/>
    </row>
    <row r="21" spans="1:38" ht="15.75" customHeight="1" x14ac:dyDescent="0.25">
      <c r="A21" s="96"/>
      <c r="B21" s="86" t="s">
        <v>33</v>
      </c>
      <c r="C21" s="87">
        <f t="shared" si="5"/>
        <v>-111.08</v>
      </c>
      <c r="D21" s="91">
        <f t="shared" si="6"/>
        <v>5.1005094540186563E-2</v>
      </c>
      <c r="E21" s="92" t="s">
        <v>66</v>
      </c>
      <c r="F21" s="92" t="s">
        <v>66</v>
      </c>
      <c r="G21" s="92" t="s">
        <v>66</v>
      </c>
      <c r="H21" s="92" t="s">
        <v>66</v>
      </c>
      <c r="I21" s="92" t="s">
        <v>66</v>
      </c>
      <c r="J21" s="92">
        <f>-40.13-18.8+9.4+28</f>
        <v>-21.530000000000008</v>
      </c>
      <c r="K21" s="92">
        <v>-20.399999999999999</v>
      </c>
      <c r="L21" s="92" t="s">
        <v>66</v>
      </c>
      <c r="M21" s="92" t="s">
        <v>66</v>
      </c>
      <c r="N21" s="92" t="s">
        <v>66</v>
      </c>
      <c r="O21" s="92" t="s">
        <v>66</v>
      </c>
      <c r="P21" s="92" t="s">
        <v>66</v>
      </c>
      <c r="Q21" s="92" t="s">
        <v>66</v>
      </c>
      <c r="R21" s="92" t="s">
        <v>66</v>
      </c>
      <c r="S21" s="92" t="s">
        <v>66</v>
      </c>
      <c r="T21" s="92" t="s">
        <v>66</v>
      </c>
      <c r="U21" s="92" t="s">
        <v>66</v>
      </c>
      <c r="V21" s="92">
        <v>-39.1</v>
      </c>
      <c r="W21" s="92" t="s">
        <v>66</v>
      </c>
      <c r="X21" s="92" t="s">
        <v>66</v>
      </c>
      <c r="Y21" s="92" t="s">
        <v>66</v>
      </c>
      <c r="Z21" s="92" t="s">
        <v>66</v>
      </c>
      <c r="AA21" s="92" t="s">
        <v>66</v>
      </c>
      <c r="AB21" s="92" t="s">
        <v>66</v>
      </c>
      <c r="AC21" s="92" t="s">
        <v>66</v>
      </c>
      <c r="AD21" s="92" t="s">
        <v>66</v>
      </c>
      <c r="AE21" s="92">
        <v>-8.75</v>
      </c>
      <c r="AF21" s="92">
        <v>-21.3</v>
      </c>
      <c r="AG21" s="92" t="s">
        <v>66</v>
      </c>
      <c r="AH21" s="92" t="s">
        <v>66</v>
      </c>
      <c r="AI21" s="97"/>
    </row>
    <row r="22" spans="1:38" ht="15.75" customHeight="1" x14ac:dyDescent="0.25">
      <c r="A22" s="96"/>
      <c r="B22" s="86" t="s">
        <v>94</v>
      </c>
      <c r="C22" s="87">
        <f t="shared" si="5"/>
        <v>0</v>
      </c>
      <c r="D22" s="93">
        <f t="shared" si="6"/>
        <v>0</v>
      </c>
      <c r="E22" s="94" t="s">
        <v>66</v>
      </c>
      <c r="F22" s="94" t="s">
        <v>66</v>
      </c>
      <c r="G22" s="94" t="s">
        <v>66</v>
      </c>
      <c r="H22" s="94" t="s">
        <v>66</v>
      </c>
      <c r="I22" s="94" t="s">
        <v>66</v>
      </c>
      <c r="J22" s="94" t="s">
        <v>66</v>
      </c>
      <c r="K22" s="94" t="s">
        <v>66</v>
      </c>
      <c r="L22" s="94" t="s">
        <v>66</v>
      </c>
      <c r="M22" s="94" t="s">
        <v>66</v>
      </c>
      <c r="N22" s="94" t="s">
        <v>66</v>
      </c>
      <c r="O22" s="94" t="s">
        <v>66</v>
      </c>
      <c r="P22" s="94" t="s">
        <v>66</v>
      </c>
      <c r="Q22" s="94" t="s">
        <v>66</v>
      </c>
      <c r="R22" s="94" t="s">
        <v>66</v>
      </c>
      <c r="S22" s="94" t="s">
        <v>66</v>
      </c>
      <c r="T22" s="94" t="s">
        <v>66</v>
      </c>
      <c r="U22" s="94" t="s">
        <v>66</v>
      </c>
      <c r="V22" s="94" t="s">
        <v>66</v>
      </c>
      <c r="W22" s="94" t="s">
        <v>66</v>
      </c>
      <c r="X22" s="94" t="s">
        <v>66</v>
      </c>
      <c r="Y22" s="94" t="s">
        <v>66</v>
      </c>
      <c r="Z22" s="94" t="s">
        <v>66</v>
      </c>
      <c r="AA22" s="94" t="s">
        <v>66</v>
      </c>
      <c r="AB22" s="94" t="s">
        <v>66</v>
      </c>
      <c r="AC22" s="94" t="s">
        <v>66</v>
      </c>
      <c r="AD22" s="94" t="s">
        <v>66</v>
      </c>
      <c r="AE22" s="94" t="s">
        <v>66</v>
      </c>
      <c r="AF22" s="94" t="s">
        <v>66</v>
      </c>
      <c r="AG22" s="94" t="s">
        <v>66</v>
      </c>
      <c r="AH22" s="94" t="s">
        <v>66</v>
      </c>
      <c r="AI22" s="97"/>
    </row>
    <row r="23" spans="1:38" ht="15.75" customHeight="1" x14ac:dyDescent="0.25">
      <c r="A23" s="96"/>
      <c r="B23" s="86" t="s">
        <v>34</v>
      </c>
      <c r="C23" s="87">
        <f t="shared" si="5"/>
        <v>-5.1000000000000014</v>
      </c>
      <c r="D23" s="91">
        <f t="shared" si="6"/>
        <v>2.3417895404658942E-3</v>
      </c>
      <c r="E23" s="92" t="s">
        <v>66</v>
      </c>
      <c r="F23" s="92" t="s">
        <v>66</v>
      </c>
      <c r="G23" s="92" t="s">
        <v>66</v>
      </c>
      <c r="H23" s="92" t="s">
        <v>66</v>
      </c>
      <c r="I23" s="92" t="s">
        <v>66</v>
      </c>
      <c r="J23" s="92" t="s">
        <v>66</v>
      </c>
      <c r="K23" s="92" t="s">
        <v>66</v>
      </c>
      <c r="L23" s="92" t="s">
        <v>66</v>
      </c>
      <c r="M23" s="92" t="s">
        <v>66</v>
      </c>
      <c r="N23" s="92" t="s">
        <v>66</v>
      </c>
      <c r="O23" s="92" t="s">
        <v>66</v>
      </c>
      <c r="P23" s="92" t="s">
        <v>66</v>
      </c>
      <c r="Q23" s="92" t="s">
        <v>66</v>
      </c>
      <c r="R23" s="92" t="s">
        <v>66</v>
      </c>
      <c r="S23" s="92" t="s">
        <v>66</v>
      </c>
      <c r="T23" s="92" t="s">
        <v>66</v>
      </c>
      <c r="U23" s="92" t="s">
        <v>66</v>
      </c>
      <c r="V23" s="92" t="s">
        <v>66</v>
      </c>
      <c r="W23" s="92" t="s">
        <v>66</v>
      </c>
      <c r="X23" s="92" t="s">
        <v>66</v>
      </c>
      <c r="Y23" s="92" t="s">
        <v>66</v>
      </c>
      <c r="Z23" s="92" t="s">
        <v>66</v>
      </c>
      <c r="AA23" s="92" t="s">
        <v>66</v>
      </c>
      <c r="AB23" s="92" t="s">
        <v>66</v>
      </c>
      <c r="AC23" s="92">
        <f>-35.1+28+2</f>
        <v>-5.1000000000000014</v>
      </c>
      <c r="AD23" s="92" t="s">
        <v>66</v>
      </c>
      <c r="AE23" s="92" t="s">
        <v>66</v>
      </c>
      <c r="AF23" s="92" t="s">
        <v>66</v>
      </c>
      <c r="AG23" s="92" t="s">
        <v>66</v>
      </c>
      <c r="AH23" s="92" t="s">
        <v>66</v>
      </c>
      <c r="AI23" s="97"/>
      <c r="AK23" s="86"/>
      <c r="AL23" s="95"/>
    </row>
    <row r="24" spans="1:38" ht="15.75" customHeight="1" x14ac:dyDescent="0.25">
      <c r="A24" s="96"/>
      <c r="B24" s="86" t="s">
        <v>35</v>
      </c>
      <c r="C24" s="87">
        <f t="shared" si="5"/>
        <v>0</v>
      </c>
      <c r="D24" s="93">
        <f t="shared" si="6"/>
        <v>0</v>
      </c>
      <c r="E24" s="94" t="s">
        <v>66</v>
      </c>
      <c r="F24" s="94" t="s">
        <v>66</v>
      </c>
      <c r="G24" s="94" t="s">
        <v>66</v>
      </c>
      <c r="H24" s="94" t="s">
        <v>66</v>
      </c>
      <c r="I24" s="94" t="s">
        <v>66</v>
      </c>
      <c r="J24" s="94" t="s">
        <v>66</v>
      </c>
      <c r="K24" s="94" t="s">
        <v>66</v>
      </c>
      <c r="L24" s="94" t="s">
        <v>66</v>
      </c>
      <c r="M24" s="94" t="s">
        <v>66</v>
      </c>
      <c r="N24" s="94" t="s">
        <v>66</v>
      </c>
      <c r="O24" s="94" t="s">
        <v>66</v>
      </c>
      <c r="P24" s="94" t="s">
        <v>66</v>
      </c>
      <c r="Q24" s="94" t="s">
        <v>66</v>
      </c>
      <c r="R24" s="94" t="s">
        <v>66</v>
      </c>
      <c r="S24" s="94" t="s">
        <v>66</v>
      </c>
      <c r="T24" s="94" t="s">
        <v>66</v>
      </c>
      <c r="U24" s="94" t="s">
        <v>66</v>
      </c>
      <c r="V24" s="94" t="s">
        <v>66</v>
      </c>
      <c r="W24" s="94" t="s">
        <v>66</v>
      </c>
      <c r="X24" s="94" t="s">
        <v>66</v>
      </c>
      <c r="Y24" s="94" t="s">
        <v>66</v>
      </c>
      <c r="Z24" s="94" t="s">
        <v>66</v>
      </c>
      <c r="AA24" s="94" t="s">
        <v>66</v>
      </c>
      <c r="AB24" s="94" t="s">
        <v>66</v>
      </c>
      <c r="AC24" s="94" t="s">
        <v>66</v>
      </c>
      <c r="AD24" s="94" t="s">
        <v>66</v>
      </c>
      <c r="AE24" s="94" t="s">
        <v>66</v>
      </c>
      <c r="AF24" s="94" t="s">
        <v>66</v>
      </c>
      <c r="AG24" s="94" t="s">
        <v>66</v>
      </c>
      <c r="AH24" s="94" t="s">
        <v>66</v>
      </c>
      <c r="AI24" s="97"/>
    </row>
    <row r="25" spans="1:38" ht="15.75" customHeight="1" x14ac:dyDescent="0.25">
      <c r="A25" s="96"/>
      <c r="B25" s="86" t="s">
        <v>36</v>
      </c>
      <c r="C25" s="87">
        <f t="shared" si="5"/>
        <v>0</v>
      </c>
      <c r="D25" s="91">
        <f t="shared" si="6"/>
        <v>0</v>
      </c>
      <c r="E25" s="92" t="s">
        <v>66</v>
      </c>
      <c r="F25" s="92" t="s">
        <v>66</v>
      </c>
      <c r="G25" s="92" t="s">
        <v>66</v>
      </c>
      <c r="H25" s="92" t="s">
        <v>66</v>
      </c>
      <c r="I25" s="92" t="s">
        <v>66</v>
      </c>
      <c r="J25" s="92" t="s">
        <v>66</v>
      </c>
      <c r="K25" s="92" t="s">
        <v>66</v>
      </c>
      <c r="L25" s="92" t="s">
        <v>66</v>
      </c>
      <c r="M25" s="92" t="s">
        <v>66</v>
      </c>
      <c r="N25" s="92" t="s">
        <v>66</v>
      </c>
      <c r="O25" s="92" t="s">
        <v>66</v>
      </c>
      <c r="P25" s="92" t="s">
        <v>66</v>
      </c>
      <c r="Q25" s="92" t="s">
        <v>66</v>
      </c>
      <c r="R25" s="92" t="s">
        <v>66</v>
      </c>
      <c r="S25" s="92" t="s">
        <v>66</v>
      </c>
      <c r="T25" s="92" t="s">
        <v>66</v>
      </c>
      <c r="U25" s="92" t="s">
        <v>66</v>
      </c>
      <c r="V25" s="92" t="s">
        <v>66</v>
      </c>
      <c r="W25" s="92" t="s">
        <v>66</v>
      </c>
      <c r="X25" s="92" t="s">
        <v>66</v>
      </c>
      <c r="Y25" s="92" t="s">
        <v>66</v>
      </c>
      <c r="Z25" s="92" t="s">
        <v>66</v>
      </c>
      <c r="AA25" s="92" t="s">
        <v>66</v>
      </c>
      <c r="AB25" s="92" t="s">
        <v>66</v>
      </c>
      <c r="AC25" s="92" t="s">
        <v>66</v>
      </c>
      <c r="AD25" s="92" t="s">
        <v>66</v>
      </c>
      <c r="AE25" s="92" t="s">
        <v>66</v>
      </c>
      <c r="AF25" s="92" t="s">
        <v>66</v>
      </c>
      <c r="AG25" s="92" t="s">
        <v>66</v>
      </c>
      <c r="AH25" s="92" t="s">
        <v>66</v>
      </c>
      <c r="AI25" s="97"/>
    </row>
    <row r="26" spans="1:38" ht="15.75" customHeight="1" x14ac:dyDescent="0.25">
      <c r="A26" s="96"/>
      <c r="B26" s="86" t="s">
        <v>39</v>
      </c>
      <c r="C26" s="87">
        <f t="shared" si="5"/>
        <v>-40.299999999999997</v>
      </c>
      <c r="D26" s="93">
        <f t="shared" si="6"/>
        <v>1.8504729113877551E-2</v>
      </c>
      <c r="E26" s="94" t="s">
        <v>66</v>
      </c>
      <c r="F26" s="94" t="s">
        <v>66</v>
      </c>
      <c r="G26" s="94" t="s">
        <v>66</v>
      </c>
      <c r="H26" s="94" t="s">
        <v>66</v>
      </c>
      <c r="I26" s="94" t="s">
        <v>66</v>
      </c>
      <c r="J26" s="94" t="s">
        <v>66</v>
      </c>
      <c r="K26" s="94" t="s">
        <v>66</v>
      </c>
      <c r="L26" s="94" t="s">
        <v>66</v>
      </c>
      <c r="M26" s="94" t="s">
        <v>66</v>
      </c>
      <c r="N26" s="94" t="s">
        <v>66</v>
      </c>
      <c r="O26" s="94" t="s">
        <v>66</v>
      </c>
      <c r="P26" s="94" t="s">
        <v>66</v>
      </c>
      <c r="Q26" s="94" t="s">
        <v>66</v>
      </c>
      <c r="R26" s="94" t="s">
        <v>66</v>
      </c>
      <c r="S26" s="94" t="s">
        <v>66</v>
      </c>
      <c r="T26" s="94" t="s">
        <v>66</v>
      </c>
      <c r="U26" s="94" t="s">
        <v>66</v>
      </c>
      <c r="V26" s="94" t="s">
        <v>66</v>
      </c>
      <c r="W26" s="94" t="s">
        <v>66</v>
      </c>
      <c r="X26" s="94" t="s">
        <v>66</v>
      </c>
      <c r="Y26" s="94" t="s">
        <v>66</v>
      </c>
      <c r="Z26" s="94" t="s">
        <v>66</v>
      </c>
      <c r="AA26" s="94" t="s">
        <v>66</v>
      </c>
      <c r="AB26" s="94" t="s">
        <v>66</v>
      </c>
      <c r="AC26" s="94">
        <v>-28</v>
      </c>
      <c r="AD26" s="94" t="s">
        <v>66</v>
      </c>
      <c r="AE26" s="94" t="s">
        <v>66</v>
      </c>
      <c r="AF26" s="94" t="s">
        <v>66</v>
      </c>
      <c r="AG26" s="94" t="s">
        <v>66</v>
      </c>
      <c r="AH26" s="94">
        <f>-9.6-2.7</f>
        <v>-12.3</v>
      </c>
      <c r="AI26" s="97"/>
    </row>
    <row r="27" spans="1:38" ht="15.75" customHeight="1" x14ac:dyDescent="0.25">
      <c r="A27" s="96"/>
      <c r="B27" s="86" t="s">
        <v>40</v>
      </c>
      <c r="C27" s="87">
        <f t="shared" si="5"/>
        <v>0</v>
      </c>
      <c r="D27" s="91">
        <f t="shared" si="6"/>
        <v>0</v>
      </c>
      <c r="E27" s="92" t="s">
        <v>66</v>
      </c>
      <c r="F27" s="92" t="s">
        <v>66</v>
      </c>
      <c r="G27" s="92" t="s">
        <v>66</v>
      </c>
      <c r="H27" s="92" t="s">
        <v>66</v>
      </c>
      <c r="I27" s="92" t="s">
        <v>66</v>
      </c>
      <c r="J27" s="92" t="s">
        <v>66</v>
      </c>
      <c r="K27" s="92" t="s">
        <v>66</v>
      </c>
      <c r="L27" s="92" t="s">
        <v>66</v>
      </c>
      <c r="M27" s="92" t="s">
        <v>66</v>
      </c>
      <c r="N27" s="92" t="s">
        <v>66</v>
      </c>
      <c r="O27" s="92" t="s">
        <v>66</v>
      </c>
      <c r="P27" s="92" t="s">
        <v>66</v>
      </c>
      <c r="Q27" s="92" t="s">
        <v>66</v>
      </c>
      <c r="R27" s="92" t="s">
        <v>66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 t="s">
        <v>66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7"/>
    </row>
    <row r="28" spans="1:38" ht="15.75" customHeight="1" x14ac:dyDescent="0.25">
      <c r="A28" s="96"/>
      <c r="B28" s="86" t="s">
        <v>41</v>
      </c>
      <c r="C28" s="87">
        <f t="shared" si="5"/>
        <v>0</v>
      </c>
      <c r="D28" s="93">
        <f t="shared" si="6"/>
        <v>0</v>
      </c>
      <c r="E28" s="94" t="s">
        <v>66</v>
      </c>
      <c r="F28" s="94" t="s">
        <v>66</v>
      </c>
      <c r="G28" s="94" t="s">
        <v>66</v>
      </c>
      <c r="H28" s="94" t="s">
        <v>66</v>
      </c>
      <c r="I28" s="94" t="s">
        <v>66</v>
      </c>
      <c r="J28" s="94" t="s">
        <v>66</v>
      </c>
      <c r="K28" s="94" t="s">
        <v>66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7"/>
    </row>
    <row r="29" spans="1:38" ht="15.75" customHeight="1" x14ac:dyDescent="0.25">
      <c r="A29" s="246"/>
      <c r="B29" s="86" t="s">
        <v>207</v>
      </c>
      <c r="C29" s="87">
        <f>-(2587+511.66)/12</f>
        <v>-258.22166666666664</v>
      </c>
      <c r="D29" s="91">
        <f t="shared" si="6"/>
        <v>0.11856878394542557</v>
      </c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247"/>
    </row>
    <row r="30" spans="1:38" ht="15.75" customHeight="1" x14ac:dyDescent="0.25">
      <c r="A30" s="96"/>
      <c r="B30" s="86" t="s">
        <v>72</v>
      </c>
      <c r="C30" s="87">
        <f t="shared" si="5"/>
        <v>-550</v>
      </c>
      <c r="D30" s="91">
        <f t="shared" si="6"/>
        <v>0.25254593083455718</v>
      </c>
      <c r="E30" s="92" t="s">
        <v>66</v>
      </c>
      <c r="F30" s="92" t="s">
        <v>66</v>
      </c>
      <c r="G30" s="92" t="s">
        <v>66</v>
      </c>
      <c r="H30" s="92" t="s">
        <v>66</v>
      </c>
      <c r="I30" s="92">
        <v>-550</v>
      </c>
      <c r="J30" s="92" t="s">
        <v>66</v>
      </c>
      <c r="K30" s="92" t="s">
        <v>66</v>
      </c>
      <c r="L30" s="92" t="s">
        <v>66</v>
      </c>
      <c r="M30" s="92" t="s">
        <v>66</v>
      </c>
      <c r="N30" s="92" t="s">
        <v>66</v>
      </c>
      <c r="O30" s="92" t="s">
        <v>66</v>
      </c>
      <c r="P30" s="92" t="s">
        <v>66</v>
      </c>
      <c r="Q30" s="92" t="s">
        <v>66</v>
      </c>
      <c r="R30" s="92" t="s">
        <v>66</v>
      </c>
      <c r="S30" s="92" t="s">
        <v>66</v>
      </c>
      <c r="T30" s="92" t="s">
        <v>66</v>
      </c>
      <c r="U30" s="92" t="s">
        <v>66</v>
      </c>
      <c r="V30" s="92" t="s">
        <v>66</v>
      </c>
      <c r="W30" s="92" t="s">
        <v>66</v>
      </c>
      <c r="X30" s="92" t="s">
        <v>66</v>
      </c>
      <c r="Y30" s="92" t="s">
        <v>66</v>
      </c>
      <c r="Z30" s="92" t="s">
        <v>66</v>
      </c>
      <c r="AA30" s="92" t="s">
        <v>66</v>
      </c>
      <c r="AB30" s="92" t="s">
        <v>66</v>
      </c>
      <c r="AC30" s="92" t="s">
        <v>66</v>
      </c>
      <c r="AD30" s="92" t="s">
        <v>66</v>
      </c>
      <c r="AE30" s="92" t="s">
        <v>66</v>
      </c>
      <c r="AF30" s="92" t="s">
        <v>66</v>
      </c>
      <c r="AG30" s="92" t="s">
        <v>66</v>
      </c>
      <c r="AH30" s="92" t="s">
        <v>66</v>
      </c>
      <c r="AI30" s="97"/>
    </row>
    <row r="31" spans="1:38" ht="15.75" customHeight="1" x14ac:dyDescent="0.25">
      <c r="A31" s="96"/>
      <c r="B31" s="86" t="s">
        <v>42</v>
      </c>
      <c r="C31" s="87">
        <f t="shared" si="5"/>
        <v>-45</v>
      </c>
      <c r="D31" s="93">
        <f t="shared" si="6"/>
        <v>2.0662848886463768E-2</v>
      </c>
      <c r="E31" s="94" t="s">
        <v>66</v>
      </c>
      <c r="F31" s="94" t="s">
        <v>66</v>
      </c>
      <c r="G31" s="94" t="s">
        <v>66</v>
      </c>
      <c r="H31" s="94" t="s">
        <v>66</v>
      </c>
      <c r="I31" s="94" t="s">
        <v>66</v>
      </c>
      <c r="J31" s="94" t="s">
        <v>66</v>
      </c>
      <c r="K31" s="94" t="s">
        <v>66</v>
      </c>
      <c r="L31" s="94" t="s">
        <v>66</v>
      </c>
      <c r="M31" s="94" t="s">
        <v>66</v>
      </c>
      <c r="N31" s="94" t="s">
        <v>66</v>
      </c>
      <c r="O31" s="94" t="s">
        <v>66</v>
      </c>
      <c r="P31" s="94" t="s">
        <v>66</v>
      </c>
      <c r="Q31" s="94" t="s">
        <v>66</v>
      </c>
      <c r="R31" s="94" t="s">
        <v>66</v>
      </c>
      <c r="S31" s="94" t="s">
        <v>66</v>
      </c>
      <c r="T31" s="94" t="s">
        <v>66</v>
      </c>
      <c r="U31" s="94" t="s">
        <v>66</v>
      </c>
      <c r="V31" s="94" t="s">
        <v>66</v>
      </c>
      <c r="W31" s="94" t="s">
        <v>66</v>
      </c>
      <c r="X31" s="94" t="s">
        <v>66</v>
      </c>
      <c r="Y31" s="94" t="s">
        <v>66</v>
      </c>
      <c r="Z31" s="94" t="s">
        <v>66</v>
      </c>
      <c r="AA31" s="94">
        <v>-45</v>
      </c>
      <c r="AB31" s="94" t="s">
        <v>66</v>
      </c>
      <c r="AC31" s="94" t="s">
        <v>66</v>
      </c>
      <c r="AD31" s="94" t="s">
        <v>66</v>
      </c>
      <c r="AE31" s="94" t="s">
        <v>66</v>
      </c>
      <c r="AF31" s="94" t="s">
        <v>66</v>
      </c>
      <c r="AG31" s="94" t="s">
        <v>66</v>
      </c>
      <c r="AH31" s="94" t="s">
        <v>66</v>
      </c>
      <c r="AI31" s="97"/>
    </row>
    <row r="32" spans="1:38" ht="15.75" customHeight="1" x14ac:dyDescent="0.25">
      <c r="A32" s="96"/>
      <c r="B32" s="86" t="s">
        <v>96</v>
      </c>
      <c r="C32" s="87">
        <f t="shared" si="5"/>
        <v>0</v>
      </c>
      <c r="D32" s="91">
        <f t="shared" si="6"/>
        <v>0</v>
      </c>
      <c r="E32" s="92" t="s">
        <v>66</v>
      </c>
      <c r="F32" s="92" t="s">
        <v>66</v>
      </c>
      <c r="G32" s="92" t="s">
        <v>66</v>
      </c>
      <c r="H32" s="92" t="s">
        <v>66</v>
      </c>
      <c r="I32" s="92" t="s">
        <v>66</v>
      </c>
      <c r="J32" s="92" t="s">
        <v>66</v>
      </c>
      <c r="K32" s="92" t="s">
        <v>66</v>
      </c>
      <c r="L32" s="92" t="s">
        <v>66</v>
      </c>
      <c r="M32" s="92" t="s">
        <v>66</v>
      </c>
      <c r="N32" s="92" t="s">
        <v>66</v>
      </c>
      <c r="O32" s="92" t="s">
        <v>66</v>
      </c>
      <c r="P32" s="92" t="s">
        <v>66</v>
      </c>
      <c r="Q32" s="92" t="s">
        <v>66</v>
      </c>
      <c r="R32" s="92" t="s">
        <v>66</v>
      </c>
      <c r="S32" s="92" t="s">
        <v>66</v>
      </c>
      <c r="T32" s="92" t="s">
        <v>66</v>
      </c>
      <c r="U32" s="92" t="s">
        <v>66</v>
      </c>
      <c r="V32" s="92" t="s">
        <v>66</v>
      </c>
      <c r="W32" s="92" t="s">
        <v>66</v>
      </c>
      <c r="X32" s="92" t="s">
        <v>66</v>
      </c>
      <c r="Y32" s="92" t="s">
        <v>66</v>
      </c>
      <c r="Z32" s="92" t="s">
        <v>66</v>
      </c>
      <c r="AA32" s="92" t="s">
        <v>66</v>
      </c>
      <c r="AB32" s="92" t="s">
        <v>66</v>
      </c>
      <c r="AC32" s="92" t="s">
        <v>66</v>
      </c>
      <c r="AD32" s="92" t="s">
        <v>66</v>
      </c>
      <c r="AE32" s="92" t="s">
        <v>66</v>
      </c>
      <c r="AF32" s="92" t="s">
        <v>66</v>
      </c>
      <c r="AG32" s="92" t="s">
        <v>66</v>
      </c>
      <c r="AH32" s="92" t="s">
        <v>66</v>
      </c>
      <c r="AI32" s="97"/>
    </row>
    <row r="33" spans="1:35" ht="15.75" customHeight="1" x14ac:dyDescent="0.25">
      <c r="A33" s="96"/>
      <c r="B33" s="99" t="s">
        <v>44</v>
      </c>
      <c r="C33" s="124">
        <f>SUM(E33:AF33)</f>
        <v>2356.65</v>
      </c>
      <c r="D33" s="125"/>
      <c r="E33" s="126"/>
      <c r="F33" s="126"/>
      <c r="G33" s="126"/>
      <c r="H33" s="126"/>
      <c r="I33" s="126">
        <v>2058.06</v>
      </c>
      <c r="J33" s="126"/>
      <c r="K33" s="126"/>
      <c r="L33" s="126"/>
      <c r="M33" s="126"/>
      <c r="N33" s="126"/>
      <c r="O33" s="126"/>
      <c r="P33" s="126"/>
      <c r="Q33" s="126"/>
      <c r="R33" s="126">
        <f>10+200</f>
        <v>210</v>
      </c>
      <c r="S33" s="126"/>
      <c r="T33" s="126"/>
      <c r="U33" s="126">
        <v>28.59</v>
      </c>
      <c r="V33" s="126">
        <v>20</v>
      </c>
      <c r="W33" s="126"/>
      <c r="X33" s="126"/>
      <c r="Y33" s="126">
        <v>20</v>
      </c>
      <c r="Z33" s="126"/>
      <c r="AA33" s="126"/>
      <c r="AB33" s="126"/>
      <c r="AC33" s="126"/>
      <c r="AD33" s="126"/>
      <c r="AE33" s="126"/>
      <c r="AF33" s="126">
        <v>20</v>
      </c>
      <c r="AG33" s="126"/>
      <c r="AH33" s="126"/>
      <c r="AI33" s="97"/>
    </row>
    <row r="34" spans="1:35" ht="15.75" customHeight="1" x14ac:dyDescent="0.25">
      <c r="A34" s="96"/>
      <c r="B34" s="83"/>
      <c r="C34" s="12"/>
      <c r="D34" s="106"/>
      <c r="E34" s="107">
        <f t="shared" ref="E34:X34" si="7">E5</f>
        <v>43556</v>
      </c>
      <c r="F34" s="107">
        <f t="shared" si="7"/>
        <v>43557</v>
      </c>
      <c r="G34" s="107">
        <f t="shared" si="7"/>
        <v>43558</v>
      </c>
      <c r="H34" s="107">
        <f t="shared" si="7"/>
        <v>43559</v>
      </c>
      <c r="I34" s="107">
        <f t="shared" si="7"/>
        <v>43560</v>
      </c>
      <c r="J34" s="107">
        <f t="shared" si="7"/>
        <v>43561</v>
      </c>
      <c r="K34" s="107">
        <f t="shared" si="7"/>
        <v>43562</v>
      </c>
      <c r="L34" s="107">
        <f t="shared" si="7"/>
        <v>43563</v>
      </c>
      <c r="M34" s="107">
        <f t="shared" si="7"/>
        <v>43564</v>
      </c>
      <c r="N34" s="107">
        <f t="shared" si="7"/>
        <v>43565</v>
      </c>
      <c r="O34" s="107">
        <f t="shared" si="7"/>
        <v>43566</v>
      </c>
      <c r="P34" s="107">
        <f t="shared" si="7"/>
        <v>43567</v>
      </c>
      <c r="Q34" s="107">
        <f t="shared" si="7"/>
        <v>43568</v>
      </c>
      <c r="R34" s="107">
        <f t="shared" si="7"/>
        <v>43569</v>
      </c>
      <c r="S34" s="107">
        <f t="shared" si="7"/>
        <v>43570</v>
      </c>
      <c r="T34" s="107">
        <f t="shared" si="7"/>
        <v>43571</v>
      </c>
      <c r="U34" s="107">
        <f t="shared" si="7"/>
        <v>43572</v>
      </c>
      <c r="V34" s="107">
        <f t="shared" si="7"/>
        <v>43573</v>
      </c>
      <c r="W34" s="107">
        <f t="shared" si="7"/>
        <v>43574</v>
      </c>
      <c r="X34" s="107">
        <f t="shared" si="7"/>
        <v>43575</v>
      </c>
      <c r="Y34" s="107" t="s">
        <v>98</v>
      </c>
      <c r="Z34" s="107">
        <f t="shared" ref="Z34:AH34" si="8">Z5</f>
        <v>43577</v>
      </c>
      <c r="AA34" s="107">
        <f t="shared" si="8"/>
        <v>43578</v>
      </c>
      <c r="AB34" s="107">
        <f t="shared" si="8"/>
        <v>43579</v>
      </c>
      <c r="AC34" s="107">
        <f t="shared" si="8"/>
        <v>43580</v>
      </c>
      <c r="AD34" s="107">
        <f t="shared" si="8"/>
        <v>43581</v>
      </c>
      <c r="AE34" s="107">
        <f t="shared" si="8"/>
        <v>43582</v>
      </c>
      <c r="AF34" s="107">
        <f t="shared" si="8"/>
        <v>43583</v>
      </c>
      <c r="AG34" s="107">
        <f t="shared" si="8"/>
        <v>43584</v>
      </c>
      <c r="AH34" s="107">
        <f t="shared" si="8"/>
        <v>43585</v>
      </c>
      <c r="AI34" s="97"/>
    </row>
    <row r="35" spans="1:35" ht="15.75" customHeight="1" x14ac:dyDescent="0.25">
      <c r="A35" s="96"/>
      <c r="B35" s="110" t="s">
        <v>79</v>
      </c>
      <c r="C35" s="58"/>
      <c r="D35" s="66"/>
      <c r="E35" s="112">
        <f t="shared" ref="E35:AH35" si="9">SUM($E$6:E6)</f>
        <v>-357.4</v>
      </c>
      <c r="F35" s="112">
        <f t="shared" si="9"/>
        <v>-357.4</v>
      </c>
      <c r="G35" s="112">
        <f t="shared" si="9"/>
        <v>-364.4</v>
      </c>
      <c r="H35" s="112">
        <f t="shared" si="9"/>
        <v>-397.2</v>
      </c>
      <c r="I35" s="112">
        <f t="shared" si="9"/>
        <v>-991</v>
      </c>
      <c r="J35" s="112">
        <f t="shared" si="9"/>
        <v>-1067.8699999999999</v>
      </c>
      <c r="K35" s="112">
        <f t="shared" si="9"/>
        <v>-1123.32</v>
      </c>
      <c r="L35" s="112">
        <f t="shared" si="9"/>
        <v>-1150.22</v>
      </c>
      <c r="M35" s="112">
        <f t="shared" si="9"/>
        <v>-1150.22</v>
      </c>
      <c r="N35" s="112">
        <f t="shared" si="9"/>
        <v>-1167.26</v>
      </c>
      <c r="O35" s="112">
        <f t="shared" si="9"/>
        <v>-1197.1600000000001</v>
      </c>
      <c r="P35" s="112">
        <f t="shared" si="9"/>
        <v>-1211.1600000000001</v>
      </c>
      <c r="Q35" s="112">
        <f t="shared" si="9"/>
        <v>-1241.0600000000002</v>
      </c>
      <c r="R35" s="112">
        <f t="shared" si="9"/>
        <v>-1270.2800000000002</v>
      </c>
      <c r="S35" s="112">
        <f t="shared" si="9"/>
        <v>-1270.2800000000002</v>
      </c>
      <c r="T35" s="112">
        <f t="shared" si="9"/>
        <v>-1275.2800000000002</v>
      </c>
      <c r="U35" s="112">
        <f t="shared" si="9"/>
        <v>-1306.0000000000002</v>
      </c>
      <c r="V35" s="112">
        <f t="shared" si="9"/>
        <v>-1366.9000000000003</v>
      </c>
      <c r="W35" s="112">
        <f t="shared" si="9"/>
        <v>-1371.9000000000003</v>
      </c>
      <c r="X35" s="112">
        <f t="shared" si="9"/>
        <v>-1401.9000000000003</v>
      </c>
      <c r="Y35" s="112">
        <f t="shared" si="9"/>
        <v>-1406.9000000000003</v>
      </c>
      <c r="Z35" s="112">
        <f t="shared" si="9"/>
        <v>-1458.7600000000002</v>
      </c>
      <c r="AA35" s="112">
        <f t="shared" si="9"/>
        <v>-1503.7600000000002</v>
      </c>
      <c r="AB35" s="112">
        <f t="shared" si="9"/>
        <v>-1513.7600000000002</v>
      </c>
      <c r="AC35" s="112">
        <f t="shared" si="9"/>
        <v>-1718.7600000000002</v>
      </c>
      <c r="AD35" s="112">
        <f t="shared" si="9"/>
        <v>-1758.7600000000002</v>
      </c>
      <c r="AE35" s="112">
        <f t="shared" si="9"/>
        <v>-1805.6100000000001</v>
      </c>
      <c r="AF35" s="112">
        <f t="shared" si="9"/>
        <v>-1904.8000000000002</v>
      </c>
      <c r="AG35" s="112">
        <f t="shared" si="9"/>
        <v>-1907.3000000000002</v>
      </c>
      <c r="AH35" s="112">
        <f t="shared" si="9"/>
        <v>-1919.6000000000001</v>
      </c>
      <c r="AI35" s="97"/>
    </row>
    <row r="36" spans="1:35" ht="15.75" customHeight="1" x14ac:dyDescent="0.25">
      <c r="A36" s="96"/>
      <c r="B36" s="99" t="s">
        <v>69</v>
      </c>
      <c r="C36" s="44"/>
      <c r="D36" s="115">
        <f>'Mar2019'!AI36</f>
        <v>3578.2099999999987</v>
      </c>
      <c r="E36" s="73">
        <f t="shared" ref="E36:AH36" si="10">D45+E6+E33</f>
        <v>3220.8099999999986</v>
      </c>
      <c r="F36" s="73">
        <f t="shared" si="10"/>
        <v>3220.8099999999986</v>
      </c>
      <c r="G36" s="73">
        <f t="shared" si="10"/>
        <v>3213.8099999999986</v>
      </c>
      <c r="H36" s="73">
        <f t="shared" si="10"/>
        <v>3181.0099999999984</v>
      </c>
      <c r="I36" s="73">
        <f t="shared" si="10"/>
        <v>4645.2699999999986</v>
      </c>
      <c r="J36" s="73">
        <f t="shared" si="10"/>
        <v>4568.3999999999987</v>
      </c>
      <c r="K36" s="73">
        <f t="shared" si="10"/>
        <v>4512.9499999999989</v>
      </c>
      <c r="L36" s="73">
        <f t="shared" si="10"/>
        <v>4486.0499999999993</v>
      </c>
      <c r="M36" s="73">
        <f t="shared" si="10"/>
        <v>4486.0499999999993</v>
      </c>
      <c r="N36" s="73">
        <f t="shared" si="10"/>
        <v>4469.0099999999993</v>
      </c>
      <c r="O36" s="73">
        <f t="shared" si="10"/>
        <v>4439.1099999999997</v>
      </c>
      <c r="P36" s="73">
        <f t="shared" si="10"/>
        <v>4425.1099999999997</v>
      </c>
      <c r="Q36" s="73">
        <f t="shared" si="10"/>
        <v>4395.21</v>
      </c>
      <c r="R36" s="73">
        <f t="shared" si="10"/>
        <v>4575.99</v>
      </c>
      <c r="S36" s="73">
        <f t="shared" si="10"/>
        <v>4575.99</v>
      </c>
      <c r="T36" s="73">
        <f t="shared" si="10"/>
        <v>4570.99</v>
      </c>
      <c r="U36" s="73">
        <f t="shared" si="10"/>
        <v>4568.8599999999997</v>
      </c>
      <c r="V36" s="73">
        <f t="shared" si="10"/>
        <v>4527.96</v>
      </c>
      <c r="W36" s="73">
        <f t="shared" si="10"/>
        <v>4522.96</v>
      </c>
      <c r="X36" s="73">
        <f t="shared" si="10"/>
        <v>4492.96</v>
      </c>
      <c r="Y36" s="73">
        <f t="shared" si="10"/>
        <v>4507.96</v>
      </c>
      <c r="Z36" s="73">
        <f t="shared" si="10"/>
        <v>4456.1000000000004</v>
      </c>
      <c r="AA36" s="73">
        <f t="shared" si="10"/>
        <v>4411.1000000000004</v>
      </c>
      <c r="AB36" s="73">
        <f t="shared" si="10"/>
        <v>4401.1000000000004</v>
      </c>
      <c r="AC36" s="73">
        <f t="shared" si="10"/>
        <v>4196.1000000000004</v>
      </c>
      <c r="AD36" s="73">
        <f t="shared" si="10"/>
        <v>4156.1000000000004</v>
      </c>
      <c r="AE36" s="73">
        <f t="shared" si="10"/>
        <v>4109.25</v>
      </c>
      <c r="AF36" s="73">
        <f t="shared" si="10"/>
        <v>4030.06</v>
      </c>
      <c r="AG36" s="73">
        <f t="shared" si="10"/>
        <v>4027.56</v>
      </c>
      <c r="AH36" s="73">
        <f t="shared" si="10"/>
        <v>4015.2599999999998</v>
      </c>
      <c r="AI36" s="97"/>
    </row>
    <row r="37" spans="1:35" ht="15.75" customHeight="1" x14ac:dyDescent="0.25">
      <c r="A37" s="96"/>
      <c r="B37" s="139" t="s">
        <v>61</v>
      </c>
      <c r="C37" s="140"/>
      <c r="D37" s="140"/>
      <c r="E37" s="141"/>
      <c r="F37" s="141"/>
      <c r="G37" s="141"/>
      <c r="H37" s="141"/>
      <c r="I37" s="141">
        <v>92</v>
      </c>
      <c r="J37" s="141"/>
      <c r="K37" s="141">
        <v>186</v>
      </c>
      <c r="L37" s="142"/>
      <c r="M37" s="142"/>
      <c r="N37" s="142"/>
      <c r="O37" s="142"/>
      <c r="P37" s="142"/>
      <c r="Q37" s="142"/>
      <c r="R37" s="142">
        <v>84</v>
      </c>
      <c r="S37" s="142"/>
      <c r="T37" s="142"/>
      <c r="U37" s="142"/>
      <c r="V37" s="142"/>
      <c r="W37" s="142"/>
      <c r="X37" s="142"/>
      <c r="Y37" s="142"/>
      <c r="Z37" s="142">
        <v>78</v>
      </c>
      <c r="AA37" s="142"/>
      <c r="AB37" s="142"/>
      <c r="AC37" s="142"/>
      <c r="AD37" s="142"/>
      <c r="AE37" s="142"/>
      <c r="AF37" s="142">
        <v>36</v>
      </c>
      <c r="AG37" s="142"/>
      <c r="AH37" s="142"/>
      <c r="AI37" s="97"/>
    </row>
    <row r="38" spans="1:35" ht="15.75" customHeight="1" x14ac:dyDescent="0.25">
      <c r="A38" s="96"/>
      <c r="B38" s="86" t="s">
        <v>70</v>
      </c>
      <c r="C38" s="12"/>
      <c r="D38" s="12"/>
      <c r="I38" s="7">
        <f>-83.64</f>
        <v>-83.64</v>
      </c>
      <c r="K38" s="7">
        <v>-162.97</v>
      </c>
      <c r="L38" s="1"/>
      <c r="M38" s="1"/>
      <c r="N38" s="1"/>
      <c r="O38" s="1"/>
      <c r="P38" s="1"/>
      <c r="Q38" s="1"/>
      <c r="R38" s="1">
        <v>-222.77</v>
      </c>
      <c r="S38" s="1"/>
      <c r="T38" s="1"/>
      <c r="U38" s="1"/>
      <c r="V38" s="1"/>
      <c r="W38" s="1"/>
      <c r="X38" s="1"/>
      <c r="Y38" s="1"/>
      <c r="Z38" s="1">
        <v>-366.79</v>
      </c>
      <c r="AA38" s="1"/>
      <c r="AB38" s="1"/>
      <c r="AC38" s="1"/>
      <c r="AD38" s="1"/>
      <c r="AE38" s="1"/>
      <c r="AF38" s="1">
        <v>-525.34</v>
      </c>
      <c r="AG38" s="1"/>
      <c r="AH38" s="1"/>
      <c r="AI38" s="97"/>
    </row>
    <row r="39" spans="1:35" ht="15.75" customHeight="1" x14ac:dyDescent="0.25">
      <c r="A39" s="96"/>
      <c r="B39" s="139" t="s">
        <v>71</v>
      </c>
      <c r="C39" s="140"/>
      <c r="D39" s="140"/>
      <c r="E39" s="141"/>
      <c r="F39" s="141"/>
      <c r="G39" s="141"/>
      <c r="H39" s="141"/>
      <c r="I39" s="141">
        <v>915.29</v>
      </c>
      <c r="J39" s="141"/>
      <c r="K39" s="141">
        <v>485.7</v>
      </c>
      <c r="L39" s="142"/>
      <c r="M39" s="142"/>
      <c r="N39" s="142"/>
      <c r="O39" s="142"/>
      <c r="P39" s="142"/>
      <c r="Q39" s="142"/>
      <c r="R39" s="142">
        <v>778.67</v>
      </c>
      <c r="S39" s="142"/>
      <c r="T39" s="142"/>
      <c r="U39" s="142"/>
      <c r="V39" s="142"/>
      <c r="W39" s="142"/>
      <c r="X39" s="142"/>
      <c r="Y39" s="142"/>
      <c r="Z39" s="142">
        <v>378.6</v>
      </c>
      <c r="AA39" s="142"/>
      <c r="AB39" s="142"/>
      <c r="AC39" s="142"/>
      <c r="AD39" s="142"/>
      <c r="AE39" s="142"/>
      <c r="AF39" s="142">
        <v>328.61</v>
      </c>
      <c r="AG39" s="142"/>
      <c r="AH39" s="142"/>
      <c r="AI39" s="97"/>
    </row>
    <row r="40" spans="1:35" ht="15.75" customHeight="1" x14ac:dyDescent="0.25">
      <c r="A40" s="96"/>
      <c r="B40" s="86" t="s">
        <v>85</v>
      </c>
      <c r="C40" s="12"/>
      <c r="D40" s="12"/>
      <c r="I40" s="7">
        <v>0</v>
      </c>
      <c r="K40" s="7">
        <v>0</v>
      </c>
      <c r="L40" s="1"/>
      <c r="M40" s="1"/>
      <c r="N40" s="1"/>
      <c r="O40" s="1"/>
      <c r="P40" s="1"/>
      <c r="Q40" s="1"/>
      <c r="R40" s="1">
        <v>0</v>
      </c>
      <c r="S40" s="1"/>
      <c r="T40" s="1"/>
      <c r="U40" s="1"/>
      <c r="V40" s="1"/>
      <c r="W40" s="1"/>
      <c r="X40" s="1"/>
      <c r="Y40" s="1"/>
      <c r="Z40" s="1">
        <v>0</v>
      </c>
      <c r="AA40" s="1"/>
      <c r="AB40" s="1"/>
      <c r="AC40" s="1"/>
      <c r="AD40" s="1"/>
      <c r="AE40" s="1"/>
      <c r="AF40" s="1">
        <v>0</v>
      </c>
      <c r="AG40" s="1"/>
      <c r="AH40" s="1"/>
      <c r="AI40" s="97"/>
    </row>
    <row r="41" spans="1:35" ht="15.75" customHeight="1" x14ac:dyDescent="0.25">
      <c r="A41" s="96"/>
      <c r="B41" s="139" t="s">
        <v>95</v>
      </c>
      <c r="C41" s="140"/>
      <c r="D41" s="140"/>
      <c r="E41" s="141"/>
      <c r="F41" s="141"/>
      <c r="G41" s="141"/>
      <c r="H41" s="141"/>
      <c r="I41" s="141">
        <f>2385.63+2000</f>
        <v>4385.63</v>
      </c>
      <c r="J41" s="141"/>
      <c r="K41" s="141">
        <v>4423.5600000000004</v>
      </c>
      <c r="L41" s="142"/>
      <c r="M41" s="142"/>
      <c r="N41" s="142"/>
      <c r="O41" s="142"/>
      <c r="P41" s="142"/>
      <c r="Q41" s="142"/>
      <c r="R41" s="142">
        <v>3870.64</v>
      </c>
      <c r="S41" s="142"/>
      <c r="T41" s="142"/>
      <c r="U41" s="142"/>
      <c r="V41" s="142"/>
      <c r="W41" s="142"/>
      <c r="X41" s="142"/>
      <c r="Y41" s="142"/>
      <c r="Z41" s="142">
        <v>4673.54</v>
      </c>
      <c r="AA41" s="142"/>
      <c r="AB41" s="142"/>
      <c r="AC41" s="142"/>
      <c r="AD41" s="142"/>
      <c r="AE41" s="142"/>
      <c r="AF41" s="142">
        <v>4527.6400000000003</v>
      </c>
      <c r="AG41" s="142"/>
      <c r="AH41" s="142"/>
      <c r="AI41" s="97"/>
    </row>
    <row r="42" spans="1:35" ht="15.75" customHeight="1" x14ac:dyDescent="0.25">
      <c r="A42" s="96"/>
      <c r="B42" s="86" t="s">
        <v>99</v>
      </c>
      <c r="C42" s="12"/>
      <c r="D42" s="12"/>
      <c r="I42" s="7">
        <v>-536.16999999999996</v>
      </c>
      <c r="K42" s="7">
        <v>-536.16999999999996</v>
      </c>
      <c r="L42" s="1"/>
      <c r="M42" s="1"/>
      <c r="N42" s="1"/>
      <c r="O42" s="1"/>
      <c r="P42" s="1"/>
      <c r="Q42" s="1"/>
      <c r="R42" s="1">
        <v>-24.9</v>
      </c>
      <c r="S42" s="1"/>
      <c r="T42" s="1"/>
      <c r="U42" s="1"/>
      <c r="V42" s="1"/>
      <c r="W42" s="1"/>
      <c r="X42" s="1"/>
      <c r="Y42" s="1"/>
      <c r="Z42" s="1">
        <v>-24.9</v>
      </c>
      <c r="AA42" s="1"/>
      <c r="AB42" s="1"/>
      <c r="AC42" s="1"/>
      <c r="AD42" s="1"/>
      <c r="AE42" s="1"/>
      <c r="AF42" s="1">
        <v>-24.9</v>
      </c>
      <c r="AG42" s="1"/>
      <c r="AH42" s="1"/>
      <c r="AI42" s="97"/>
    </row>
    <row r="43" spans="1:35" ht="15.75" customHeight="1" x14ac:dyDescent="0.25">
      <c r="A43" s="96"/>
      <c r="B43" s="139" t="s">
        <v>73</v>
      </c>
      <c r="C43" s="140"/>
      <c r="D43" s="140"/>
      <c r="E43" s="141"/>
      <c r="F43" s="141"/>
      <c r="G43" s="141"/>
      <c r="H43" s="141"/>
      <c r="I43" s="141">
        <v>1900</v>
      </c>
      <c r="J43" s="141"/>
      <c r="K43" s="141">
        <v>1900</v>
      </c>
      <c r="L43" s="142"/>
      <c r="M43" s="142"/>
      <c r="N43" s="142"/>
      <c r="O43" s="142"/>
      <c r="P43" s="142"/>
      <c r="Q43" s="142"/>
      <c r="R43" s="142">
        <v>1900</v>
      </c>
      <c r="S43" s="142"/>
      <c r="T43" s="142"/>
      <c r="U43" s="142"/>
      <c r="V43" s="142"/>
      <c r="W43" s="142"/>
      <c r="X43" s="142"/>
      <c r="Y43" s="142"/>
      <c r="Z43" s="142">
        <v>1900</v>
      </c>
      <c r="AA43" s="142"/>
      <c r="AB43" s="142"/>
      <c r="AC43" s="142"/>
      <c r="AD43" s="142"/>
      <c r="AE43" s="142"/>
      <c r="AF43" s="142">
        <v>1900</v>
      </c>
      <c r="AG43" s="142"/>
      <c r="AH43" s="142"/>
      <c r="AI43" s="97"/>
    </row>
    <row r="44" spans="1:35" ht="15.75" customHeight="1" x14ac:dyDescent="0.25">
      <c r="A44" s="96"/>
      <c r="B44" s="86" t="s">
        <v>63</v>
      </c>
      <c r="C44" s="12"/>
      <c r="D44" s="12"/>
      <c r="I44" s="7">
        <v>902.27</v>
      </c>
      <c r="K44" s="7">
        <v>902.27</v>
      </c>
      <c r="L44" s="1"/>
      <c r="M44" s="1"/>
      <c r="N44" s="1"/>
      <c r="O44" s="1"/>
      <c r="P44" s="1"/>
      <c r="Q44" s="1"/>
      <c r="R44" s="1">
        <v>902.27</v>
      </c>
      <c r="S44" s="1"/>
      <c r="T44" s="1"/>
      <c r="U44" s="1"/>
      <c r="V44" s="1"/>
      <c r="W44" s="1"/>
      <c r="X44" s="1"/>
      <c r="Y44" s="1"/>
      <c r="Z44" s="1">
        <v>902.27</v>
      </c>
      <c r="AA44" s="1"/>
      <c r="AB44" s="1"/>
      <c r="AC44" s="1"/>
      <c r="AD44" s="1"/>
      <c r="AE44" s="1"/>
      <c r="AF44" s="1">
        <v>902.27</v>
      </c>
      <c r="AG44" s="1"/>
      <c r="AH44" s="1"/>
      <c r="AI44" s="97"/>
    </row>
    <row r="45" spans="1:35" ht="15.75" customHeight="1" x14ac:dyDescent="0.25">
      <c r="A45" s="96"/>
      <c r="B45" s="99" t="s">
        <v>80</v>
      </c>
      <c r="C45" s="60"/>
      <c r="D45" s="73">
        <f t="shared" ref="D45:AH45" si="11">D36</f>
        <v>3578.2099999999987</v>
      </c>
      <c r="E45" s="73">
        <f t="shared" si="11"/>
        <v>3220.8099999999986</v>
      </c>
      <c r="F45" s="73">
        <f t="shared" si="11"/>
        <v>3220.8099999999986</v>
      </c>
      <c r="G45" s="73">
        <f t="shared" si="11"/>
        <v>3213.8099999999986</v>
      </c>
      <c r="H45" s="73">
        <f t="shared" si="11"/>
        <v>3181.0099999999984</v>
      </c>
      <c r="I45" s="73">
        <f t="shared" si="11"/>
        <v>4645.2699999999986</v>
      </c>
      <c r="J45" s="73">
        <f t="shared" si="11"/>
        <v>4568.3999999999987</v>
      </c>
      <c r="K45" s="73">
        <f t="shared" si="11"/>
        <v>4512.9499999999989</v>
      </c>
      <c r="L45" s="73">
        <f t="shared" si="11"/>
        <v>4486.0499999999993</v>
      </c>
      <c r="M45" s="73">
        <f t="shared" si="11"/>
        <v>4486.0499999999993</v>
      </c>
      <c r="N45" s="73">
        <f t="shared" si="11"/>
        <v>4469.0099999999993</v>
      </c>
      <c r="O45" s="73">
        <f t="shared" si="11"/>
        <v>4439.1099999999997</v>
      </c>
      <c r="P45" s="73">
        <f t="shared" si="11"/>
        <v>4425.1099999999997</v>
      </c>
      <c r="Q45" s="73">
        <f t="shared" si="11"/>
        <v>4395.21</v>
      </c>
      <c r="R45" s="73">
        <f t="shared" si="11"/>
        <v>4575.99</v>
      </c>
      <c r="S45" s="73">
        <f t="shared" si="11"/>
        <v>4575.99</v>
      </c>
      <c r="T45" s="73">
        <f t="shared" si="11"/>
        <v>4570.99</v>
      </c>
      <c r="U45" s="73">
        <f t="shared" si="11"/>
        <v>4568.8599999999997</v>
      </c>
      <c r="V45" s="73">
        <f t="shared" si="11"/>
        <v>4527.96</v>
      </c>
      <c r="W45" s="73">
        <f t="shared" si="11"/>
        <v>4522.96</v>
      </c>
      <c r="X45" s="73">
        <f t="shared" si="11"/>
        <v>4492.96</v>
      </c>
      <c r="Y45" s="73">
        <f t="shared" si="11"/>
        <v>4507.96</v>
      </c>
      <c r="Z45" s="73">
        <f t="shared" si="11"/>
        <v>4456.1000000000004</v>
      </c>
      <c r="AA45" s="73">
        <f t="shared" si="11"/>
        <v>4411.1000000000004</v>
      </c>
      <c r="AB45" s="73">
        <f t="shared" si="11"/>
        <v>4401.1000000000004</v>
      </c>
      <c r="AC45" s="73">
        <f t="shared" si="11"/>
        <v>4196.1000000000004</v>
      </c>
      <c r="AD45" s="73">
        <f t="shared" si="11"/>
        <v>4156.1000000000004</v>
      </c>
      <c r="AE45" s="73">
        <f t="shared" si="11"/>
        <v>4109.25</v>
      </c>
      <c r="AF45" s="73">
        <f t="shared" si="11"/>
        <v>4030.06</v>
      </c>
      <c r="AG45" s="73">
        <f t="shared" si="11"/>
        <v>4027.56</v>
      </c>
      <c r="AH45" s="73">
        <f t="shared" si="11"/>
        <v>4015.2599999999998</v>
      </c>
      <c r="AI45" s="97"/>
    </row>
    <row r="46" spans="1:35" ht="15.75" customHeight="1" x14ac:dyDescent="0.25">
      <c r="A46" s="96"/>
      <c r="B46" s="117" t="s">
        <v>74</v>
      </c>
      <c r="C46" s="70"/>
      <c r="D46" s="70"/>
      <c r="E46" s="138"/>
      <c r="F46" s="138"/>
      <c r="G46" s="138"/>
      <c r="H46" s="138"/>
      <c r="I46" s="138">
        <f>SUM(I37:I44)</f>
        <v>7575.3799999999992</v>
      </c>
      <c r="J46" s="138"/>
      <c r="K46" s="138">
        <f>SUM(K37:K44)</f>
        <v>7198.3900000000012</v>
      </c>
      <c r="L46" s="69"/>
      <c r="M46" s="69"/>
      <c r="N46" s="69"/>
      <c r="O46" s="69"/>
      <c r="P46" s="71"/>
      <c r="Q46" s="71"/>
      <c r="R46" s="71">
        <f>SUM(R37:R44)</f>
        <v>7287.91</v>
      </c>
      <c r="S46" s="71"/>
      <c r="T46" s="71"/>
      <c r="U46" s="69"/>
      <c r="V46" s="71"/>
      <c r="W46" s="71"/>
      <c r="X46" s="71"/>
      <c r="Y46" s="71"/>
      <c r="Z46" s="71">
        <f>SUM(Z37:Z44)</f>
        <v>7540.7200000000012</v>
      </c>
      <c r="AA46" s="1"/>
      <c r="AB46" s="71"/>
      <c r="AC46" s="71"/>
      <c r="AD46" s="71"/>
      <c r="AE46" s="71"/>
      <c r="AF46" s="71">
        <f>SUM(AF37:AF44)</f>
        <v>7144.2800000000007</v>
      </c>
      <c r="AG46" s="71"/>
      <c r="AH46" s="71"/>
      <c r="AI46" s="97"/>
    </row>
    <row r="47" spans="1:35" ht="9" customHeight="1" x14ac:dyDescent="0.25">
      <c r="A47" s="96"/>
      <c r="B47" s="97"/>
      <c r="C47" s="127"/>
      <c r="D47" s="12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6"/>
    </row>
    <row r="48" spans="1:35" ht="15.7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2:36" ht="15.75" customHeight="1" x14ac:dyDescent="0.25">
      <c r="B49" s="1"/>
      <c r="C49" s="1"/>
      <c r="D49" s="1"/>
      <c r="K49" s="5"/>
      <c r="L49" s="5"/>
      <c r="M49" s="5"/>
      <c r="N49" s="128"/>
      <c r="O49" s="5"/>
      <c r="P49" s="5"/>
      <c r="Q49" s="5"/>
      <c r="R49" s="128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2:36" ht="15.75" customHeight="1" x14ac:dyDescent="0.25">
      <c r="B50" s="1"/>
      <c r="C50" s="1"/>
      <c r="D50" s="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2:36" ht="15.75" customHeight="1" x14ac:dyDescent="0.25">
      <c r="B51" s="1"/>
      <c r="C51" s="1"/>
      <c r="D51" s="1"/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J51" s="128"/>
    </row>
    <row r="52" spans="2:36" ht="15.75" customHeight="1" x14ac:dyDescent="0.25">
      <c r="B52" s="1"/>
      <c r="C52" s="1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</row>
    <row r="53" spans="2:36" ht="15.75" customHeight="1" x14ac:dyDescent="0.25">
      <c r="B53" s="1"/>
      <c r="C53" s="1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</row>
    <row r="54" spans="2:36" ht="15.75" customHeight="1" x14ac:dyDescent="0.25"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2:36" ht="15.75" customHeight="1" x14ac:dyDescent="0.25">
      <c r="I55" s="1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</row>
    <row r="56" spans="2:36" ht="15.75" customHeight="1" x14ac:dyDescent="0.25"/>
    <row r="57" spans="2:36" ht="15.75" customHeight="1" x14ac:dyDescent="0.25"/>
    <row r="58" spans="2:36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2:36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2:36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2:36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2:36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2:36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2:36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2:34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2:34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2:34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2:34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2:34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2:34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2:34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2:34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2:34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2:34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2:34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2:34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2:34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2:34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2:34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2:34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2:34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2:34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2:34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2:34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2:34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2:34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2:34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2:34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2:34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2:34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2:34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2:34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2:34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2:34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2:34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2:34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2:34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2:34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2:34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2:34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2:34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2:34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2:34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2:34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2:34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2:34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2:34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2:34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2:34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2:34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2:34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2:34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2:34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2:34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2:34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2:34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2:34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2:34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2:34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2:34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2:34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2:34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2:34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2:34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2:34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2:34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2:34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2:34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2:34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2:34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2:34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2:34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2:34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2:34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2:34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2:34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2:34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2:34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2:34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2:34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2:34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2:34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2:34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2:34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2:34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2:34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2:34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2:34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2:34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2:34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2:34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2:34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2:34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2:34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2:34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2:34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2:34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2:34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2:34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2:34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2:34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2:34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2:34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2:34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2:34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2:34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2:34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2:34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2:34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2:34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2:34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2:34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2:34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2:34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2:34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2:34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2:34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2:34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2:34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2:34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2:34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2:34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2:34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2:34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2:34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2:34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2:34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2:34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2:34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2:34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2:34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2:34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2:34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2:34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2:34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2:34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2:34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2:34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2:34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2:34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2:34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2:34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2:34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2:34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2:34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2:34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2:34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2:34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2:34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2:34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2:34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2:34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2:34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2:34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2:34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2:34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2:34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2:34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2:34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2:34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2:34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2:34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2:34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2:34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2:34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2:34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2:34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2:34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2:34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2:34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2:34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2:34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2:34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2:34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2:34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2:34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2:34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2:34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2:34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2:34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2:34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2:34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2:34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2:34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2:34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2:34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2:34" ht="15.75" customHeight="1" x14ac:dyDescent="0.25"/>
    <row r="248" spans="2:34" ht="15.75" customHeight="1" x14ac:dyDescent="0.25"/>
    <row r="249" spans="2:34" ht="15.75" customHeight="1" x14ac:dyDescent="0.25"/>
    <row r="250" spans="2:34" ht="15.75" customHeight="1" x14ac:dyDescent="0.25"/>
    <row r="251" spans="2:34" ht="15.75" customHeight="1" x14ac:dyDescent="0.25"/>
    <row r="252" spans="2:34" ht="15.75" customHeight="1" x14ac:dyDescent="0.25"/>
    <row r="253" spans="2:34" ht="15.75" customHeight="1" x14ac:dyDescent="0.25"/>
    <row r="254" spans="2:34" ht="15.75" customHeight="1" x14ac:dyDescent="0.25"/>
    <row r="255" spans="2:34" ht="15.75" customHeight="1" x14ac:dyDescent="0.25"/>
    <row r="256" spans="2:3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29" priority="1" operator="lessThan">
      <formula>0</formula>
    </cfRule>
  </conditionalFormatting>
  <conditionalFormatting sqref="C4">
    <cfRule type="cellIs" dxfId="128" priority="2" operator="greaterThan">
      <formula>0</formula>
    </cfRule>
  </conditionalFormatting>
  <conditionalFormatting sqref="C4">
    <cfRule type="cellIs" dxfId="127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1001"/>
  <sheetViews>
    <sheetView showGridLines="0" workbookViewId="0">
      <selection activeCell="B29" sqref="B29:D29"/>
    </sheetView>
  </sheetViews>
  <sheetFormatPr defaultColWidth="14.42578125" defaultRowHeight="15" customHeight="1" x14ac:dyDescent="0.25"/>
  <cols>
    <col min="1" max="1" width="1.7109375" customWidth="1"/>
    <col min="2" max="2" width="18.42578125" customWidth="1"/>
    <col min="3" max="3" width="10.42578125" customWidth="1"/>
    <col min="4" max="4" width="7.5703125" customWidth="1"/>
    <col min="5" max="5" width="8.7109375" customWidth="1"/>
    <col min="6" max="35" width="10.42578125" customWidth="1"/>
    <col min="36" max="36" width="1.85546875" customWidth="1"/>
    <col min="37" max="37" width="14.42578125" customWidth="1"/>
    <col min="38" max="38" width="5.5703125" customWidth="1"/>
    <col min="39" max="39" width="5.7109375" customWidth="1"/>
  </cols>
  <sheetData>
    <row r="1" spans="1:39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</row>
    <row r="2" spans="1:39" x14ac:dyDescent="0.25">
      <c r="A2" s="96"/>
      <c r="B2" s="74" t="s">
        <v>45</v>
      </c>
      <c r="C2" s="75">
        <f>SUM(C8:C31)</f>
        <v>-2630.8316666666665</v>
      </c>
      <c r="D2" s="12"/>
      <c r="E2" s="48">
        <f t="shared" ref="E2:AI2" si="0">E6/$C$2</f>
        <v>0.28395203291227933</v>
      </c>
      <c r="F2" s="48">
        <f t="shared" si="0"/>
        <v>0.13502954388947983</v>
      </c>
      <c r="G2" s="48">
        <f t="shared" si="0"/>
        <v>1.5934124760294432E-2</v>
      </c>
      <c r="H2" s="48">
        <f t="shared" si="0"/>
        <v>7.6021587596824588E-3</v>
      </c>
      <c r="I2" s="48">
        <f t="shared" si="0"/>
        <v>9.5026984496030722E-3</v>
      </c>
      <c r="J2" s="48">
        <f t="shared" si="0"/>
        <v>3.2043099172061559E-3</v>
      </c>
      <c r="K2" s="48">
        <f t="shared" si="0"/>
        <v>0.20905936589126761</v>
      </c>
      <c r="L2" s="48">
        <f t="shared" si="0"/>
        <v>2.6113415339509241E-2</v>
      </c>
      <c r="M2" s="48">
        <f t="shared" si="0"/>
        <v>3.2803315048029803E-3</v>
      </c>
      <c r="N2" s="48">
        <f t="shared" si="0"/>
        <v>0</v>
      </c>
      <c r="O2" s="48">
        <f t="shared" si="0"/>
        <v>8.3243638418522906E-3</v>
      </c>
      <c r="P2" s="48">
        <f t="shared" si="0"/>
        <v>2.1248033733312469E-2</v>
      </c>
      <c r="Q2" s="48">
        <f t="shared" si="0"/>
        <v>1.3185944368669223E-2</v>
      </c>
      <c r="R2" s="48">
        <f t="shared" si="0"/>
        <v>3.8010793798412294E-3</v>
      </c>
      <c r="S2" s="48">
        <f t="shared" si="0"/>
        <v>1.1118157186035595E-2</v>
      </c>
      <c r="T2" s="48">
        <f t="shared" si="0"/>
        <v>2.6725389119663684E-2</v>
      </c>
      <c r="U2" s="48">
        <f t="shared" si="0"/>
        <v>0</v>
      </c>
      <c r="V2" s="48">
        <f t="shared" si="0"/>
        <v>1.2125443221693523E-2</v>
      </c>
      <c r="W2" s="48">
        <f t="shared" si="0"/>
        <v>1.4455504881536196E-2</v>
      </c>
      <c r="X2" s="48">
        <f t="shared" si="0"/>
        <v>6.982582820768338E-3</v>
      </c>
      <c r="Y2" s="48">
        <f t="shared" si="0"/>
        <v>0</v>
      </c>
      <c r="Z2" s="48">
        <f t="shared" si="0"/>
        <v>5.7738395779788274E-3</v>
      </c>
      <c r="AA2" s="48">
        <f t="shared" si="0"/>
        <v>1.1502066203399559E-2</v>
      </c>
      <c r="AB2" s="48">
        <f t="shared" si="0"/>
        <v>2.6607555658888604E-3</v>
      </c>
      <c r="AC2" s="48">
        <f t="shared" si="0"/>
        <v>8.0582882852634052E-3</v>
      </c>
      <c r="AD2" s="48">
        <f t="shared" si="0"/>
        <v>1.8465643627268692E-2</v>
      </c>
      <c r="AE2" s="48">
        <f t="shared" si="0"/>
        <v>0</v>
      </c>
      <c r="AF2" s="48">
        <f t="shared" si="0"/>
        <v>6.4238241519316772E-3</v>
      </c>
      <c r="AG2" s="48">
        <f t="shared" si="0"/>
        <v>2.6227447720904482E-3</v>
      </c>
      <c r="AH2" s="48">
        <f t="shared" si="0"/>
        <v>1.9005396899206147E-3</v>
      </c>
      <c r="AI2" s="48">
        <f t="shared" si="0"/>
        <v>3.2795712889270127E-2</v>
      </c>
      <c r="AJ2" s="97"/>
    </row>
    <row r="3" spans="1:39" hidden="1" x14ac:dyDescent="0.25">
      <c r="A3" s="96"/>
      <c r="B3" s="76"/>
      <c r="C3" s="77"/>
      <c r="D3" s="1"/>
      <c r="E3" s="55" t="str">
        <f t="shared" ref="E3:AI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96"/>
      <c r="AL3" s="78" t="s">
        <v>0</v>
      </c>
      <c r="AM3" s="1" t="s">
        <v>64</v>
      </c>
    </row>
    <row r="4" spans="1:39" x14ac:dyDescent="0.25">
      <c r="A4" s="96"/>
      <c r="B4" s="79" t="s">
        <v>47</v>
      </c>
      <c r="C4" s="102">
        <f>C33+C2</f>
        <v>105.16833333333352</v>
      </c>
      <c r="D4" s="104" t="s">
        <v>7</v>
      </c>
      <c r="E4" s="105" t="str">
        <f t="shared" ref="E4:AI4" si="2">TEXT(E5,"ddd")</f>
        <v>Wed</v>
      </c>
      <c r="F4" s="105" t="str">
        <f t="shared" si="2"/>
        <v>Thu</v>
      </c>
      <c r="G4" s="105" t="str">
        <f t="shared" si="2"/>
        <v>Fri</v>
      </c>
      <c r="H4" s="105" t="str">
        <f t="shared" si="2"/>
        <v>Sat</v>
      </c>
      <c r="I4" s="105" t="str">
        <f t="shared" si="2"/>
        <v>Sun</v>
      </c>
      <c r="J4" s="105" t="str">
        <f t="shared" si="2"/>
        <v>Mon</v>
      </c>
      <c r="K4" s="105" t="str">
        <f t="shared" si="2"/>
        <v>Tue</v>
      </c>
      <c r="L4" s="105" t="str">
        <f t="shared" si="2"/>
        <v>Wed</v>
      </c>
      <c r="M4" s="105" t="str">
        <f t="shared" si="2"/>
        <v>Thu</v>
      </c>
      <c r="N4" s="105" t="str">
        <f t="shared" si="2"/>
        <v>Fri</v>
      </c>
      <c r="O4" s="105" t="str">
        <f t="shared" si="2"/>
        <v>Sat</v>
      </c>
      <c r="P4" s="105" t="str">
        <f t="shared" si="2"/>
        <v>Sun</v>
      </c>
      <c r="Q4" s="105" t="str">
        <f t="shared" si="2"/>
        <v>Mon</v>
      </c>
      <c r="R4" s="105" t="str">
        <f t="shared" si="2"/>
        <v>Tue</v>
      </c>
      <c r="S4" s="105" t="str">
        <f t="shared" si="2"/>
        <v>Wed</v>
      </c>
      <c r="T4" s="105" t="str">
        <f t="shared" si="2"/>
        <v>Thu</v>
      </c>
      <c r="U4" s="105" t="str">
        <f t="shared" si="2"/>
        <v>Fri</v>
      </c>
      <c r="V4" s="105" t="str">
        <f t="shared" si="2"/>
        <v>Sat</v>
      </c>
      <c r="W4" s="105" t="str">
        <f t="shared" si="2"/>
        <v>Sun</v>
      </c>
      <c r="X4" s="105" t="str">
        <f t="shared" si="2"/>
        <v>Mon</v>
      </c>
      <c r="Y4" s="105" t="str">
        <f t="shared" si="2"/>
        <v>Tue</v>
      </c>
      <c r="Z4" s="105" t="str">
        <f t="shared" si="2"/>
        <v>Wed</v>
      </c>
      <c r="AA4" s="105" t="str">
        <f t="shared" si="2"/>
        <v>Thu</v>
      </c>
      <c r="AB4" s="105" t="str">
        <f t="shared" si="2"/>
        <v>Fri</v>
      </c>
      <c r="AC4" s="105" t="str">
        <f t="shared" si="2"/>
        <v>Sat</v>
      </c>
      <c r="AD4" s="105" t="str">
        <f t="shared" si="2"/>
        <v>Sun</v>
      </c>
      <c r="AE4" s="105" t="str">
        <f t="shared" si="2"/>
        <v>Mon</v>
      </c>
      <c r="AF4" s="105" t="str">
        <f t="shared" si="2"/>
        <v>Tue</v>
      </c>
      <c r="AG4" s="105" t="str">
        <f t="shared" si="2"/>
        <v>Wed</v>
      </c>
      <c r="AH4" s="105" t="str">
        <f t="shared" si="2"/>
        <v>Thu</v>
      </c>
      <c r="AI4" s="105" t="str">
        <f t="shared" si="2"/>
        <v>Fri</v>
      </c>
      <c r="AJ4" s="96"/>
      <c r="AL4" s="78">
        <v>2019</v>
      </c>
      <c r="AM4" s="56">
        <f ca="1">TODAY()</f>
        <v>43926</v>
      </c>
    </row>
    <row r="5" spans="1:39" x14ac:dyDescent="0.25">
      <c r="A5" s="96"/>
      <c r="B5" s="81" t="s">
        <v>51</v>
      </c>
      <c r="C5" s="108">
        <f>C4/C33</f>
        <v>3.8438718323586814E-2</v>
      </c>
      <c r="D5" s="109"/>
      <c r="E5" s="111">
        <f>DATE($AL$4,$AL$6,1)</f>
        <v>43586</v>
      </c>
      <c r="F5" s="111">
        <f t="shared" ref="F5:AI5" si="3">E5+1</f>
        <v>43587</v>
      </c>
      <c r="G5" s="111">
        <f t="shared" si="3"/>
        <v>43588</v>
      </c>
      <c r="H5" s="111">
        <f t="shared" si="3"/>
        <v>43589</v>
      </c>
      <c r="I5" s="111">
        <f t="shared" si="3"/>
        <v>43590</v>
      </c>
      <c r="J5" s="111">
        <f t="shared" si="3"/>
        <v>43591</v>
      </c>
      <c r="K5" s="111">
        <f t="shared" si="3"/>
        <v>43592</v>
      </c>
      <c r="L5" s="111">
        <f t="shared" si="3"/>
        <v>43593</v>
      </c>
      <c r="M5" s="111">
        <f t="shared" si="3"/>
        <v>43594</v>
      </c>
      <c r="N5" s="111">
        <f t="shared" si="3"/>
        <v>43595</v>
      </c>
      <c r="O5" s="111">
        <f t="shared" si="3"/>
        <v>43596</v>
      </c>
      <c r="P5" s="111">
        <f t="shared" si="3"/>
        <v>43597</v>
      </c>
      <c r="Q5" s="111">
        <f t="shared" si="3"/>
        <v>43598</v>
      </c>
      <c r="R5" s="111">
        <f t="shared" si="3"/>
        <v>43599</v>
      </c>
      <c r="S5" s="111">
        <f t="shared" si="3"/>
        <v>43600</v>
      </c>
      <c r="T5" s="111">
        <f t="shared" si="3"/>
        <v>43601</v>
      </c>
      <c r="U5" s="111">
        <f t="shared" si="3"/>
        <v>43602</v>
      </c>
      <c r="V5" s="111">
        <f t="shared" si="3"/>
        <v>43603</v>
      </c>
      <c r="W5" s="111">
        <f t="shared" si="3"/>
        <v>43604</v>
      </c>
      <c r="X5" s="111">
        <f t="shared" si="3"/>
        <v>43605</v>
      </c>
      <c r="Y5" s="111">
        <f t="shared" si="3"/>
        <v>43606</v>
      </c>
      <c r="Z5" s="111">
        <f t="shared" si="3"/>
        <v>43607</v>
      </c>
      <c r="AA5" s="111">
        <f t="shared" si="3"/>
        <v>43608</v>
      </c>
      <c r="AB5" s="111">
        <f t="shared" si="3"/>
        <v>43609</v>
      </c>
      <c r="AC5" s="111">
        <f t="shared" si="3"/>
        <v>43610</v>
      </c>
      <c r="AD5" s="111">
        <f t="shared" si="3"/>
        <v>43611</v>
      </c>
      <c r="AE5" s="111">
        <f t="shared" si="3"/>
        <v>43612</v>
      </c>
      <c r="AF5" s="111">
        <f t="shared" si="3"/>
        <v>43613</v>
      </c>
      <c r="AG5" s="111">
        <f t="shared" si="3"/>
        <v>43614</v>
      </c>
      <c r="AH5" s="111">
        <f t="shared" si="3"/>
        <v>43615</v>
      </c>
      <c r="AI5" s="111">
        <f t="shared" si="3"/>
        <v>43616</v>
      </c>
      <c r="AJ5" s="96"/>
      <c r="AL5" s="78" t="s">
        <v>1</v>
      </c>
      <c r="AM5" s="1" t="str">
        <f ca="1">IF(V5=AM4,"sim","não")</f>
        <v>não</v>
      </c>
    </row>
    <row r="6" spans="1:39" x14ac:dyDescent="0.25">
      <c r="A6" s="96"/>
      <c r="B6" s="83"/>
      <c r="C6" s="15" t="s">
        <v>62</v>
      </c>
      <c r="D6" s="113">
        <f>SUM(D8:D31)</f>
        <v>0.99999999999999989</v>
      </c>
      <c r="E6" s="114">
        <f t="shared" ref="E6:AI6" si="4">SUM(E7:E31)</f>
        <v>-747.03</v>
      </c>
      <c r="F6" s="114">
        <f t="shared" si="4"/>
        <v>-355.24</v>
      </c>
      <c r="G6" s="114">
        <f t="shared" si="4"/>
        <v>-41.92</v>
      </c>
      <c r="H6" s="114">
        <f t="shared" si="4"/>
        <v>-20</v>
      </c>
      <c r="I6" s="114">
        <f t="shared" si="4"/>
        <v>-25</v>
      </c>
      <c r="J6" s="114">
        <f t="shared" si="4"/>
        <v>-8.43</v>
      </c>
      <c r="K6" s="114">
        <f t="shared" si="4"/>
        <v>-550</v>
      </c>
      <c r="L6" s="114">
        <f t="shared" si="4"/>
        <v>-68.699999999999989</v>
      </c>
      <c r="M6" s="114">
        <f t="shared" si="4"/>
        <v>-8.629999999999999</v>
      </c>
      <c r="N6" s="114">
        <f t="shared" si="4"/>
        <v>0</v>
      </c>
      <c r="O6" s="114">
        <f t="shared" si="4"/>
        <v>-21.9</v>
      </c>
      <c r="P6" s="114">
        <f t="shared" si="4"/>
        <v>-55.9</v>
      </c>
      <c r="Q6" s="114">
        <f t="shared" si="4"/>
        <v>-34.69</v>
      </c>
      <c r="R6" s="114">
        <f t="shared" si="4"/>
        <v>-10</v>
      </c>
      <c r="S6" s="114">
        <f t="shared" si="4"/>
        <v>-29.25</v>
      </c>
      <c r="T6" s="114">
        <f t="shared" si="4"/>
        <v>-70.31</v>
      </c>
      <c r="U6" s="114">
        <f t="shared" si="4"/>
        <v>0</v>
      </c>
      <c r="V6" s="114">
        <f t="shared" si="4"/>
        <v>-31.900000000000002</v>
      </c>
      <c r="W6" s="114">
        <f t="shared" si="4"/>
        <v>-38.03</v>
      </c>
      <c r="X6" s="114">
        <f t="shared" si="4"/>
        <v>-18.37</v>
      </c>
      <c r="Y6" s="114">
        <f t="shared" si="4"/>
        <v>0</v>
      </c>
      <c r="Z6" s="114">
        <f t="shared" si="4"/>
        <v>-15.190000000000001</v>
      </c>
      <c r="AA6" s="114">
        <f t="shared" si="4"/>
        <v>-30.259999999999998</v>
      </c>
      <c r="AB6" s="114">
        <f t="shared" si="4"/>
        <v>-7</v>
      </c>
      <c r="AC6" s="114">
        <f t="shared" si="4"/>
        <v>-21.2</v>
      </c>
      <c r="AD6" s="114">
        <f t="shared" si="4"/>
        <v>-48.58</v>
      </c>
      <c r="AE6" s="114">
        <f t="shared" si="4"/>
        <v>0</v>
      </c>
      <c r="AF6" s="114">
        <f t="shared" si="4"/>
        <v>-16.899999999999999</v>
      </c>
      <c r="AG6" s="114">
        <f t="shared" si="4"/>
        <v>-6.9</v>
      </c>
      <c r="AH6" s="114">
        <f t="shared" si="4"/>
        <v>-5</v>
      </c>
      <c r="AI6" s="114">
        <f t="shared" si="4"/>
        <v>-86.28</v>
      </c>
      <c r="AJ6" s="96"/>
      <c r="AL6" s="78">
        <v>5</v>
      </c>
      <c r="AM6" s="1"/>
    </row>
    <row r="7" spans="1:39" x14ac:dyDescent="0.25">
      <c r="A7" s="96"/>
      <c r="B7" s="86" t="s">
        <v>90</v>
      </c>
      <c r="C7" s="87">
        <f t="shared" ref="C7:C32" si="5">SUM(E7:AI7)</f>
        <v>0</v>
      </c>
      <c r="D7" s="91" t="s">
        <v>66</v>
      </c>
      <c r="E7" s="92" t="s">
        <v>66</v>
      </c>
      <c r="F7" s="92" t="s">
        <v>66</v>
      </c>
      <c r="G7" s="92" t="s">
        <v>66</v>
      </c>
      <c r="H7" s="92" t="s">
        <v>66</v>
      </c>
      <c r="I7" s="92" t="s">
        <v>66</v>
      </c>
      <c r="J7" s="92" t="s">
        <v>66</v>
      </c>
      <c r="K7" s="92" t="s">
        <v>66</v>
      </c>
      <c r="L7" s="92" t="s">
        <v>66</v>
      </c>
      <c r="M7" s="92" t="s">
        <v>66</v>
      </c>
      <c r="N7" s="92" t="s">
        <v>66</v>
      </c>
      <c r="O7" s="92" t="s">
        <v>66</v>
      </c>
      <c r="P7" s="92" t="s">
        <v>66</v>
      </c>
      <c r="Q7" s="92" t="s">
        <v>66</v>
      </c>
      <c r="R7" s="92" t="s">
        <v>66</v>
      </c>
      <c r="S7" s="92" t="s">
        <v>66</v>
      </c>
      <c r="T7" s="92" t="s">
        <v>66</v>
      </c>
      <c r="U7" s="92" t="s">
        <v>66</v>
      </c>
      <c r="V7" s="92" t="s">
        <v>66</v>
      </c>
      <c r="W7" s="92" t="s">
        <v>66</v>
      </c>
      <c r="X7" s="92" t="s">
        <v>66</v>
      </c>
      <c r="Y7" s="92" t="s">
        <v>66</v>
      </c>
      <c r="Z7" s="92" t="s">
        <v>66</v>
      </c>
      <c r="AA7" s="92" t="s">
        <v>66</v>
      </c>
      <c r="AB7" s="92" t="s">
        <v>66</v>
      </c>
      <c r="AC7" s="92" t="s">
        <v>66</v>
      </c>
      <c r="AD7" s="92" t="s">
        <v>66</v>
      </c>
      <c r="AE7" s="92" t="s">
        <v>66</v>
      </c>
      <c r="AF7" s="92" t="s">
        <v>66</v>
      </c>
      <c r="AG7" s="92" t="s">
        <v>66</v>
      </c>
      <c r="AH7" s="92" t="s">
        <v>66</v>
      </c>
      <c r="AI7" s="92" t="s">
        <v>66</v>
      </c>
      <c r="AJ7" s="96" t="s">
        <v>66</v>
      </c>
      <c r="AL7" s="78"/>
      <c r="AM7" s="1"/>
    </row>
    <row r="8" spans="1:39" x14ac:dyDescent="0.25">
      <c r="A8" s="96"/>
      <c r="B8" s="86" t="s">
        <v>20</v>
      </c>
      <c r="C8" s="87">
        <f t="shared" si="5"/>
        <v>-247.62</v>
      </c>
      <c r="D8" s="88">
        <f t="shared" ref="D8:D32" si="6">C8/$C$2</f>
        <v>9.4122327603628514E-2</v>
      </c>
      <c r="E8" s="89">
        <v>-13.66</v>
      </c>
      <c r="F8" s="89" t="s">
        <v>66</v>
      </c>
      <c r="G8" s="89" t="s">
        <v>66</v>
      </c>
      <c r="H8" s="89" t="s">
        <v>66</v>
      </c>
      <c r="I8" s="89" t="s">
        <v>66</v>
      </c>
      <c r="J8" s="89" t="s">
        <v>66</v>
      </c>
      <c r="K8" s="89" t="s">
        <v>66</v>
      </c>
      <c r="L8" s="89">
        <f>-8.8-28</f>
        <v>-36.799999999999997</v>
      </c>
      <c r="M8" s="89" t="s">
        <v>66</v>
      </c>
      <c r="N8" s="89" t="s">
        <v>66</v>
      </c>
      <c r="O8" s="89" t="s">
        <v>66</v>
      </c>
      <c r="P8" s="89">
        <v>-8</v>
      </c>
      <c r="Q8" s="89" t="s">
        <v>66</v>
      </c>
      <c r="R8" s="89">
        <v>-10</v>
      </c>
      <c r="S8" s="89">
        <v>-17.899999999999999</v>
      </c>
      <c r="T8" s="89">
        <f>-22.8-39.9</f>
        <v>-62.7</v>
      </c>
      <c r="U8" s="89" t="s">
        <v>66</v>
      </c>
      <c r="V8" s="89">
        <v>-16.100000000000001</v>
      </c>
      <c r="W8" s="89" t="s">
        <v>66</v>
      </c>
      <c r="X8" s="89">
        <v>-17</v>
      </c>
      <c r="Y8" s="89" t="s">
        <v>66</v>
      </c>
      <c r="Z8" s="89" t="s">
        <v>66</v>
      </c>
      <c r="AA8" s="89">
        <v>-19.899999999999999</v>
      </c>
      <c r="AB8" s="89" t="s">
        <v>66</v>
      </c>
      <c r="AC8" s="89" t="s">
        <v>66</v>
      </c>
      <c r="AD8" s="89" t="s">
        <v>66</v>
      </c>
      <c r="AE8" s="89" t="s">
        <v>66</v>
      </c>
      <c r="AF8" s="89">
        <v>-16.899999999999999</v>
      </c>
      <c r="AG8" s="89" t="s">
        <v>66</v>
      </c>
      <c r="AH8" s="89" t="s">
        <v>66</v>
      </c>
      <c r="AI8" s="89">
        <v>-28.66</v>
      </c>
      <c r="AJ8" s="96"/>
    </row>
    <row r="9" spans="1:39" x14ac:dyDescent="0.25">
      <c r="A9" s="96"/>
      <c r="B9" s="86" t="s">
        <v>21</v>
      </c>
      <c r="C9" s="87">
        <f t="shared" si="5"/>
        <v>-51.699999999999996</v>
      </c>
      <c r="D9" s="91">
        <f t="shared" si="6"/>
        <v>1.9651580393779153E-2</v>
      </c>
      <c r="E9" s="92">
        <v>-18.899999999999999</v>
      </c>
      <c r="F9" s="92">
        <v>-12.9</v>
      </c>
      <c r="G9" s="92" t="s">
        <v>66</v>
      </c>
      <c r="H9" s="92" t="s">
        <v>66</v>
      </c>
      <c r="I9" s="92" t="s">
        <v>66</v>
      </c>
      <c r="J9" s="92" t="s">
        <v>66</v>
      </c>
      <c r="K9" s="92" t="s">
        <v>66</v>
      </c>
      <c r="L9" s="92" t="s">
        <v>66</v>
      </c>
      <c r="M9" s="92" t="s">
        <v>66</v>
      </c>
      <c r="N9" s="92" t="s">
        <v>66</v>
      </c>
      <c r="O9" s="92">
        <v>-19.899999999999999</v>
      </c>
      <c r="P9" s="92" t="s">
        <v>66</v>
      </c>
      <c r="Q9" s="92" t="s">
        <v>66</v>
      </c>
      <c r="R9" s="92" t="s">
        <v>66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 t="s">
        <v>66</v>
      </c>
      <c r="Z9" s="92" t="s">
        <v>66</v>
      </c>
      <c r="AA9" s="92" t="s">
        <v>66</v>
      </c>
      <c r="AB9" s="92" t="s">
        <v>66</v>
      </c>
      <c r="AC9" s="92" t="s">
        <v>66</v>
      </c>
      <c r="AD9" s="92" t="s">
        <v>66</v>
      </c>
      <c r="AE9" s="92" t="s">
        <v>66</v>
      </c>
      <c r="AF9" s="92" t="s">
        <v>66</v>
      </c>
      <c r="AG9" s="92" t="s">
        <v>66</v>
      </c>
      <c r="AH9" s="92" t="s">
        <v>66</v>
      </c>
      <c r="AI9" s="92" t="s">
        <v>66</v>
      </c>
      <c r="AJ9" s="96"/>
      <c r="AL9" s="54"/>
    </row>
    <row r="10" spans="1:39" x14ac:dyDescent="0.25">
      <c r="A10" s="96"/>
      <c r="B10" s="86" t="s">
        <v>91</v>
      </c>
      <c r="C10" s="87">
        <f t="shared" si="5"/>
        <v>-2.5</v>
      </c>
      <c r="D10" s="93">
        <f t="shared" si="6"/>
        <v>9.5026984496030735E-4</v>
      </c>
      <c r="E10" s="94" t="s">
        <v>66</v>
      </c>
      <c r="F10" s="94" t="s">
        <v>66</v>
      </c>
      <c r="G10" s="94" t="s">
        <v>66</v>
      </c>
      <c r="H10" s="94" t="s">
        <v>66</v>
      </c>
      <c r="I10" s="94" t="s">
        <v>66</v>
      </c>
      <c r="J10" s="94" t="s">
        <v>66</v>
      </c>
      <c r="K10" s="94" t="s">
        <v>66</v>
      </c>
      <c r="L10" s="94" t="s">
        <v>66</v>
      </c>
      <c r="M10" s="94" t="s">
        <v>66</v>
      </c>
      <c r="N10" s="94" t="s">
        <v>66</v>
      </c>
      <c r="O10" s="94" t="s">
        <v>66</v>
      </c>
      <c r="P10" s="94" t="s">
        <v>66</v>
      </c>
      <c r="Q10" s="94" t="s">
        <v>66</v>
      </c>
      <c r="R10" s="94" t="s">
        <v>66</v>
      </c>
      <c r="S10" s="94" t="s">
        <v>66</v>
      </c>
      <c r="T10" s="94" t="s">
        <v>66</v>
      </c>
      <c r="U10" s="94" t="s">
        <v>66</v>
      </c>
      <c r="V10" s="94" t="s">
        <v>66</v>
      </c>
      <c r="W10" s="94" t="s">
        <v>66</v>
      </c>
      <c r="X10" s="94" t="s">
        <v>66</v>
      </c>
      <c r="Y10" s="94" t="s">
        <v>66</v>
      </c>
      <c r="Z10" s="94">
        <v>-2.5</v>
      </c>
      <c r="AA10" s="94" t="s">
        <v>66</v>
      </c>
      <c r="AB10" s="94" t="s">
        <v>66</v>
      </c>
      <c r="AC10" s="94" t="s">
        <v>66</v>
      </c>
      <c r="AD10" s="94" t="s">
        <v>66</v>
      </c>
      <c r="AE10" s="94" t="s">
        <v>66</v>
      </c>
      <c r="AF10" s="94" t="s">
        <v>66</v>
      </c>
      <c r="AG10" s="94" t="s">
        <v>66</v>
      </c>
      <c r="AH10" s="94" t="s">
        <v>66</v>
      </c>
      <c r="AI10" s="94" t="s">
        <v>66</v>
      </c>
      <c r="AJ10" s="96"/>
      <c r="AL10" s="54"/>
    </row>
    <row r="11" spans="1:39" x14ac:dyDescent="0.25">
      <c r="A11" s="96"/>
      <c r="B11" s="86" t="s">
        <v>22</v>
      </c>
      <c r="C11" s="87">
        <f t="shared" si="5"/>
        <v>-14</v>
      </c>
      <c r="D11" s="91">
        <f t="shared" si="6"/>
        <v>5.3215111317777208E-3</v>
      </c>
      <c r="E11" s="92" t="s">
        <v>66</v>
      </c>
      <c r="F11" s="92" t="s">
        <v>66</v>
      </c>
      <c r="G11" s="92">
        <v>-5</v>
      </c>
      <c r="H11" s="92" t="s">
        <v>66</v>
      </c>
      <c r="I11" s="92" t="s">
        <v>66</v>
      </c>
      <c r="J11" s="92" t="s">
        <v>66</v>
      </c>
      <c r="K11" s="92" t="s">
        <v>66</v>
      </c>
      <c r="L11" s="92" t="s">
        <v>66</v>
      </c>
      <c r="M11" s="92" t="s">
        <v>66</v>
      </c>
      <c r="N11" s="92" t="s">
        <v>66</v>
      </c>
      <c r="O11" s="92" t="s">
        <v>66</v>
      </c>
      <c r="P11" s="92" t="s">
        <v>66</v>
      </c>
      <c r="Q11" s="92" t="s">
        <v>66</v>
      </c>
      <c r="R11" s="92" t="s">
        <v>66</v>
      </c>
      <c r="S11" s="92" t="s">
        <v>66</v>
      </c>
      <c r="T11" s="92" t="s">
        <v>66</v>
      </c>
      <c r="U11" s="92" t="s">
        <v>66</v>
      </c>
      <c r="V11" s="92" t="s">
        <v>66</v>
      </c>
      <c r="W11" s="92" t="s">
        <v>66</v>
      </c>
      <c r="X11" s="92" t="s">
        <v>66</v>
      </c>
      <c r="Y11" s="92" t="s">
        <v>66</v>
      </c>
      <c r="Z11" s="92" t="s">
        <v>66</v>
      </c>
      <c r="AA11" s="92" t="s">
        <v>66</v>
      </c>
      <c r="AB11" s="92">
        <f>-5-2</f>
        <v>-7</v>
      </c>
      <c r="AC11" s="92">
        <v>-2</v>
      </c>
      <c r="AD11" s="92" t="s">
        <v>66</v>
      </c>
      <c r="AE11" s="92" t="s">
        <v>66</v>
      </c>
      <c r="AF11" s="92" t="s">
        <v>66</v>
      </c>
      <c r="AG11" s="92"/>
      <c r="AH11" s="92" t="s">
        <v>66</v>
      </c>
      <c r="AI11" s="92" t="s">
        <v>66</v>
      </c>
      <c r="AJ11" s="96"/>
      <c r="AL11" s="54"/>
    </row>
    <row r="12" spans="1:39" x14ac:dyDescent="0.25">
      <c r="A12" s="96"/>
      <c r="B12" s="86" t="s">
        <v>23</v>
      </c>
      <c r="C12" s="87">
        <f t="shared" si="5"/>
        <v>-20.3</v>
      </c>
      <c r="D12" s="93">
        <f t="shared" si="6"/>
        <v>7.7161911410776954E-3</v>
      </c>
      <c r="E12" s="94">
        <f>-5.8-5.5</f>
        <v>-11.3</v>
      </c>
      <c r="F12" s="94" t="s">
        <v>66</v>
      </c>
      <c r="G12" s="94" t="s">
        <v>66</v>
      </c>
      <c r="H12" s="94" t="s">
        <v>66</v>
      </c>
      <c r="I12" s="94" t="s">
        <v>66</v>
      </c>
      <c r="J12" s="94" t="s">
        <v>66</v>
      </c>
      <c r="K12" s="94" t="s">
        <v>66</v>
      </c>
      <c r="L12" s="94" t="s">
        <v>66</v>
      </c>
      <c r="M12" s="94" t="s">
        <v>66</v>
      </c>
      <c r="N12" s="94" t="s">
        <v>66</v>
      </c>
      <c r="O12" s="94" t="s">
        <v>66</v>
      </c>
      <c r="P12" s="94" t="s">
        <v>66</v>
      </c>
      <c r="Q12" s="94" t="s">
        <v>66</v>
      </c>
      <c r="R12" s="94" t="s">
        <v>66</v>
      </c>
      <c r="S12" s="94" t="s">
        <v>66</v>
      </c>
      <c r="T12" s="94" t="s">
        <v>66</v>
      </c>
      <c r="U12" s="94" t="s">
        <v>66</v>
      </c>
      <c r="V12" s="94" t="s">
        <v>66</v>
      </c>
      <c r="W12" s="94" t="s">
        <v>66</v>
      </c>
      <c r="X12" s="94" t="s">
        <v>66</v>
      </c>
      <c r="Y12" s="94" t="s">
        <v>66</v>
      </c>
      <c r="Z12" s="94">
        <v>-2</v>
      </c>
      <c r="AA12" s="94">
        <f>-5</f>
        <v>-5</v>
      </c>
      <c r="AB12" s="94" t="s">
        <v>66</v>
      </c>
      <c r="AC12" s="94">
        <v>-2</v>
      </c>
      <c r="AD12" s="94" t="s">
        <v>66</v>
      </c>
      <c r="AE12" s="94" t="s">
        <v>66</v>
      </c>
      <c r="AF12" s="94" t="s">
        <v>66</v>
      </c>
      <c r="AG12" s="94" t="s">
        <v>66</v>
      </c>
      <c r="AH12" s="94" t="s">
        <v>66</v>
      </c>
      <c r="AI12" s="94" t="s">
        <v>66</v>
      </c>
      <c r="AJ12" s="96"/>
    </row>
    <row r="13" spans="1:39" x14ac:dyDescent="0.25">
      <c r="A13" s="96"/>
      <c r="B13" s="86" t="s">
        <v>81</v>
      </c>
      <c r="C13" s="87">
        <f t="shared" si="5"/>
        <v>-20</v>
      </c>
      <c r="D13" s="91">
        <f t="shared" si="6"/>
        <v>7.6021587596824588E-3</v>
      </c>
      <c r="E13" s="92" t="s">
        <v>66</v>
      </c>
      <c r="F13" s="92" t="s">
        <v>66</v>
      </c>
      <c r="G13" s="92" t="s">
        <v>66</v>
      </c>
      <c r="H13" s="92" t="s">
        <v>66</v>
      </c>
      <c r="I13" s="92" t="s">
        <v>66</v>
      </c>
      <c r="J13" s="92" t="s">
        <v>66</v>
      </c>
      <c r="K13" s="92" t="s">
        <v>66</v>
      </c>
      <c r="L13" s="92" t="s">
        <v>66</v>
      </c>
      <c r="M13" s="92" t="s">
        <v>66</v>
      </c>
      <c r="N13" s="92" t="s">
        <v>66</v>
      </c>
      <c r="O13" s="92" t="s">
        <v>66</v>
      </c>
      <c r="P13" s="92">
        <v>-10</v>
      </c>
      <c r="Q13" s="92" t="s">
        <v>66</v>
      </c>
      <c r="R13" s="92" t="s">
        <v>66</v>
      </c>
      <c r="S13" s="92" t="s">
        <v>66</v>
      </c>
      <c r="T13" s="92" t="s">
        <v>66</v>
      </c>
      <c r="U13" s="92" t="s">
        <v>66</v>
      </c>
      <c r="V13" s="92" t="s">
        <v>66</v>
      </c>
      <c r="W13" s="92" t="s">
        <v>66</v>
      </c>
      <c r="X13" s="92" t="s">
        <v>66</v>
      </c>
      <c r="Y13" s="92" t="s">
        <v>66</v>
      </c>
      <c r="Z13" s="92" t="s">
        <v>66</v>
      </c>
      <c r="AA13" s="92" t="s">
        <v>66</v>
      </c>
      <c r="AB13" s="92" t="s">
        <v>66</v>
      </c>
      <c r="AC13" s="92" t="s">
        <v>66</v>
      </c>
      <c r="AD13" s="92">
        <v>-10</v>
      </c>
      <c r="AE13" s="92" t="s">
        <v>66</v>
      </c>
      <c r="AF13" s="92" t="s">
        <v>66</v>
      </c>
      <c r="AG13" s="92" t="s">
        <v>66</v>
      </c>
      <c r="AH13" s="92" t="s">
        <v>66</v>
      </c>
      <c r="AI13" s="92" t="s">
        <v>66</v>
      </c>
      <c r="AJ13" s="96"/>
    </row>
    <row r="14" spans="1:39" x14ac:dyDescent="0.25">
      <c r="A14" s="96"/>
      <c r="B14" s="86" t="s">
        <v>24</v>
      </c>
      <c r="C14" s="87">
        <f t="shared" si="5"/>
        <v>-169.41</v>
      </c>
      <c r="D14" s="93">
        <f t="shared" si="6"/>
        <v>6.4394085773890261E-2</v>
      </c>
      <c r="E14" s="94" t="s">
        <v>66</v>
      </c>
      <c r="F14" s="94">
        <v>-12.34</v>
      </c>
      <c r="G14" s="94" t="s">
        <v>66</v>
      </c>
      <c r="H14" s="94" t="s">
        <v>66</v>
      </c>
      <c r="I14" s="94">
        <v>-25</v>
      </c>
      <c r="J14" s="94">
        <v>-8.43</v>
      </c>
      <c r="K14" s="94" t="s">
        <v>66</v>
      </c>
      <c r="L14" s="94" t="s">
        <v>66</v>
      </c>
      <c r="M14" s="94">
        <f>-5.8-2.83</f>
        <v>-8.629999999999999</v>
      </c>
      <c r="N14" s="94" t="s">
        <v>66</v>
      </c>
      <c r="O14" s="94">
        <v>-2</v>
      </c>
      <c r="P14" s="94">
        <v>-25</v>
      </c>
      <c r="Q14" s="94" t="s">
        <v>66</v>
      </c>
      <c r="R14" s="94" t="s">
        <v>66</v>
      </c>
      <c r="S14" s="94">
        <v>-11.35</v>
      </c>
      <c r="T14" s="94" t="s">
        <v>66</v>
      </c>
      <c r="U14" s="94" t="s">
        <v>66</v>
      </c>
      <c r="V14" s="133" t="s">
        <v>66</v>
      </c>
      <c r="W14" s="94">
        <v>-17.86</v>
      </c>
      <c r="X14" s="94">
        <v>-1.37</v>
      </c>
      <c r="Y14" s="94" t="s">
        <v>66</v>
      </c>
      <c r="Z14" s="94">
        <v>-8.9</v>
      </c>
      <c r="AA14" s="94">
        <v>-5.36</v>
      </c>
      <c r="AB14" s="94" t="s">
        <v>66</v>
      </c>
      <c r="AC14" s="94">
        <v>-3</v>
      </c>
      <c r="AD14" s="94">
        <v>-25.64</v>
      </c>
      <c r="AE14" s="94" t="s">
        <v>66</v>
      </c>
      <c r="AF14" s="94" t="s">
        <v>66</v>
      </c>
      <c r="AG14" s="94">
        <v>-6.9</v>
      </c>
      <c r="AH14" s="94"/>
      <c r="AI14" s="94">
        <v>-7.63</v>
      </c>
      <c r="AJ14" s="96"/>
    </row>
    <row r="15" spans="1:39" x14ac:dyDescent="0.25">
      <c r="A15" s="96"/>
      <c r="B15" s="86" t="s">
        <v>27</v>
      </c>
      <c r="C15" s="87">
        <f t="shared" si="5"/>
        <v>-1.79</v>
      </c>
      <c r="D15" s="91">
        <f t="shared" si="6"/>
        <v>6.8039320899158007E-4</v>
      </c>
      <c r="E15" s="92" t="s">
        <v>66</v>
      </c>
      <c r="F15" s="92" t="s">
        <v>67</v>
      </c>
      <c r="G15" s="92" t="s">
        <v>66</v>
      </c>
      <c r="H15" s="92" t="s">
        <v>66</v>
      </c>
      <c r="I15" s="92" t="s">
        <v>66</v>
      </c>
      <c r="J15" s="92" t="s">
        <v>66</v>
      </c>
      <c r="K15" s="92" t="s">
        <v>66</v>
      </c>
      <c r="L15" s="92" t="s">
        <v>66</v>
      </c>
      <c r="M15" s="92" t="s">
        <v>77</v>
      </c>
      <c r="N15" s="92" t="s">
        <v>66</v>
      </c>
      <c r="O15" s="92" t="s">
        <v>66</v>
      </c>
      <c r="P15" s="92" t="s">
        <v>66</v>
      </c>
      <c r="Q15" s="92" t="s">
        <v>66</v>
      </c>
      <c r="R15" s="92" t="s">
        <v>66</v>
      </c>
      <c r="S15" s="92" t="s">
        <v>66</v>
      </c>
      <c r="T15" s="92" t="s">
        <v>68</v>
      </c>
      <c r="U15" s="92" t="s">
        <v>66</v>
      </c>
      <c r="V15" s="92" t="s">
        <v>66</v>
      </c>
      <c r="W15" s="92" t="s">
        <v>66</v>
      </c>
      <c r="X15" s="92" t="s">
        <v>66</v>
      </c>
      <c r="Y15" s="92" t="s">
        <v>66</v>
      </c>
      <c r="Z15" s="92">
        <v>-1.79</v>
      </c>
      <c r="AA15" s="92" t="s">
        <v>67</v>
      </c>
      <c r="AB15" s="92" t="s">
        <v>66</v>
      </c>
      <c r="AC15" s="92" t="s">
        <v>66</v>
      </c>
      <c r="AD15" s="92" t="s">
        <v>66</v>
      </c>
      <c r="AE15" s="92" t="s">
        <v>66</v>
      </c>
      <c r="AF15" s="92" t="s">
        <v>66</v>
      </c>
      <c r="AG15" s="92" t="s">
        <v>66</v>
      </c>
      <c r="AH15" s="92" t="s">
        <v>77</v>
      </c>
      <c r="AI15" s="92" t="s">
        <v>66</v>
      </c>
      <c r="AJ15" s="96"/>
    </row>
    <row r="16" spans="1:39" x14ac:dyDescent="0.25">
      <c r="A16" s="96"/>
      <c r="B16" s="86" t="s">
        <v>28</v>
      </c>
      <c r="C16" s="87">
        <f t="shared" si="5"/>
        <v>-8</v>
      </c>
      <c r="D16" s="93">
        <f t="shared" si="6"/>
        <v>3.0408635038729833E-3</v>
      </c>
      <c r="E16" s="94" t="s">
        <v>66</v>
      </c>
      <c r="F16" s="94" t="s">
        <v>66</v>
      </c>
      <c r="G16" s="94" t="s">
        <v>66</v>
      </c>
      <c r="H16" s="94" t="s">
        <v>66</v>
      </c>
      <c r="I16" s="94" t="s">
        <v>66</v>
      </c>
      <c r="J16" s="94" t="s">
        <v>66</v>
      </c>
      <c r="K16" s="94" t="s">
        <v>66</v>
      </c>
      <c r="L16" s="94" t="s">
        <v>66</v>
      </c>
      <c r="M16" s="94" t="s">
        <v>66</v>
      </c>
      <c r="N16" s="94" t="s">
        <v>66</v>
      </c>
      <c r="O16" s="94" t="s">
        <v>66</v>
      </c>
      <c r="P16" s="94" t="s">
        <v>66</v>
      </c>
      <c r="Q16" s="94" t="s">
        <v>66</v>
      </c>
      <c r="R16" s="94" t="s">
        <v>66</v>
      </c>
      <c r="S16" s="94" t="s">
        <v>66</v>
      </c>
      <c r="T16" s="94" t="s">
        <v>66</v>
      </c>
      <c r="U16" s="94" t="s">
        <v>66</v>
      </c>
      <c r="V16" s="94">
        <v>-8</v>
      </c>
      <c r="W16" s="94" t="s">
        <v>66</v>
      </c>
      <c r="X16" s="94" t="s">
        <v>66</v>
      </c>
      <c r="Y16" s="94" t="s">
        <v>66</v>
      </c>
      <c r="Z16" s="94" t="s">
        <v>66</v>
      </c>
      <c r="AA16" s="94" t="s">
        <v>66</v>
      </c>
      <c r="AB16" s="94" t="s">
        <v>66</v>
      </c>
      <c r="AC16" s="94" t="s">
        <v>66</v>
      </c>
      <c r="AD16" s="94" t="s">
        <v>66</v>
      </c>
      <c r="AE16" s="94" t="s">
        <v>66</v>
      </c>
      <c r="AF16" s="94" t="s">
        <v>66</v>
      </c>
      <c r="AG16" s="94" t="s">
        <v>66</v>
      </c>
      <c r="AH16" s="94" t="s">
        <v>66</v>
      </c>
      <c r="AI16" s="94" t="s">
        <v>66</v>
      </c>
      <c r="AJ16" s="96"/>
    </row>
    <row r="17" spans="1:39" x14ac:dyDescent="0.25">
      <c r="A17" s="96"/>
      <c r="B17" s="86" t="s">
        <v>89</v>
      </c>
      <c r="C17" s="87">
        <f t="shared" si="5"/>
        <v>-25</v>
      </c>
      <c r="D17" s="91">
        <f t="shared" si="6"/>
        <v>9.5026984496030722E-3</v>
      </c>
      <c r="E17" s="92" t="s">
        <v>66</v>
      </c>
      <c r="F17" s="92">
        <v>-5</v>
      </c>
      <c r="G17" s="92" t="s">
        <v>66</v>
      </c>
      <c r="H17" s="92" t="s">
        <v>66</v>
      </c>
      <c r="I17" s="92" t="s">
        <v>66</v>
      </c>
      <c r="J17" s="92" t="s">
        <v>66</v>
      </c>
      <c r="K17" s="92" t="s">
        <v>66</v>
      </c>
      <c r="L17" s="92">
        <v>-5</v>
      </c>
      <c r="M17" s="92" t="s">
        <v>66</v>
      </c>
      <c r="N17" s="92" t="s">
        <v>66</v>
      </c>
      <c r="O17" s="92" t="s">
        <v>66</v>
      </c>
      <c r="P17" s="92">
        <v>-5</v>
      </c>
      <c r="Q17" s="92" t="s">
        <v>66</v>
      </c>
      <c r="R17" s="92" t="s">
        <v>66</v>
      </c>
      <c r="S17" s="92" t="s">
        <v>66</v>
      </c>
      <c r="T17" s="92" t="s">
        <v>66</v>
      </c>
      <c r="U17" s="92" t="s">
        <v>66</v>
      </c>
      <c r="V17" s="92" t="s">
        <v>66</v>
      </c>
      <c r="W17" s="92">
        <v>-5</v>
      </c>
      <c r="X17" s="92" t="s">
        <v>66</v>
      </c>
      <c r="Y17" s="92" t="s">
        <v>66</v>
      </c>
      <c r="Z17" s="92" t="s">
        <v>66</v>
      </c>
      <c r="AA17" s="92" t="s">
        <v>66</v>
      </c>
      <c r="AB17" s="92" t="s">
        <v>66</v>
      </c>
      <c r="AC17" s="92" t="s">
        <v>66</v>
      </c>
      <c r="AD17" s="92" t="s">
        <v>66</v>
      </c>
      <c r="AE17" s="92" t="s">
        <v>66</v>
      </c>
      <c r="AF17" s="92" t="s">
        <v>66</v>
      </c>
      <c r="AG17" s="92" t="s">
        <v>66</v>
      </c>
      <c r="AH17" s="92">
        <v>-5</v>
      </c>
      <c r="AI17" s="92" t="s">
        <v>66</v>
      </c>
      <c r="AJ17" s="96"/>
    </row>
    <row r="18" spans="1:39" x14ac:dyDescent="0.25">
      <c r="A18" s="96"/>
      <c r="B18" s="86" t="s">
        <v>29</v>
      </c>
      <c r="C18" s="87">
        <f t="shared" si="5"/>
        <v>-76.89</v>
      </c>
      <c r="D18" s="93">
        <f t="shared" si="6"/>
        <v>2.9226499351599211E-2</v>
      </c>
      <c r="E18" s="94" t="s">
        <v>66</v>
      </c>
      <c r="F18" s="94" t="s">
        <v>66</v>
      </c>
      <c r="G18" s="94" t="s">
        <v>66</v>
      </c>
      <c r="H18" s="94" t="s">
        <v>66</v>
      </c>
      <c r="I18" s="94" t="s">
        <v>66</v>
      </c>
      <c r="J18" s="94" t="s">
        <v>66</v>
      </c>
      <c r="K18" s="94" t="s">
        <v>66</v>
      </c>
      <c r="L18" s="94">
        <v>-26.9</v>
      </c>
      <c r="M18" s="94" t="s">
        <v>66</v>
      </c>
      <c r="N18" s="94" t="s">
        <v>66</v>
      </c>
      <c r="O18" s="94" t="s">
        <v>66</v>
      </c>
      <c r="P18" s="94" t="s">
        <v>66</v>
      </c>
      <c r="Q18" s="94" t="s">
        <v>66</v>
      </c>
      <c r="R18" s="94" t="s">
        <v>66</v>
      </c>
      <c r="S18" s="94" t="s">
        <v>66</v>
      </c>
      <c r="T18" s="94" t="s">
        <v>66</v>
      </c>
      <c r="U18" s="94" t="s">
        <v>66</v>
      </c>
      <c r="V18" s="94" t="s">
        <v>66</v>
      </c>
      <c r="W18" s="94" t="s">
        <v>66</v>
      </c>
      <c r="X18" s="94" t="s">
        <v>66</v>
      </c>
      <c r="Y18" s="94" t="s">
        <v>66</v>
      </c>
      <c r="Z18" s="94" t="s">
        <v>66</v>
      </c>
      <c r="AA18" s="94" t="s">
        <v>66</v>
      </c>
      <c r="AB18" s="94" t="s">
        <v>66</v>
      </c>
      <c r="AC18" s="94" t="s">
        <v>66</v>
      </c>
      <c r="AD18" s="94" t="s">
        <v>66</v>
      </c>
      <c r="AE18" s="94" t="s">
        <v>66</v>
      </c>
      <c r="AF18" s="94" t="s">
        <v>66</v>
      </c>
      <c r="AG18" s="94" t="s">
        <v>66</v>
      </c>
      <c r="AH18" s="94" t="s">
        <v>66</v>
      </c>
      <c r="AI18" s="94">
        <v>-49.99</v>
      </c>
      <c r="AJ18" s="96"/>
    </row>
    <row r="19" spans="1:39" x14ac:dyDescent="0.25">
      <c r="A19" s="96"/>
      <c r="B19" s="86" t="s">
        <v>31</v>
      </c>
      <c r="C19" s="87">
        <f t="shared" si="5"/>
        <v>-206.4</v>
      </c>
      <c r="D19" s="91">
        <f t="shared" si="6"/>
        <v>7.8454278399922972E-2</v>
      </c>
      <c r="E19" s="92">
        <v>-206.4</v>
      </c>
      <c r="F19" s="92" t="s">
        <v>66</v>
      </c>
      <c r="G19" s="92" t="s">
        <v>66</v>
      </c>
      <c r="H19" s="92" t="s">
        <v>66</v>
      </c>
      <c r="I19" s="92" t="s">
        <v>66</v>
      </c>
      <c r="J19" s="92" t="s">
        <v>66</v>
      </c>
      <c r="K19" s="92" t="s">
        <v>66</v>
      </c>
      <c r="L19" s="92" t="s">
        <v>66</v>
      </c>
      <c r="M19" s="92" t="s">
        <v>66</v>
      </c>
      <c r="N19" s="92" t="s">
        <v>66</v>
      </c>
      <c r="O19" s="92" t="s">
        <v>66</v>
      </c>
      <c r="P19" s="92" t="s">
        <v>66</v>
      </c>
      <c r="Q19" s="92" t="s">
        <v>66</v>
      </c>
      <c r="R19" s="92" t="s">
        <v>66</v>
      </c>
      <c r="S19" s="92" t="s">
        <v>66</v>
      </c>
      <c r="T19" s="92" t="s">
        <v>66</v>
      </c>
      <c r="U19" s="92" t="s">
        <v>66</v>
      </c>
      <c r="V19" s="92" t="s">
        <v>66</v>
      </c>
      <c r="W19" s="92" t="s">
        <v>66</v>
      </c>
      <c r="X19" s="92" t="s">
        <v>66</v>
      </c>
      <c r="Y19" s="92" t="s">
        <v>66</v>
      </c>
      <c r="Z19" s="92" t="s">
        <v>66</v>
      </c>
      <c r="AA19" s="92" t="s">
        <v>66</v>
      </c>
      <c r="AB19" s="92" t="s">
        <v>66</v>
      </c>
      <c r="AC19" s="92" t="s">
        <v>66</v>
      </c>
      <c r="AD19" s="92" t="s">
        <v>66</v>
      </c>
      <c r="AE19" s="92" t="s">
        <v>66</v>
      </c>
      <c r="AF19" s="92" t="s">
        <v>66</v>
      </c>
      <c r="AG19" s="92" t="s">
        <v>66</v>
      </c>
      <c r="AH19" s="92" t="s">
        <v>66</v>
      </c>
      <c r="AI19" s="92" t="s">
        <v>66</v>
      </c>
      <c r="AJ19" s="96"/>
    </row>
    <row r="20" spans="1:39" x14ac:dyDescent="0.25">
      <c r="A20" s="96"/>
      <c r="B20" s="86" t="s">
        <v>32</v>
      </c>
      <c r="C20" s="87">
        <f t="shared" si="5"/>
        <v>-135</v>
      </c>
      <c r="D20" s="93">
        <f t="shared" si="6"/>
        <v>5.1314571627856596E-2</v>
      </c>
      <c r="E20" s="94">
        <v>-135</v>
      </c>
      <c r="F20" s="94" t="s">
        <v>66</v>
      </c>
      <c r="G20" s="94" t="s">
        <v>66</v>
      </c>
      <c r="H20" s="94" t="s">
        <v>66</v>
      </c>
      <c r="I20" s="94" t="s">
        <v>66</v>
      </c>
      <c r="J20" s="94" t="s">
        <v>66</v>
      </c>
      <c r="K20" s="94" t="s">
        <v>66</v>
      </c>
      <c r="L20" s="94" t="s">
        <v>66</v>
      </c>
      <c r="M20" s="94" t="s">
        <v>66</v>
      </c>
      <c r="N20" s="94" t="s">
        <v>66</v>
      </c>
      <c r="O20" s="94" t="s">
        <v>66</v>
      </c>
      <c r="P20" s="94" t="s">
        <v>66</v>
      </c>
      <c r="Q20" s="94" t="s">
        <v>66</v>
      </c>
      <c r="R20" s="94" t="s">
        <v>66</v>
      </c>
      <c r="S20" s="94" t="s">
        <v>66</v>
      </c>
      <c r="T20" s="94" t="s">
        <v>66</v>
      </c>
      <c r="U20" s="94" t="s">
        <v>66</v>
      </c>
      <c r="V20" s="94" t="s">
        <v>66</v>
      </c>
      <c r="W20" s="94" t="s">
        <v>66</v>
      </c>
      <c r="X20" s="94" t="s">
        <v>66</v>
      </c>
      <c r="Y20" s="94" t="s">
        <v>66</v>
      </c>
      <c r="Z20" s="94" t="s">
        <v>66</v>
      </c>
      <c r="AA20" s="94" t="s">
        <v>66</v>
      </c>
      <c r="AB20" s="94" t="s">
        <v>66</v>
      </c>
      <c r="AC20" s="94" t="s">
        <v>66</v>
      </c>
      <c r="AD20" s="94" t="s">
        <v>66</v>
      </c>
      <c r="AE20" s="94" t="s">
        <v>66</v>
      </c>
      <c r="AF20" s="94" t="s">
        <v>66</v>
      </c>
      <c r="AG20" s="94" t="s">
        <v>66</v>
      </c>
      <c r="AH20" s="94" t="s">
        <v>66</v>
      </c>
      <c r="AI20" s="94" t="s">
        <v>66</v>
      </c>
      <c r="AJ20" s="96"/>
    </row>
    <row r="21" spans="1:39" ht="15.75" customHeight="1" x14ac:dyDescent="0.25">
      <c r="A21" s="96"/>
      <c r="B21" s="86" t="s">
        <v>33</v>
      </c>
      <c r="C21" s="87">
        <f t="shared" si="5"/>
        <v>-126.41</v>
      </c>
      <c r="D21" s="91">
        <f t="shared" si="6"/>
        <v>4.8049444440572978E-2</v>
      </c>
      <c r="E21" s="92">
        <v>-11.77</v>
      </c>
      <c r="F21" s="92" t="s">
        <v>66</v>
      </c>
      <c r="G21" s="92">
        <v>-36.92</v>
      </c>
      <c r="H21" s="92">
        <v>-20</v>
      </c>
      <c r="I21" s="92" t="s">
        <v>66</v>
      </c>
      <c r="J21" s="92" t="s">
        <v>66</v>
      </c>
      <c r="K21" s="92" t="s">
        <v>66</v>
      </c>
      <c r="L21" s="92" t="s">
        <v>66</v>
      </c>
      <c r="M21" s="92" t="s">
        <v>66</v>
      </c>
      <c r="N21" s="92" t="s">
        <v>66</v>
      </c>
      <c r="O21" s="92" t="s">
        <v>66</v>
      </c>
      <c r="P21" s="92" t="s">
        <v>66</v>
      </c>
      <c r="Q21" s="92" t="s">
        <v>66</v>
      </c>
      <c r="R21" s="92" t="s">
        <v>66</v>
      </c>
      <c r="S21" s="92" t="s">
        <v>66</v>
      </c>
      <c r="T21" s="92">
        <v>-7.61</v>
      </c>
      <c r="U21" s="92" t="s">
        <v>66</v>
      </c>
      <c r="V21" s="92">
        <v>-7.8</v>
      </c>
      <c r="W21" s="92">
        <v>-15.17</v>
      </c>
      <c r="X21" s="92" t="s">
        <v>66</v>
      </c>
      <c r="Y21" s="92" t="s">
        <v>66</v>
      </c>
      <c r="Z21" s="92" t="s">
        <v>66</v>
      </c>
      <c r="AA21" s="92" t="s">
        <v>66</v>
      </c>
      <c r="AB21" s="92" t="s">
        <v>66</v>
      </c>
      <c r="AC21" s="92">
        <v>-14.2</v>
      </c>
      <c r="AD21" s="92">
        <v>-12.94</v>
      </c>
      <c r="AE21" s="92" t="s">
        <v>66</v>
      </c>
      <c r="AF21" s="92" t="s">
        <v>66</v>
      </c>
      <c r="AG21" s="92" t="s">
        <v>66</v>
      </c>
      <c r="AH21" s="92" t="s">
        <v>66</v>
      </c>
      <c r="AI21" s="92" t="s">
        <v>66</v>
      </c>
      <c r="AJ21" s="96"/>
    </row>
    <row r="22" spans="1:39" ht="15.75" customHeight="1" x14ac:dyDescent="0.25">
      <c r="A22" s="96"/>
      <c r="B22" s="86" t="s">
        <v>94</v>
      </c>
      <c r="C22" s="87">
        <f t="shared" si="5"/>
        <v>0</v>
      </c>
      <c r="D22" s="93">
        <f t="shared" si="6"/>
        <v>0</v>
      </c>
      <c r="E22" s="94" t="s">
        <v>66</v>
      </c>
      <c r="F22" s="94" t="s">
        <v>66</v>
      </c>
      <c r="G22" s="94" t="s">
        <v>66</v>
      </c>
      <c r="H22" s="94" t="s">
        <v>66</v>
      </c>
      <c r="I22" s="94" t="s">
        <v>66</v>
      </c>
      <c r="J22" s="94" t="s">
        <v>66</v>
      </c>
      <c r="K22" s="94" t="s">
        <v>66</v>
      </c>
      <c r="L22" s="94" t="s">
        <v>66</v>
      </c>
      <c r="M22" s="94" t="s">
        <v>66</v>
      </c>
      <c r="N22" s="94" t="s">
        <v>66</v>
      </c>
      <c r="O22" s="94" t="s">
        <v>66</v>
      </c>
      <c r="P22" s="94" t="s">
        <v>66</v>
      </c>
      <c r="Q22" s="94" t="s">
        <v>66</v>
      </c>
      <c r="R22" s="94" t="s">
        <v>66</v>
      </c>
      <c r="S22" s="94" t="s">
        <v>66</v>
      </c>
      <c r="T22" s="94" t="s">
        <v>66</v>
      </c>
      <c r="U22" s="94" t="s">
        <v>66</v>
      </c>
      <c r="V22" s="94" t="s">
        <v>66</v>
      </c>
      <c r="W22" s="94" t="s">
        <v>66</v>
      </c>
      <c r="X22" s="94" t="s">
        <v>66</v>
      </c>
      <c r="Y22" s="94" t="s">
        <v>66</v>
      </c>
      <c r="Z22" s="94" t="s">
        <v>66</v>
      </c>
      <c r="AA22" s="94" t="s">
        <v>66</v>
      </c>
      <c r="AB22" s="94" t="s">
        <v>66</v>
      </c>
      <c r="AC22" s="94" t="s">
        <v>66</v>
      </c>
      <c r="AD22" s="94" t="s">
        <v>66</v>
      </c>
      <c r="AE22" s="94" t="s">
        <v>66</v>
      </c>
      <c r="AF22" s="94" t="s">
        <v>66</v>
      </c>
      <c r="AG22" s="94" t="s">
        <v>66</v>
      </c>
      <c r="AH22" s="94" t="s">
        <v>66</v>
      </c>
      <c r="AI22" s="94" t="s">
        <v>66</v>
      </c>
      <c r="AJ22" s="96"/>
    </row>
    <row r="23" spans="1:39" ht="15.75" customHeight="1" x14ac:dyDescent="0.25">
      <c r="A23" s="96"/>
      <c r="B23" s="86" t="s">
        <v>34</v>
      </c>
      <c r="C23" s="87">
        <f t="shared" si="5"/>
        <v>0</v>
      </c>
      <c r="D23" s="91">
        <f t="shared" si="6"/>
        <v>0</v>
      </c>
      <c r="E23" s="92" t="s">
        <v>66</v>
      </c>
      <c r="F23" s="92" t="s">
        <v>66</v>
      </c>
      <c r="G23" s="92" t="s">
        <v>66</v>
      </c>
      <c r="H23" s="92" t="s">
        <v>66</v>
      </c>
      <c r="I23" s="92" t="s">
        <v>66</v>
      </c>
      <c r="J23" s="92" t="s">
        <v>66</v>
      </c>
      <c r="K23" s="92" t="s">
        <v>66</v>
      </c>
      <c r="L23" s="92" t="s">
        <v>66</v>
      </c>
      <c r="M23" s="92" t="s">
        <v>66</v>
      </c>
      <c r="N23" s="92" t="s">
        <v>66</v>
      </c>
      <c r="O23" s="92" t="s">
        <v>66</v>
      </c>
      <c r="P23" s="92" t="s">
        <v>66</v>
      </c>
      <c r="Q23" s="92" t="s">
        <v>66</v>
      </c>
      <c r="R23" s="92" t="s">
        <v>66</v>
      </c>
      <c r="S23" s="92" t="s">
        <v>66</v>
      </c>
      <c r="T23" s="92" t="s">
        <v>66</v>
      </c>
      <c r="U23" s="92" t="s">
        <v>66</v>
      </c>
      <c r="V23" s="92" t="s">
        <v>66</v>
      </c>
      <c r="W23" s="92" t="s">
        <v>66</v>
      </c>
      <c r="X23" s="92" t="s">
        <v>66</v>
      </c>
      <c r="Y23" s="92" t="s">
        <v>66</v>
      </c>
      <c r="Z23" s="92" t="s">
        <v>66</v>
      </c>
      <c r="AA23" s="92" t="s">
        <v>66</v>
      </c>
      <c r="AB23" s="92" t="s">
        <v>66</v>
      </c>
      <c r="AC23" s="92" t="s">
        <v>66</v>
      </c>
      <c r="AD23" s="92" t="s">
        <v>66</v>
      </c>
      <c r="AE23" s="92" t="s">
        <v>66</v>
      </c>
      <c r="AF23" s="92" t="s">
        <v>66</v>
      </c>
      <c r="AG23" s="92" t="s">
        <v>66</v>
      </c>
      <c r="AH23" s="92" t="s">
        <v>66</v>
      </c>
      <c r="AI23" s="92" t="s">
        <v>66</v>
      </c>
      <c r="AJ23" s="96"/>
      <c r="AL23" s="86"/>
      <c r="AM23" s="95"/>
    </row>
    <row r="24" spans="1:39" ht="15.75" customHeight="1" x14ac:dyDescent="0.25">
      <c r="A24" s="96"/>
      <c r="B24" s="86" t="s">
        <v>35</v>
      </c>
      <c r="C24" s="87">
        <f t="shared" si="5"/>
        <v>0</v>
      </c>
      <c r="D24" s="93">
        <f t="shared" si="6"/>
        <v>0</v>
      </c>
      <c r="E24" s="94" t="s">
        <v>66</v>
      </c>
      <c r="F24" s="94" t="s">
        <v>66</v>
      </c>
      <c r="G24" s="94" t="s">
        <v>66</v>
      </c>
      <c r="H24" s="94" t="s">
        <v>66</v>
      </c>
      <c r="I24" s="94" t="s">
        <v>66</v>
      </c>
      <c r="J24" s="94" t="s">
        <v>66</v>
      </c>
      <c r="K24" s="94" t="s">
        <v>66</v>
      </c>
      <c r="L24" s="94" t="s">
        <v>66</v>
      </c>
      <c r="M24" s="94" t="s">
        <v>66</v>
      </c>
      <c r="N24" s="94" t="s">
        <v>66</v>
      </c>
      <c r="O24" s="94" t="s">
        <v>66</v>
      </c>
      <c r="P24" s="94" t="s">
        <v>66</v>
      </c>
      <c r="Q24" s="94" t="s">
        <v>66</v>
      </c>
      <c r="R24" s="94" t="s">
        <v>66</v>
      </c>
      <c r="S24" s="94" t="s">
        <v>66</v>
      </c>
      <c r="T24" s="94" t="s">
        <v>66</v>
      </c>
      <c r="U24" s="94" t="s">
        <v>66</v>
      </c>
      <c r="V24" s="94" t="s">
        <v>66</v>
      </c>
      <c r="W24" s="94" t="s">
        <v>66</v>
      </c>
      <c r="X24" s="94" t="s">
        <v>66</v>
      </c>
      <c r="Y24" s="94" t="s">
        <v>66</v>
      </c>
      <c r="Z24" s="94" t="s">
        <v>66</v>
      </c>
      <c r="AA24" s="94" t="s">
        <v>66</v>
      </c>
      <c r="AB24" s="94" t="s">
        <v>66</v>
      </c>
      <c r="AC24" s="94" t="s">
        <v>66</v>
      </c>
      <c r="AD24" s="94" t="s">
        <v>66</v>
      </c>
      <c r="AE24" s="94" t="s">
        <v>66</v>
      </c>
      <c r="AF24" s="94" t="s">
        <v>66</v>
      </c>
      <c r="AG24" s="94" t="s">
        <v>66</v>
      </c>
      <c r="AH24" s="94" t="s">
        <v>66</v>
      </c>
      <c r="AI24" s="94" t="s">
        <v>66</v>
      </c>
      <c r="AJ24" s="96"/>
    </row>
    <row r="25" spans="1:39" ht="15.75" customHeight="1" x14ac:dyDescent="0.25">
      <c r="A25" s="96"/>
      <c r="B25" s="86" t="s">
        <v>36</v>
      </c>
      <c r="C25" s="87">
        <f t="shared" si="5"/>
        <v>0</v>
      </c>
      <c r="D25" s="91">
        <f t="shared" si="6"/>
        <v>0</v>
      </c>
      <c r="E25" s="92" t="s">
        <v>66</v>
      </c>
      <c r="F25" s="92" t="s">
        <v>66</v>
      </c>
      <c r="G25" s="92" t="s">
        <v>66</v>
      </c>
      <c r="H25" s="92" t="s">
        <v>66</v>
      </c>
      <c r="I25" s="92" t="s">
        <v>66</v>
      </c>
      <c r="J25" s="92" t="s">
        <v>66</v>
      </c>
      <c r="K25" s="92" t="s">
        <v>66</v>
      </c>
      <c r="L25" s="92" t="s">
        <v>66</v>
      </c>
      <c r="M25" s="92" t="s">
        <v>66</v>
      </c>
      <c r="N25" s="92" t="s">
        <v>66</v>
      </c>
      <c r="O25" s="92" t="s">
        <v>66</v>
      </c>
      <c r="P25" s="92" t="s">
        <v>66</v>
      </c>
      <c r="Q25" s="92" t="s">
        <v>66</v>
      </c>
      <c r="R25" s="92" t="s">
        <v>66</v>
      </c>
      <c r="S25" s="92" t="s">
        <v>66</v>
      </c>
      <c r="T25" s="92" t="s">
        <v>66</v>
      </c>
      <c r="U25" s="92" t="s">
        <v>66</v>
      </c>
      <c r="V25" s="92" t="s">
        <v>66</v>
      </c>
      <c r="W25" s="92" t="s">
        <v>66</v>
      </c>
      <c r="X25" s="92" t="s">
        <v>66</v>
      </c>
      <c r="Y25" s="92" t="s">
        <v>66</v>
      </c>
      <c r="Z25" s="92" t="s">
        <v>66</v>
      </c>
      <c r="AA25" s="92" t="s">
        <v>66</v>
      </c>
      <c r="AB25" s="92" t="s">
        <v>66</v>
      </c>
      <c r="AC25" s="92" t="s">
        <v>66</v>
      </c>
      <c r="AD25" s="92" t="s">
        <v>66</v>
      </c>
      <c r="AE25" s="92" t="s">
        <v>66</v>
      </c>
      <c r="AF25" s="92" t="s">
        <v>66</v>
      </c>
      <c r="AG25" s="92" t="s">
        <v>66</v>
      </c>
      <c r="AH25" s="92" t="s">
        <v>66</v>
      </c>
      <c r="AI25" s="92" t="s">
        <v>66</v>
      </c>
      <c r="AJ25" s="96"/>
    </row>
    <row r="26" spans="1:39" ht="15.75" customHeight="1" x14ac:dyDescent="0.25">
      <c r="A26" s="96"/>
      <c r="B26" s="86" t="s">
        <v>39</v>
      </c>
      <c r="C26" s="87">
        <f t="shared" si="5"/>
        <v>-367.59</v>
      </c>
      <c r="D26" s="93">
        <f t="shared" si="6"/>
        <v>0.13972387692358373</v>
      </c>
      <c r="E26" s="94" t="s">
        <v>66</v>
      </c>
      <c r="F26" s="94">
        <v>-325</v>
      </c>
      <c r="G26" s="94" t="s">
        <v>66</v>
      </c>
      <c r="H26" s="94" t="s">
        <v>66</v>
      </c>
      <c r="I26" s="94" t="s">
        <v>66</v>
      </c>
      <c r="J26" s="94" t="s">
        <v>66</v>
      </c>
      <c r="K26" s="94" t="s">
        <v>66</v>
      </c>
      <c r="L26" s="94" t="s">
        <v>66</v>
      </c>
      <c r="M26" s="94" t="s">
        <v>66</v>
      </c>
      <c r="N26" s="94" t="s">
        <v>66</v>
      </c>
      <c r="O26" s="94" t="s">
        <v>66</v>
      </c>
      <c r="P26" s="94">
        <v>-7.9</v>
      </c>
      <c r="Q26" s="94">
        <v>-34.69</v>
      </c>
      <c r="R26" s="94" t="s">
        <v>66</v>
      </c>
      <c r="S26" s="94" t="s">
        <v>66</v>
      </c>
      <c r="T26" s="94" t="s">
        <v>66</v>
      </c>
      <c r="U26" s="94" t="s">
        <v>66</v>
      </c>
      <c r="V26" s="94" t="s">
        <v>66</v>
      </c>
      <c r="W26" s="94" t="s">
        <v>66</v>
      </c>
      <c r="X26" s="94" t="s">
        <v>66</v>
      </c>
      <c r="Y26" s="94" t="s">
        <v>66</v>
      </c>
      <c r="Z26" s="94" t="s">
        <v>66</v>
      </c>
      <c r="AA26" s="94" t="s">
        <v>66</v>
      </c>
      <c r="AB26" s="94" t="s">
        <v>66</v>
      </c>
      <c r="AC26" s="94" t="s">
        <v>66</v>
      </c>
      <c r="AD26" s="94" t="s">
        <v>66</v>
      </c>
      <c r="AE26" s="94" t="s">
        <v>66</v>
      </c>
      <c r="AF26" s="94" t="s">
        <v>66</v>
      </c>
      <c r="AG26" s="94" t="s">
        <v>66</v>
      </c>
      <c r="AH26" s="94" t="s">
        <v>66</v>
      </c>
      <c r="AI26" s="94" t="s">
        <v>66</v>
      </c>
      <c r="AJ26" s="96"/>
    </row>
    <row r="27" spans="1:39" ht="15.75" customHeight="1" x14ac:dyDescent="0.25">
      <c r="A27" s="96"/>
      <c r="B27" s="86" t="s">
        <v>40</v>
      </c>
      <c r="C27" s="87">
        <f t="shared" si="5"/>
        <v>0</v>
      </c>
      <c r="D27" s="91">
        <f t="shared" si="6"/>
        <v>0</v>
      </c>
      <c r="E27" s="92" t="s">
        <v>66</v>
      </c>
      <c r="F27" s="92" t="s">
        <v>66</v>
      </c>
      <c r="G27" s="92" t="s">
        <v>66</v>
      </c>
      <c r="H27" s="92" t="s">
        <v>66</v>
      </c>
      <c r="I27" s="92" t="s">
        <v>66</v>
      </c>
      <c r="J27" s="92" t="s">
        <v>66</v>
      </c>
      <c r="K27" s="92" t="s">
        <v>66</v>
      </c>
      <c r="L27" s="92" t="s">
        <v>66</v>
      </c>
      <c r="M27" s="92" t="s">
        <v>66</v>
      </c>
      <c r="N27" s="92" t="s">
        <v>66</v>
      </c>
      <c r="O27" s="92" t="s">
        <v>66</v>
      </c>
      <c r="P27" s="92" t="s">
        <v>66</v>
      </c>
      <c r="Q27" s="92" t="s">
        <v>66</v>
      </c>
      <c r="R27" s="92" t="s">
        <v>66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 t="s">
        <v>66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2" t="s">
        <v>66</v>
      </c>
      <c r="AJ27" s="96"/>
    </row>
    <row r="28" spans="1:39" ht="15.75" customHeight="1" x14ac:dyDescent="0.25">
      <c r="A28" s="96"/>
      <c r="B28" s="86" t="s">
        <v>41</v>
      </c>
      <c r="C28" s="87">
        <f t="shared" si="5"/>
        <v>-350</v>
      </c>
      <c r="D28" s="93">
        <f t="shared" si="6"/>
        <v>0.13303777829444302</v>
      </c>
      <c r="E28" s="94">
        <v>-350</v>
      </c>
      <c r="F28" s="94" t="s">
        <v>66</v>
      </c>
      <c r="G28" s="94" t="s">
        <v>66</v>
      </c>
      <c r="H28" s="94" t="s">
        <v>66</v>
      </c>
      <c r="I28" s="94" t="s">
        <v>66</v>
      </c>
      <c r="J28" s="94" t="s">
        <v>66</v>
      </c>
      <c r="K28" s="94" t="s">
        <v>66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4" t="s">
        <v>66</v>
      </c>
      <c r="AJ28" s="96"/>
    </row>
    <row r="29" spans="1:39" ht="15.75" customHeight="1" x14ac:dyDescent="0.25">
      <c r="A29" s="246"/>
      <c r="B29" s="86" t="s">
        <v>207</v>
      </c>
      <c r="C29" s="87">
        <f>-(2587+511.66)/12</f>
        <v>-258.22166666666664</v>
      </c>
      <c r="D29" s="91">
        <f t="shared" si="6"/>
        <v>9.8152105259490183E-2</v>
      </c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246"/>
    </row>
    <row r="30" spans="1:39" ht="15.75" customHeight="1" x14ac:dyDescent="0.25">
      <c r="A30" s="96"/>
      <c r="B30" s="86" t="s">
        <v>72</v>
      </c>
      <c r="C30" s="87">
        <f t="shared" si="5"/>
        <v>-550</v>
      </c>
      <c r="D30" s="91">
        <f t="shared" si="6"/>
        <v>0.20905936589126761</v>
      </c>
      <c r="E30" s="92" t="s">
        <v>66</v>
      </c>
      <c r="F30" s="92" t="s">
        <v>66</v>
      </c>
      <c r="G30" s="92" t="s">
        <v>66</v>
      </c>
      <c r="H30" s="92" t="s">
        <v>66</v>
      </c>
      <c r="I30" s="92" t="s">
        <v>66</v>
      </c>
      <c r="J30" s="92" t="s">
        <v>66</v>
      </c>
      <c r="K30" s="92">
        <v>-550</v>
      </c>
      <c r="L30" s="92" t="s">
        <v>66</v>
      </c>
      <c r="M30" s="92" t="s">
        <v>66</v>
      </c>
      <c r="N30" s="92" t="s">
        <v>66</v>
      </c>
      <c r="O30" s="92" t="s">
        <v>66</v>
      </c>
      <c r="P30" s="92" t="s">
        <v>66</v>
      </c>
      <c r="Q30" s="92" t="s">
        <v>66</v>
      </c>
      <c r="R30" s="92" t="s">
        <v>66</v>
      </c>
      <c r="S30" s="92" t="s">
        <v>66</v>
      </c>
      <c r="T30" s="92" t="s">
        <v>66</v>
      </c>
      <c r="U30" s="92" t="s">
        <v>66</v>
      </c>
      <c r="V30" s="92" t="s">
        <v>66</v>
      </c>
      <c r="W30" s="92" t="s">
        <v>66</v>
      </c>
      <c r="X30" s="92" t="s">
        <v>66</v>
      </c>
      <c r="Y30" s="92" t="s">
        <v>66</v>
      </c>
      <c r="Z30" s="92" t="s">
        <v>66</v>
      </c>
      <c r="AA30" s="92" t="s">
        <v>66</v>
      </c>
      <c r="AB30" s="92" t="s">
        <v>66</v>
      </c>
      <c r="AC30" s="92" t="s">
        <v>66</v>
      </c>
      <c r="AD30" s="92" t="s">
        <v>66</v>
      </c>
      <c r="AE30" s="92" t="s">
        <v>66</v>
      </c>
      <c r="AF30" s="92" t="s">
        <v>66</v>
      </c>
      <c r="AG30" s="92" t="s">
        <v>66</v>
      </c>
      <c r="AH30" s="92" t="s">
        <v>66</v>
      </c>
      <c r="AI30" s="92" t="s">
        <v>66</v>
      </c>
      <c r="AJ30" s="96"/>
    </row>
    <row r="31" spans="1:39" ht="15.75" customHeight="1" x14ac:dyDescent="0.25">
      <c r="A31" s="96"/>
      <c r="B31" s="86" t="s">
        <v>42</v>
      </c>
      <c r="C31" s="87">
        <f t="shared" si="5"/>
        <v>0</v>
      </c>
      <c r="D31" s="93">
        <f t="shared" si="6"/>
        <v>0</v>
      </c>
      <c r="E31" s="94" t="s">
        <v>66</v>
      </c>
      <c r="F31" s="94" t="s">
        <v>66</v>
      </c>
      <c r="G31" s="94" t="s">
        <v>66</v>
      </c>
      <c r="H31" s="94" t="s">
        <v>66</v>
      </c>
      <c r="I31" s="94" t="s">
        <v>66</v>
      </c>
      <c r="J31" s="94" t="s">
        <v>66</v>
      </c>
      <c r="K31" s="94" t="s">
        <v>66</v>
      </c>
      <c r="L31" s="94" t="s">
        <v>66</v>
      </c>
      <c r="M31" s="94" t="s">
        <v>66</v>
      </c>
      <c r="N31" s="94" t="s">
        <v>66</v>
      </c>
      <c r="O31" s="94" t="s">
        <v>66</v>
      </c>
      <c r="P31" s="94" t="s">
        <v>66</v>
      </c>
      <c r="Q31" s="94" t="s">
        <v>66</v>
      </c>
      <c r="R31" s="94" t="s">
        <v>66</v>
      </c>
      <c r="S31" s="94" t="s">
        <v>66</v>
      </c>
      <c r="T31" s="94" t="s">
        <v>66</v>
      </c>
      <c r="U31" s="94" t="s">
        <v>66</v>
      </c>
      <c r="V31" s="94" t="s">
        <v>66</v>
      </c>
      <c r="W31" s="94" t="s">
        <v>66</v>
      </c>
      <c r="X31" s="94" t="s">
        <v>66</v>
      </c>
      <c r="Y31" s="94" t="s">
        <v>66</v>
      </c>
      <c r="Z31" s="94" t="s">
        <v>66</v>
      </c>
      <c r="AA31" s="94" t="s">
        <v>66</v>
      </c>
      <c r="AB31" s="94" t="s">
        <v>66</v>
      </c>
      <c r="AC31" s="94" t="s">
        <v>66</v>
      </c>
      <c r="AD31" s="94" t="s">
        <v>66</v>
      </c>
      <c r="AE31" s="94" t="s">
        <v>66</v>
      </c>
      <c r="AF31" s="94" t="s">
        <v>66</v>
      </c>
      <c r="AG31" s="94" t="s">
        <v>66</v>
      </c>
      <c r="AH31" s="94" t="s">
        <v>66</v>
      </c>
      <c r="AI31" s="94" t="s">
        <v>66</v>
      </c>
      <c r="AJ31" s="96"/>
    </row>
    <row r="32" spans="1:39" ht="15.75" customHeight="1" x14ac:dyDescent="0.25">
      <c r="A32" s="96"/>
      <c r="B32" s="86" t="s">
        <v>96</v>
      </c>
      <c r="C32" s="87">
        <f t="shared" si="5"/>
        <v>0</v>
      </c>
      <c r="D32" s="91">
        <f t="shared" si="6"/>
        <v>0</v>
      </c>
      <c r="E32" s="92" t="s">
        <v>66</v>
      </c>
      <c r="F32" s="92" t="s">
        <v>66</v>
      </c>
      <c r="G32" s="92" t="s">
        <v>66</v>
      </c>
      <c r="H32" s="92" t="s">
        <v>66</v>
      </c>
      <c r="I32" s="92" t="s">
        <v>66</v>
      </c>
      <c r="J32" s="92" t="s">
        <v>66</v>
      </c>
      <c r="K32" s="92" t="s">
        <v>66</v>
      </c>
      <c r="L32" s="92" t="s">
        <v>66</v>
      </c>
      <c r="M32" s="92" t="s">
        <v>66</v>
      </c>
      <c r="N32" s="92" t="s">
        <v>66</v>
      </c>
      <c r="O32" s="92" t="s">
        <v>66</v>
      </c>
      <c r="P32" s="92" t="s">
        <v>66</v>
      </c>
      <c r="Q32" s="92" t="s">
        <v>66</v>
      </c>
      <c r="R32" s="92" t="s">
        <v>66</v>
      </c>
      <c r="S32" s="92" t="s">
        <v>66</v>
      </c>
      <c r="T32" s="92" t="s">
        <v>66</v>
      </c>
      <c r="U32" s="92" t="s">
        <v>66</v>
      </c>
      <c r="V32" s="92" t="s">
        <v>66</v>
      </c>
      <c r="W32" s="92" t="s">
        <v>66</v>
      </c>
      <c r="X32" s="92" t="s">
        <v>66</v>
      </c>
      <c r="Y32" s="92" t="s">
        <v>66</v>
      </c>
      <c r="Z32" s="92" t="s">
        <v>66</v>
      </c>
      <c r="AA32" s="92" t="s">
        <v>66</v>
      </c>
      <c r="AB32" s="92" t="s">
        <v>66</v>
      </c>
      <c r="AC32" s="92" t="s">
        <v>66</v>
      </c>
      <c r="AD32" s="92" t="s">
        <v>66</v>
      </c>
      <c r="AE32" s="92" t="s">
        <v>66</v>
      </c>
      <c r="AF32" s="92" t="s">
        <v>66</v>
      </c>
      <c r="AG32" s="92" t="s">
        <v>66</v>
      </c>
      <c r="AH32" s="92" t="s">
        <v>66</v>
      </c>
      <c r="AI32" s="92" t="s">
        <v>66</v>
      </c>
      <c r="AJ32" s="96"/>
    </row>
    <row r="33" spans="1:36" ht="15.75" customHeight="1" x14ac:dyDescent="0.25">
      <c r="A33" s="96"/>
      <c r="B33" s="99" t="s">
        <v>44</v>
      </c>
      <c r="C33" s="124">
        <f>SUM(E33:AF33)</f>
        <v>2736</v>
      </c>
      <c r="D33" s="125"/>
      <c r="E33" s="126"/>
      <c r="F33" s="126"/>
      <c r="G33" s="126">
        <v>30</v>
      </c>
      <c r="H33" s="126">
        <v>650</v>
      </c>
      <c r="I33" s="126"/>
      <c r="J33" s="126">
        <v>2056</v>
      </c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96"/>
    </row>
    <row r="34" spans="1:36" ht="15.75" customHeight="1" x14ac:dyDescent="0.25">
      <c r="A34" s="96"/>
      <c r="B34" s="83"/>
      <c r="C34" s="12"/>
      <c r="D34" s="106"/>
      <c r="E34" s="107">
        <f t="shared" ref="E34:X34" si="7">E5</f>
        <v>43586</v>
      </c>
      <c r="F34" s="107">
        <f t="shared" si="7"/>
        <v>43587</v>
      </c>
      <c r="G34" s="107">
        <f t="shared" si="7"/>
        <v>43588</v>
      </c>
      <c r="H34" s="107">
        <f t="shared" si="7"/>
        <v>43589</v>
      </c>
      <c r="I34" s="107">
        <f t="shared" si="7"/>
        <v>43590</v>
      </c>
      <c r="J34" s="107">
        <f t="shared" si="7"/>
        <v>43591</v>
      </c>
      <c r="K34" s="107">
        <f t="shared" si="7"/>
        <v>43592</v>
      </c>
      <c r="L34" s="107">
        <f t="shared" si="7"/>
        <v>43593</v>
      </c>
      <c r="M34" s="107">
        <f t="shared" si="7"/>
        <v>43594</v>
      </c>
      <c r="N34" s="107">
        <f t="shared" si="7"/>
        <v>43595</v>
      </c>
      <c r="O34" s="107">
        <f t="shared" si="7"/>
        <v>43596</v>
      </c>
      <c r="P34" s="107">
        <f t="shared" si="7"/>
        <v>43597</v>
      </c>
      <c r="Q34" s="107">
        <f t="shared" si="7"/>
        <v>43598</v>
      </c>
      <c r="R34" s="107">
        <f t="shared" si="7"/>
        <v>43599</v>
      </c>
      <c r="S34" s="107">
        <f t="shared" si="7"/>
        <v>43600</v>
      </c>
      <c r="T34" s="107">
        <f t="shared" si="7"/>
        <v>43601</v>
      </c>
      <c r="U34" s="107">
        <f t="shared" si="7"/>
        <v>43602</v>
      </c>
      <c r="V34" s="107">
        <f t="shared" si="7"/>
        <v>43603</v>
      </c>
      <c r="W34" s="107">
        <f t="shared" si="7"/>
        <v>43604</v>
      </c>
      <c r="X34" s="107">
        <f t="shared" si="7"/>
        <v>43605</v>
      </c>
      <c r="Y34" s="107" t="s">
        <v>98</v>
      </c>
      <c r="Z34" s="107">
        <f t="shared" ref="Z34:AI34" si="8">Z5</f>
        <v>43607</v>
      </c>
      <c r="AA34" s="107">
        <f t="shared" si="8"/>
        <v>43608</v>
      </c>
      <c r="AB34" s="107">
        <f t="shared" si="8"/>
        <v>43609</v>
      </c>
      <c r="AC34" s="107">
        <f t="shared" si="8"/>
        <v>43610</v>
      </c>
      <c r="AD34" s="107">
        <f t="shared" si="8"/>
        <v>43611</v>
      </c>
      <c r="AE34" s="107">
        <f t="shared" si="8"/>
        <v>43612</v>
      </c>
      <c r="AF34" s="107">
        <f t="shared" si="8"/>
        <v>43613</v>
      </c>
      <c r="AG34" s="107">
        <f t="shared" si="8"/>
        <v>43614</v>
      </c>
      <c r="AH34" s="107">
        <f t="shared" si="8"/>
        <v>43615</v>
      </c>
      <c r="AI34" s="107">
        <f t="shared" si="8"/>
        <v>43616</v>
      </c>
      <c r="AJ34" s="97"/>
    </row>
    <row r="35" spans="1:36" ht="15.75" customHeight="1" x14ac:dyDescent="0.25">
      <c r="A35" s="96"/>
      <c r="B35" s="110" t="s">
        <v>79</v>
      </c>
      <c r="C35" s="58"/>
      <c r="D35" s="66"/>
      <c r="E35" s="112">
        <f t="shared" ref="E35:AI35" si="9">SUM($E$6:E6)</f>
        <v>-747.03</v>
      </c>
      <c r="F35" s="112">
        <f t="shared" si="9"/>
        <v>-1102.27</v>
      </c>
      <c r="G35" s="112">
        <f t="shared" si="9"/>
        <v>-1144.19</v>
      </c>
      <c r="H35" s="112">
        <f t="shared" si="9"/>
        <v>-1164.19</v>
      </c>
      <c r="I35" s="112">
        <f t="shared" si="9"/>
        <v>-1189.19</v>
      </c>
      <c r="J35" s="112">
        <f t="shared" si="9"/>
        <v>-1197.6200000000001</v>
      </c>
      <c r="K35" s="112">
        <f t="shared" si="9"/>
        <v>-1747.6200000000001</v>
      </c>
      <c r="L35" s="112">
        <f t="shared" si="9"/>
        <v>-1816.3200000000002</v>
      </c>
      <c r="M35" s="112">
        <f t="shared" si="9"/>
        <v>-1824.9500000000003</v>
      </c>
      <c r="N35" s="112">
        <f t="shared" si="9"/>
        <v>-1824.9500000000003</v>
      </c>
      <c r="O35" s="112">
        <f t="shared" si="9"/>
        <v>-1846.8500000000004</v>
      </c>
      <c r="P35" s="112">
        <f t="shared" si="9"/>
        <v>-1902.7500000000005</v>
      </c>
      <c r="Q35" s="112">
        <f t="shared" si="9"/>
        <v>-1937.4400000000005</v>
      </c>
      <c r="R35" s="112">
        <f t="shared" si="9"/>
        <v>-1947.4400000000005</v>
      </c>
      <c r="S35" s="112">
        <f t="shared" si="9"/>
        <v>-1976.6900000000005</v>
      </c>
      <c r="T35" s="112">
        <f t="shared" si="9"/>
        <v>-2047.0000000000005</v>
      </c>
      <c r="U35" s="112">
        <f t="shared" si="9"/>
        <v>-2047.0000000000005</v>
      </c>
      <c r="V35" s="112">
        <f t="shared" si="9"/>
        <v>-2078.9000000000005</v>
      </c>
      <c r="W35" s="112">
        <f t="shared" si="9"/>
        <v>-2116.9300000000007</v>
      </c>
      <c r="X35" s="112">
        <f t="shared" si="9"/>
        <v>-2135.3000000000006</v>
      </c>
      <c r="Y35" s="112">
        <f t="shared" si="9"/>
        <v>-2135.3000000000006</v>
      </c>
      <c r="Z35" s="112">
        <f t="shared" si="9"/>
        <v>-2150.4900000000007</v>
      </c>
      <c r="AA35" s="112">
        <f t="shared" si="9"/>
        <v>-2180.7500000000009</v>
      </c>
      <c r="AB35" s="112">
        <f t="shared" si="9"/>
        <v>-2187.7500000000009</v>
      </c>
      <c r="AC35" s="112">
        <f t="shared" si="9"/>
        <v>-2208.9500000000007</v>
      </c>
      <c r="AD35" s="112">
        <f t="shared" si="9"/>
        <v>-2257.5300000000007</v>
      </c>
      <c r="AE35" s="112">
        <f t="shared" si="9"/>
        <v>-2257.5300000000007</v>
      </c>
      <c r="AF35" s="112">
        <f t="shared" si="9"/>
        <v>-2274.4300000000007</v>
      </c>
      <c r="AG35" s="112">
        <f t="shared" si="9"/>
        <v>-2281.3300000000008</v>
      </c>
      <c r="AH35" s="112">
        <f t="shared" si="9"/>
        <v>-2286.3300000000008</v>
      </c>
      <c r="AI35" s="112">
        <f t="shared" si="9"/>
        <v>-2372.610000000001</v>
      </c>
      <c r="AJ35" s="97"/>
    </row>
    <row r="36" spans="1:36" ht="15.75" customHeight="1" x14ac:dyDescent="0.25">
      <c r="A36" s="96"/>
      <c r="B36" s="99" t="s">
        <v>69</v>
      </c>
      <c r="C36" s="44"/>
      <c r="D36" s="115">
        <f>Abril2019!AH36</f>
        <v>4015.2599999999998</v>
      </c>
      <c r="E36" s="73">
        <f t="shared" ref="E36:AG36" si="10">D45+E6+E33</f>
        <v>3268.2299999999996</v>
      </c>
      <c r="F36" s="73">
        <f t="shared" si="10"/>
        <v>2912.99</v>
      </c>
      <c r="G36" s="73">
        <f t="shared" si="10"/>
        <v>2901.0699999999997</v>
      </c>
      <c r="H36" s="73">
        <f t="shared" si="10"/>
        <v>3531.0699999999997</v>
      </c>
      <c r="I36" s="73">
        <f t="shared" si="10"/>
        <v>3506.0699999999997</v>
      </c>
      <c r="J36" s="73">
        <f t="shared" si="10"/>
        <v>5553.6399999999994</v>
      </c>
      <c r="K36" s="73">
        <f t="shared" si="10"/>
        <v>5003.6399999999994</v>
      </c>
      <c r="L36" s="73">
        <f t="shared" si="10"/>
        <v>4934.9399999999996</v>
      </c>
      <c r="M36" s="73">
        <f t="shared" si="10"/>
        <v>4926.3099999999995</v>
      </c>
      <c r="N36" s="73">
        <f t="shared" si="10"/>
        <v>4926.3099999999995</v>
      </c>
      <c r="O36" s="73">
        <f t="shared" si="10"/>
        <v>4904.41</v>
      </c>
      <c r="P36" s="73">
        <f t="shared" si="10"/>
        <v>4848.51</v>
      </c>
      <c r="Q36" s="73">
        <f t="shared" si="10"/>
        <v>4813.8200000000006</v>
      </c>
      <c r="R36" s="73">
        <f t="shared" si="10"/>
        <v>4803.8200000000006</v>
      </c>
      <c r="S36" s="73">
        <f t="shared" si="10"/>
        <v>4774.5700000000006</v>
      </c>
      <c r="T36" s="73">
        <f t="shared" si="10"/>
        <v>4704.26</v>
      </c>
      <c r="U36" s="73">
        <f t="shared" si="10"/>
        <v>4704.26</v>
      </c>
      <c r="V36" s="73">
        <f t="shared" si="10"/>
        <v>4672.3600000000006</v>
      </c>
      <c r="W36" s="73">
        <f t="shared" si="10"/>
        <v>4634.3300000000008</v>
      </c>
      <c r="X36" s="73">
        <f t="shared" si="10"/>
        <v>4615.9600000000009</v>
      </c>
      <c r="Y36" s="73">
        <f t="shared" si="10"/>
        <v>4615.9600000000009</v>
      </c>
      <c r="Z36" s="73">
        <f t="shared" si="10"/>
        <v>4600.7700000000013</v>
      </c>
      <c r="AA36" s="73">
        <f t="shared" si="10"/>
        <v>4570.5100000000011</v>
      </c>
      <c r="AB36" s="73">
        <f t="shared" si="10"/>
        <v>4563.5100000000011</v>
      </c>
      <c r="AC36" s="73">
        <f t="shared" si="10"/>
        <v>4542.3100000000013</v>
      </c>
      <c r="AD36" s="73">
        <f t="shared" si="10"/>
        <v>4493.7300000000014</v>
      </c>
      <c r="AE36" s="73">
        <f t="shared" si="10"/>
        <v>4493.7300000000014</v>
      </c>
      <c r="AF36" s="73">
        <f t="shared" si="10"/>
        <v>4476.8300000000017</v>
      </c>
      <c r="AG36" s="73">
        <f t="shared" si="10"/>
        <v>4469.9300000000021</v>
      </c>
      <c r="AH36" s="73">
        <f t="shared" ref="AH36:AI36" si="11">AF45+AH6+AH33</f>
        <v>4471.8300000000017</v>
      </c>
      <c r="AI36" s="73">
        <f t="shared" si="11"/>
        <v>4383.6500000000024</v>
      </c>
      <c r="AJ36" s="97"/>
    </row>
    <row r="37" spans="1:36" ht="15.75" customHeight="1" x14ac:dyDescent="0.25">
      <c r="A37" s="96"/>
      <c r="B37" s="83" t="s">
        <v>61</v>
      </c>
      <c r="C37" s="12"/>
      <c r="D37" s="12"/>
      <c r="K37" s="7">
        <v>65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63</v>
      </c>
      <c r="W37" s="1"/>
      <c r="X37" s="1"/>
      <c r="Y37" s="1"/>
      <c r="Z37" s="1"/>
      <c r="AA37" s="1"/>
      <c r="AB37" s="1"/>
      <c r="AC37" s="1"/>
      <c r="AD37" s="1">
        <v>62</v>
      </c>
      <c r="AE37" s="1"/>
      <c r="AF37" s="1"/>
      <c r="AG37" s="1"/>
      <c r="AH37" s="1"/>
      <c r="AI37" s="1">
        <v>62</v>
      </c>
      <c r="AJ37" s="97"/>
    </row>
    <row r="38" spans="1:36" ht="15.75" customHeight="1" x14ac:dyDescent="0.25">
      <c r="A38" s="96"/>
      <c r="B38" s="83" t="s">
        <v>70</v>
      </c>
      <c r="C38" s="12"/>
      <c r="D38" s="12"/>
      <c r="K38" s="7">
        <v>-619.25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>
        <v>-1102.44</v>
      </c>
      <c r="W38" s="1"/>
      <c r="X38" s="1"/>
      <c r="Y38" s="1"/>
      <c r="Z38" s="1"/>
      <c r="AA38" s="1"/>
      <c r="AB38" s="1"/>
      <c r="AC38" s="1"/>
      <c r="AD38" s="1">
        <v>-1196.32</v>
      </c>
      <c r="AE38" s="1"/>
      <c r="AF38" s="1"/>
      <c r="AG38" s="1"/>
      <c r="AH38" s="1"/>
      <c r="AI38" s="1">
        <v>-1267.98</v>
      </c>
      <c r="AJ38" s="97"/>
    </row>
    <row r="39" spans="1:36" ht="15.75" customHeight="1" x14ac:dyDescent="0.25">
      <c r="A39" s="96"/>
      <c r="B39" s="83" t="s">
        <v>71</v>
      </c>
      <c r="C39" s="12"/>
      <c r="D39" s="12"/>
      <c r="K39" s="7">
        <v>338.79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>
        <v>273.79000000000002</v>
      </c>
      <c r="W39" s="1"/>
      <c r="X39" s="1"/>
      <c r="Y39" s="1"/>
      <c r="Z39" s="1"/>
      <c r="AA39" s="1"/>
      <c r="AB39" s="1"/>
      <c r="AC39" s="1"/>
      <c r="AD39" s="1">
        <v>273.79000000000002</v>
      </c>
      <c r="AE39" s="1"/>
      <c r="AF39" s="1"/>
      <c r="AG39" s="1"/>
      <c r="AH39" s="1"/>
      <c r="AI39" s="1">
        <v>273.79000000000002</v>
      </c>
      <c r="AJ39" s="97"/>
    </row>
    <row r="40" spans="1:36" ht="15.75" customHeight="1" x14ac:dyDescent="0.25">
      <c r="A40" s="96"/>
      <c r="B40" s="83" t="s">
        <v>85</v>
      </c>
      <c r="C40" s="12"/>
      <c r="D40" s="12"/>
      <c r="K40" s="7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>
        <v>0</v>
      </c>
      <c r="W40" s="1"/>
      <c r="X40" s="1"/>
      <c r="Y40" s="1"/>
      <c r="Z40" s="1"/>
      <c r="AA40" s="1"/>
      <c r="AB40" s="1"/>
      <c r="AC40" s="1"/>
      <c r="AD40" s="1">
        <v>0</v>
      </c>
      <c r="AE40" s="1"/>
      <c r="AF40" s="1"/>
      <c r="AG40" s="1"/>
      <c r="AH40" s="1"/>
      <c r="AI40" s="1">
        <v>0</v>
      </c>
      <c r="AJ40" s="97"/>
    </row>
    <row r="41" spans="1:36" ht="15.75" customHeight="1" x14ac:dyDescent="0.25">
      <c r="A41" s="96"/>
      <c r="B41" s="83" t="s">
        <v>95</v>
      </c>
      <c r="C41" s="12"/>
      <c r="D41" s="12"/>
      <c r="K41" s="7">
        <f>4441.75+2000</f>
        <v>6441.75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>
        <f>1146.85+5503.42</f>
        <v>6650.27</v>
      </c>
      <c r="W41" s="1"/>
      <c r="X41" s="1"/>
      <c r="Y41" s="1"/>
      <c r="Z41" s="1"/>
      <c r="AA41" s="1"/>
      <c r="AB41" s="1"/>
      <c r="AC41" s="1"/>
      <c r="AD41" s="1">
        <f>5508.78+1202.75-54.77</f>
        <v>6656.7599999999993</v>
      </c>
      <c r="AE41" s="1"/>
      <c r="AF41" s="1"/>
      <c r="AG41" s="1"/>
      <c r="AH41" s="1"/>
      <c r="AI41" s="1">
        <f>964.3+135+5513.37</f>
        <v>6612.67</v>
      </c>
      <c r="AJ41" s="97"/>
    </row>
    <row r="42" spans="1:36" ht="15.75" customHeight="1" x14ac:dyDescent="0.25">
      <c r="A42" s="96"/>
      <c r="B42" s="83" t="s">
        <v>99</v>
      </c>
      <c r="C42" s="12"/>
      <c r="D42" s="12"/>
      <c r="K42" s="7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>
        <v>0</v>
      </c>
      <c r="W42" s="1"/>
      <c r="X42" s="1"/>
      <c r="Y42" s="1"/>
      <c r="Z42" s="1"/>
      <c r="AA42" s="1"/>
      <c r="AB42" s="1"/>
      <c r="AC42" s="1"/>
      <c r="AD42" s="1">
        <v>0</v>
      </c>
      <c r="AE42" s="1"/>
      <c r="AF42" s="1"/>
      <c r="AG42" s="1"/>
      <c r="AH42" s="1"/>
      <c r="AI42" s="1">
        <v>0</v>
      </c>
      <c r="AJ42" s="97"/>
    </row>
    <row r="43" spans="1:36" ht="15.75" customHeight="1" x14ac:dyDescent="0.25">
      <c r="A43" s="96"/>
      <c r="B43" s="83" t="s">
        <v>73</v>
      </c>
      <c r="C43" s="12"/>
      <c r="D43" s="12"/>
      <c r="K43" s="7">
        <v>1900</v>
      </c>
      <c r="L43" s="1"/>
      <c r="M43" s="1"/>
      <c r="N43" s="134"/>
      <c r="O43" s="1"/>
      <c r="P43" s="1"/>
      <c r="Q43" s="1"/>
      <c r="R43" s="1"/>
      <c r="S43" s="1"/>
      <c r="T43" s="1"/>
      <c r="U43" s="1"/>
      <c r="V43" s="1">
        <v>1990</v>
      </c>
      <c r="W43" s="1"/>
      <c r="X43" s="1"/>
      <c r="Y43" s="1"/>
      <c r="Z43" s="1"/>
      <c r="AA43" s="1"/>
      <c r="AB43" s="1"/>
      <c r="AC43" s="1"/>
      <c r="AD43" s="1">
        <v>1900</v>
      </c>
      <c r="AE43" s="1"/>
      <c r="AF43" s="1"/>
      <c r="AG43" s="1"/>
      <c r="AH43" s="1"/>
      <c r="AI43" s="1">
        <v>1900</v>
      </c>
      <c r="AJ43" s="97"/>
    </row>
    <row r="44" spans="1:36" ht="15.75" customHeight="1" x14ac:dyDescent="0.25">
      <c r="A44" s="96"/>
      <c r="B44" s="116" t="s">
        <v>63</v>
      </c>
      <c r="C44" s="68"/>
      <c r="D44" s="68"/>
      <c r="E44" s="63"/>
      <c r="F44" s="63"/>
      <c r="G44" s="63"/>
      <c r="H44" s="63"/>
      <c r="I44" s="63"/>
      <c r="J44" s="63"/>
      <c r="K44" s="63">
        <v>0</v>
      </c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>
        <v>0</v>
      </c>
      <c r="W44" s="44"/>
      <c r="X44" s="44"/>
      <c r="Y44" s="44"/>
      <c r="Z44" s="44"/>
      <c r="AA44" s="44"/>
      <c r="AB44" s="44"/>
      <c r="AC44" s="44"/>
      <c r="AD44" s="44">
        <v>0</v>
      </c>
      <c r="AE44" s="44"/>
      <c r="AF44" s="44"/>
      <c r="AG44" s="44"/>
      <c r="AH44" s="44"/>
      <c r="AI44" s="44">
        <v>0</v>
      </c>
      <c r="AJ44" s="97"/>
    </row>
    <row r="45" spans="1:36" ht="15.75" customHeight="1" x14ac:dyDescent="0.25">
      <c r="A45" s="96"/>
      <c r="B45" s="86" t="s">
        <v>80</v>
      </c>
      <c r="C45" s="12"/>
      <c r="D45" s="50">
        <f t="shared" ref="D45:AI45" si="12">D36</f>
        <v>4015.2599999999998</v>
      </c>
      <c r="E45" s="50">
        <f t="shared" si="12"/>
        <v>3268.2299999999996</v>
      </c>
      <c r="F45" s="50">
        <f t="shared" si="12"/>
        <v>2912.99</v>
      </c>
      <c r="G45" s="50">
        <f t="shared" si="12"/>
        <v>2901.0699999999997</v>
      </c>
      <c r="H45" s="50">
        <f t="shared" si="12"/>
        <v>3531.0699999999997</v>
      </c>
      <c r="I45" s="50">
        <f t="shared" si="12"/>
        <v>3506.0699999999997</v>
      </c>
      <c r="J45" s="50">
        <f t="shared" si="12"/>
        <v>5553.6399999999994</v>
      </c>
      <c r="K45" s="50">
        <f t="shared" si="12"/>
        <v>5003.6399999999994</v>
      </c>
      <c r="L45" s="50">
        <f t="shared" si="12"/>
        <v>4934.9399999999996</v>
      </c>
      <c r="M45" s="50">
        <f t="shared" si="12"/>
        <v>4926.3099999999995</v>
      </c>
      <c r="N45" s="50">
        <f t="shared" si="12"/>
        <v>4926.3099999999995</v>
      </c>
      <c r="O45" s="50">
        <f t="shared" si="12"/>
        <v>4904.41</v>
      </c>
      <c r="P45" s="50">
        <f t="shared" si="12"/>
        <v>4848.51</v>
      </c>
      <c r="Q45" s="50">
        <f t="shared" si="12"/>
        <v>4813.8200000000006</v>
      </c>
      <c r="R45" s="50">
        <f t="shared" si="12"/>
        <v>4803.8200000000006</v>
      </c>
      <c r="S45" s="50">
        <f t="shared" si="12"/>
        <v>4774.5700000000006</v>
      </c>
      <c r="T45" s="50">
        <f t="shared" si="12"/>
        <v>4704.26</v>
      </c>
      <c r="U45" s="50">
        <f t="shared" si="12"/>
        <v>4704.26</v>
      </c>
      <c r="V45" s="50">
        <f t="shared" si="12"/>
        <v>4672.3600000000006</v>
      </c>
      <c r="W45" s="50">
        <f t="shared" si="12"/>
        <v>4634.3300000000008</v>
      </c>
      <c r="X45" s="50">
        <f t="shared" si="12"/>
        <v>4615.9600000000009</v>
      </c>
      <c r="Y45" s="50">
        <f t="shared" si="12"/>
        <v>4615.9600000000009</v>
      </c>
      <c r="Z45" s="50">
        <f t="shared" si="12"/>
        <v>4600.7700000000013</v>
      </c>
      <c r="AA45" s="73">
        <f t="shared" si="12"/>
        <v>4570.5100000000011</v>
      </c>
      <c r="AB45" s="50">
        <f t="shared" si="12"/>
        <v>4563.5100000000011</v>
      </c>
      <c r="AC45" s="50">
        <f t="shared" si="12"/>
        <v>4542.3100000000013</v>
      </c>
      <c r="AD45" s="50">
        <f t="shared" si="12"/>
        <v>4493.7300000000014</v>
      </c>
      <c r="AE45" s="50">
        <f t="shared" si="12"/>
        <v>4493.7300000000014</v>
      </c>
      <c r="AF45" s="50">
        <f t="shared" si="12"/>
        <v>4476.8300000000017</v>
      </c>
      <c r="AG45" s="50">
        <f t="shared" si="12"/>
        <v>4469.9300000000021</v>
      </c>
      <c r="AH45" s="50">
        <f t="shared" si="12"/>
        <v>4471.8300000000017</v>
      </c>
      <c r="AI45" s="50">
        <f t="shared" si="12"/>
        <v>4383.6500000000024</v>
      </c>
      <c r="AJ45" s="97"/>
    </row>
    <row r="46" spans="1:36" ht="15.75" customHeight="1" x14ac:dyDescent="0.25">
      <c r="A46" s="96"/>
      <c r="B46" s="117" t="s">
        <v>74</v>
      </c>
      <c r="C46" s="70"/>
      <c r="D46" s="70"/>
      <c r="E46" s="138"/>
      <c r="F46" s="138"/>
      <c r="G46" s="138"/>
      <c r="H46" s="138"/>
      <c r="I46" s="138"/>
      <c r="J46" s="138"/>
      <c r="K46" s="138">
        <f>SUM(K37:K44)</f>
        <v>8126.29</v>
      </c>
      <c r="L46" s="69"/>
      <c r="M46" s="69"/>
      <c r="N46" s="69"/>
      <c r="O46" s="69"/>
      <c r="P46" s="71"/>
      <c r="Q46" s="71"/>
      <c r="R46" s="71"/>
      <c r="S46" s="71"/>
      <c r="T46" s="71"/>
      <c r="U46" s="69"/>
      <c r="V46" s="71">
        <f>SUM(V37:V44)</f>
        <v>7874.6200000000008</v>
      </c>
      <c r="W46" s="71"/>
      <c r="X46" s="71"/>
      <c r="Y46" s="71"/>
      <c r="Z46" s="71"/>
      <c r="AA46" s="1"/>
      <c r="AB46" s="71"/>
      <c r="AC46" s="71"/>
      <c r="AD46" s="71">
        <f>SUM(AD37:AD44)</f>
        <v>7696.23</v>
      </c>
      <c r="AE46" s="71"/>
      <c r="AF46" s="71"/>
      <c r="AG46" s="71"/>
      <c r="AH46" s="71"/>
      <c r="AI46" s="71">
        <f>SUM(AI37:AI44)</f>
        <v>7580.48</v>
      </c>
      <c r="AJ46" s="97"/>
    </row>
    <row r="47" spans="1:36" ht="9" customHeight="1" x14ac:dyDescent="0.25">
      <c r="A47" s="96"/>
      <c r="B47" s="97"/>
      <c r="C47" s="127"/>
      <c r="D47" s="12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6"/>
    </row>
    <row r="48" spans="1:36" ht="15.7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2:37" ht="15.75" customHeight="1" x14ac:dyDescent="0.25">
      <c r="B49" s="1"/>
      <c r="C49" s="1"/>
      <c r="D49" s="1"/>
      <c r="K49" s="5"/>
      <c r="L49" s="5"/>
      <c r="M49" s="5"/>
      <c r="N49" s="128"/>
      <c r="O49" s="5"/>
      <c r="P49" s="5"/>
      <c r="Q49" s="5"/>
      <c r="R49" s="128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2:37" ht="15.75" customHeight="1" x14ac:dyDescent="0.25">
      <c r="B50" s="1"/>
      <c r="C50" s="1"/>
      <c r="D50" s="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2:37" ht="15.75" customHeight="1" x14ac:dyDescent="0.25">
      <c r="B51" s="1"/>
      <c r="C51" s="1"/>
      <c r="D51" s="1"/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K51" s="128"/>
    </row>
    <row r="52" spans="2:37" ht="15.75" customHeight="1" x14ac:dyDescent="0.25">
      <c r="B52" s="1"/>
      <c r="C52" s="1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</row>
    <row r="53" spans="2:37" ht="15.75" customHeight="1" x14ac:dyDescent="0.25">
      <c r="B53" s="1"/>
      <c r="C53" s="1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</row>
    <row r="54" spans="2:37" ht="15.75" customHeight="1" x14ac:dyDescent="0.25"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2:37" ht="15.75" customHeight="1" x14ac:dyDescent="0.25">
      <c r="I55" s="1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</row>
    <row r="56" spans="2:37" ht="15.75" customHeight="1" x14ac:dyDescent="0.25"/>
    <row r="57" spans="2:37" ht="15.75" customHeight="1" x14ac:dyDescent="0.25"/>
    <row r="58" spans="2:37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2:37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7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2:37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2:37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2:37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2:37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2:35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2:35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2:35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2:35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2:35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2:35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2:35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2:35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2:35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2:35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2:35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2:35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2:35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2:35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2:35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2:35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2:35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2:35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2:35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2:35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2:35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2:35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2:35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2:35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2:35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2:35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2:35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2:35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2:35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2:35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2:35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2:35" ht="15.75" customHeight="1" x14ac:dyDescent="0.25"/>
    <row r="248" spans="2:35" ht="15.75" customHeight="1" x14ac:dyDescent="0.25"/>
    <row r="249" spans="2:35" ht="15.75" customHeight="1" x14ac:dyDescent="0.25"/>
    <row r="250" spans="2:35" ht="15.75" customHeight="1" x14ac:dyDescent="0.25"/>
    <row r="251" spans="2:35" ht="15.75" customHeight="1" x14ac:dyDescent="0.25"/>
    <row r="252" spans="2:35" ht="15.75" customHeight="1" x14ac:dyDescent="0.25"/>
    <row r="253" spans="2:35" ht="15.75" customHeight="1" x14ac:dyDescent="0.25"/>
    <row r="254" spans="2:35" ht="15.75" customHeight="1" x14ac:dyDescent="0.25"/>
    <row r="255" spans="2:35" ht="15.75" customHeight="1" x14ac:dyDescent="0.25"/>
    <row r="256" spans="2:3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26" priority="1" operator="lessThan">
      <formula>0</formula>
    </cfRule>
  </conditionalFormatting>
  <conditionalFormatting sqref="C4">
    <cfRule type="cellIs" dxfId="125" priority="2" operator="greaterThan">
      <formula>0</formula>
    </cfRule>
  </conditionalFormatting>
  <conditionalFormatting sqref="C4">
    <cfRule type="cellIs" dxfId="124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001"/>
  <sheetViews>
    <sheetView showGridLines="0" workbookViewId="0">
      <selection activeCell="B29" sqref="B29:D29"/>
    </sheetView>
  </sheetViews>
  <sheetFormatPr defaultColWidth="14.42578125" defaultRowHeight="15" customHeight="1" x14ac:dyDescent="0.25"/>
  <cols>
    <col min="1" max="1" width="1.7109375" customWidth="1"/>
    <col min="2" max="2" width="18.42578125" customWidth="1"/>
    <col min="3" max="3" width="10.42578125" customWidth="1"/>
    <col min="4" max="4" width="7.5703125" customWidth="1"/>
    <col min="5" max="5" width="8.7109375" customWidth="1"/>
    <col min="6" max="34" width="10.42578125" customWidth="1"/>
    <col min="35" max="35" width="1.85546875" customWidth="1"/>
    <col min="36" max="36" width="14.42578125" customWidth="1"/>
    <col min="37" max="37" width="5.5703125" customWidth="1"/>
    <col min="38" max="38" width="5.7109375" customWidth="1"/>
  </cols>
  <sheetData>
    <row r="1" spans="1:38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</row>
    <row r="2" spans="1:38" x14ac:dyDescent="0.25">
      <c r="A2" s="96"/>
      <c r="B2" s="74" t="s">
        <v>45</v>
      </c>
      <c r="C2" s="75">
        <f>SUM(C8:C31)</f>
        <v>-2048.0216666666665</v>
      </c>
      <c r="D2" s="12"/>
      <c r="E2" s="48">
        <f t="shared" ref="E2:AH2" si="0">E6/$C$2</f>
        <v>0.10710335909532208</v>
      </c>
      <c r="F2" s="48">
        <f t="shared" si="0"/>
        <v>2.0717554257645387E-2</v>
      </c>
      <c r="G2" s="48">
        <f t="shared" si="0"/>
        <v>9.7166940779435107E-3</v>
      </c>
      <c r="H2" s="48">
        <f t="shared" si="0"/>
        <v>3.5058222854087643E-3</v>
      </c>
      <c r="I2" s="48">
        <f t="shared" si="0"/>
        <v>4.4872572148894922E-3</v>
      </c>
      <c r="J2" s="48">
        <f t="shared" si="0"/>
        <v>8.7538136396668992E-2</v>
      </c>
      <c r="K2" s="48">
        <f t="shared" si="0"/>
        <v>0.27221391700771397</v>
      </c>
      <c r="L2" s="48">
        <f t="shared" si="0"/>
        <v>4.4970227365758661E-2</v>
      </c>
      <c r="M2" s="48">
        <f t="shared" si="0"/>
        <v>2.8964537321789403E-2</v>
      </c>
      <c r="N2" s="48">
        <f t="shared" si="0"/>
        <v>2.0068147065501426E-3</v>
      </c>
      <c r="O2" s="48">
        <f t="shared" si="0"/>
        <v>1.6845524908997545E-2</v>
      </c>
      <c r="P2" s="48">
        <f t="shared" si="0"/>
        <v>6.5819616166170125E-3</v>
      </c>
      <c r="Q2" s="48">
        <f t="shared" si="0"/>
        <v>8.2518658249872024E-3</v>
      </c>
      <c r="R2" s="48">
        <f t="shared" si="0"/>
        <v>5.8593130118252332E-3</v>
      </c>
      <c r="S2" s="48">
        <f t="shared" si="0"/>
        <v>9.7655216863753893E-4</v>
      </c>
      <c r="T2" s="48">
        <f t="shared" si="0"/>
        <v>8.0565553912596965E-3</v>
      </c>
      <c r="U2" s="48">
        <f t="shared" si="0"/>
        <v>2.1054464755825338E-2</v>
      </c>
      <c r="V2" s="48">
        <f t="shared" si="0"/>
        <v>9.9998942068483983E-3</v>
      </c>
      <c r="W2" s="48">
        <f t="shared" si="0"/>
        <v>8.1542106081234494E-3</v>
      </c>
      <c r="X2" s="48">
        <f t="shared" si="0"/>
        <v>1.0244032249007783E-2</v>
      </c>
      <c r="Y2" s="48">
        <f t="shared" si="0"/>
        <v>3.1737945480720016E-3</v>
      </c>
      <c r="Z2" s="48">
        <f t="shared" si="0"/>
        <v>1.3862158033809864E-2</v>
      </c>
      <c r="AA2" s="48">
        <f t="shared" si="0"/>
        <v>3.2089504261429529E-2</v>
      </c>
      <c r="AB2" s="48">
        <f t="shared" si="0"/>
        <v>4.1366749863486145E-2</v>
      </c>
      <c r="AC2" s="48">
        <f t="shared" si="0"/>
        <v>1.1386598286313703E-2</v>
      </c>
      <c r="AD2" s="48">
        <f t="shared" si="0"/>
        <v>1.2465688432658184E-2</v>
      </c>
      <c r="AE2" s="48">
        <f t="shared" si="0"/>
        <v>0</v>
      </c>
      <c r="AF2" s="48">
        <f t="shared" si="0"/>
        <v>1.5712724393378001E-2</v>
      </c>
      <c r="AG2" s="48">
        <f t="shared" si="0"/>
        <v>3.0566082878354963E-2</v>
      </c>
      <c r="AH2" s="48">
        <f t="shared" si="0"/>
        <v>3.6044540544411557E-2</v>
      </c>
      <c r="AI2" s="97"/>
    </row>
    <row r="3" spans="1:38" hidden="1" x14ac:dyDescent="0.25">
      <c r="A3" s="96"/>
      <c r="B3" s="76"/>
      <c r="C3" s="77"/>
      <c r="D3" s="1"/>
      <c r="E3" s="55" t="str">
        <f t="shared" ref="E3:AH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96"/>
      <c r="AK3" s="78" t="s">
        <v>0</v>
      </c>
      <c r="AL3" s="1" t="s">
        <v>64</v>
      </c>
    </row>
    <row r="4" spans="1:38" x14ac:dyDescent="0.25">
      <c r="A4" s="96"/>
      <c r="B4" s="79" t="s">
        <v>47</v>
      </c>
      <c r="C4" s="102">
        <f>C33+C2</f>
        <v>202.97833333333347</v>
      </c>
      <c r="D4" s="104" t="s">
        <v>7</v>
      </c>
      <c r="E4" s="105" t="str">
        <f t="shared" ref="E4:AH4" si="2">TEXT(E5,"ddd")</f>
        <v>Sat</v>
      </c>
      <c r="F4" s="105" t="str">
        <f t="shared" si="2"/>
        <v>Sun</v>
      </c>
      <c r="G4" s="105" t="str">
        <f t="shared" si="2"/>
        <v>Mon</v>
      </c>
      <c r="H4" s="105" t="str">
        <f t="shared" si="2"/>
        <v>Tue</v>
      </c>
      <c r="I4" s="105" t="str">
        <f t="shared" si="2"/>
        <v>Wed</v>
      </c>
      <c r="J4" s="105" t="str">
        <f t="shared" si="2"/>
        <v>Thu</v>
      </c>
      <c r="K4" s="105" t="str">
        <f t="shared" si="2"/>
        <v>Fri</v>
      </c>
      <c r="L4" s="105" t="str">
        <f t="shared" si="2"/>
        <v>Sat</v>
      </c>
      <c r="M4" s="105" t="str">
        <f t="shared" si="2"/>
        <v>Sun</v>
      </c>
      <c r="N4" s="105" t="str">
        <f t="shared" si="2"/>
        <v>Mon</v>
      </c>
      <c r="O4" s="105" t="str">
        <f t="shared" si="2"/>
        <v>Tue</v>
      </c>
      <c r="P4" s="105" t="str">
        <f t="shared" si="2"/>
        <v>Wed</v>
      </c>
      <c r="Q4" s="105" t="str">
        <f t="shared" si="2"/>
        <v>Thu</v>
      </c>
      <c r="R4" s="105" t="str">
        <f t="shared" si="2"/>
        <v>Fri</v>
      </c>
      <c r="S4" s="105" t="str">
        <f t="shared" si="2"/>
        <v>Sat</v>
      </c>
      <c r="T4" s="105" t="str">
        <f t="shared" si="2"/>
        <v>Sun</v>
      </c>
      <c r="U4" s="105" t="str">
        <f t="shared" si="2"/>
        <v>Mon</v>
      </c>
      <c r="V4" s="105" t="str">
        <f t="shared" si="2"/>
        <v>Tue</v>
      </c>
      <c r="W4" s="105" t="str">
        <f t="shared" si="2"/>
        <v>Wed</v>
      </c>
      <c r="X4" s="105" t="str">
        <f t="shared" si="2"/>
        <v>Thu</v>
      </c>
      <c r="Y4" s="105" t="str">
        <f t="shared" si="2"/>
        <v>Fri</v>
      </c>
      <c r="Z4" s="105" t="str">
        <f t="shared" si="2"/>
        <v>Sat</v>
      </c>
      <c r="AA4" s="105" t="str">
        <f t="shared" si="2"/>
        <v>Sun</v>
      </c>
      <c r="AB4" s="105" t="str">
        <f t="shared" si="2"/>
        <v>Mon</v>
      </c>
      <c r="AC4" s="105" t="str">
        <f t="shared" si="2"/>
        <v>Tue</v>
      </c>
      <c r="AD4" s="105" t="str">
        <f t="shared" si="2"/>
        <v>Wed</v>
      </c>
      <c r="AE4" s="105" t="str">
        <f t="shared" si="2"/>
        <v>Thu</v>
      </c>
      <c r="AF4" s="105" t="str">
        <f t="shared" si="2"/>
        <v>Fri</v>
      </c>
      <c r="AG4" s="105" t="str">
        <f t="shared" si="2"/>
        <v>Sat</v>
      </c>
      <c r="AH4" s="105" t="str">
        <f t="shared" si="2"/>
        <v>Sun</v>
      </c>
      <c r="AI4" s="96"/>
      <c r="AK4" s="78">
        <v>2019</v>
      </c>
      <c r="AL4" s="56">
        <f ca="1">TODAY()</f>
        <v>43926</v>
      </c>
    </row>
    <row r="5" spans="1:38" x14ac:dyDescent="0.25">
      <c r="A5" s="96"/>
      <c r="B5" s="81" t="s">
        <v>51</v>
      </c>
      <c r="C5" s="108">
        <f>C4/C33</f>
        <v>9.0172515918850935E-2</v>
      </c>
      <c r="D5" s="109"/>
      <c r="E5" s="111">
        <f>DATE($AK$4,$AK$6,1)</f>
        <v>43617</v>
      </c>
      <c r="F5" s="111">
        <f t="shared" ref="F5:AH5" si="3">E5+1</f>
        <v>43618</v>
      </c>
      <c r="G5" s="111">
        <f t="shared" si="3"/>
        <v>43619</v>
      </c>
      <c r="H5" s="111">
        <f t="shared" si="3"/>
        <v>43620</v>
      </c>
      <c r="I5" s="111">
        <f t="shared" si="3"/>
        <v>43621</v>
      </c>
      <c r="J5" s="111">
        <f t="shared" si="3"/>
        <v>43622</v>
      </c>
      <c r="K5" s="111">
        <f t="shared" si="3"/>
        <v>43623</v>
      </c>
      <c r="L5" s="111">
        <f t="shared" si="3"/>
        <v>43624</v>
      </c>
      <c r="M5" s="111">
        <f t="shared" si="3"/>
        <v>43625</v>
      </c>
      <c r="N5" s="111">
        <f t="shared" si="3"/>
        <v>43626</v>
      </c>
      <c r="O5" s="111">
        <f t="shared" si="3"/>
        <v>43627</v>
      </c>
      <c r="P5" s="111">
        <f t="shared" si="3"/>
        <v>43628</v>
      </c>
      <c r="Q5" s="111">
        <f t="shared" si="3"/>
        <v>43629</v>
      </c>
      <c r="R5" s="111">
        <f t="shared" si="3"/>
        <v>43630</v>
      </c>
      <c r="S5" s="111">
        <f t="shared" si="3"/>
        <v>43631</v>
      </c>
      <c r="T5" s="111">
        <f t="shared" si="3"/>
        <v>43632</v>
      </c>
      <c r="U5" s="111">
        <f t="shared" si="3"/>
        <v>43633</v>
      </c>
      <c r="V5" s="111">
        <f t="shared" si="3"/>
        <v>43634</v>
      </c>
      <c r="W5" s="111">
        <f t="shared" si="3"/>
        <v>43635</v>
      </c>
      <c r="X5" s="111">
        <f t="shared" si="3"/>
        <v>43636</v>
      </c>
      <c r="Y5" s="111">
        <f t="shared" si="3"/>
        <v>43637</v>
      </c>
      <c r="Z5" s="111">
        <f t="shared" si="3"/>
        <v>43638</v>
      </c>
      <c r="AA5" s="111">
        <f t="shared" si="3"/>
        <v>43639</v>
      </c>
      <c r="AB5" s="111">
        <f t="shared" si="3"/>
        <v>43640</v>
      </c>
      <c r="AC5" s="111">
        <f t="shared" si="3"/>
        <v>43641</v>
      </c>
      <c r="AD5" s="111">
        <f t="shared" si="3"/>
        <v>43642</v>
      </c>
      <c r="AE5" s="111">
        <f t="shared" si="3"/>
        <v>43643</v>
      </c>
      <c r="AF5" s="111">
        <f t="shared" si="3"/>
        <v>43644</v>
      </c>
      <c r="AG5" s="111">
        <f t="shared" si="3"/>
        <v>43645</v>
      </c>
      <c r="AH5" s="111">
        <f t="shared" si="3"/>
        <v>43646</v>
      </c>
      <c r="AI5" s="96"/>
      <c r="AK5" s="78" t="s">
        <v>1</v>
      </c>
      <c r="AL5" s="1" t="str">
        <f ca="1">IF(V5=AL4,"sim","não")</f>
        <v>não</v>
      </c>
    </row>
    <row r="6" spans="1:38" x14ac:dyDescent="0.25">
      <c r="A6" s="96"/>
      <c r="B6" s="83"/>
      <c r="C6" s="15" t="s">
        <v>62</v>
      </c>
      <c r="D6" s="113">
        <f>SUM(D8:D31)</f>
        <v>1</v>
      </c>
      <c r="E6" s="114">
        <f t="shared" ref="E6:AH6" si="4">SUM(E7:E31)</f>
        <v>-219.35</v>
      </c>
      <c r="F6" s="114">
        <f t="shared" si="4"/>
        <v>-42.43</v>
      </c>
      <c r="G6" s="114">
        <f t="shared" si="4"/>
        <v>-19.899999999999999</v>
      </c>
      <c r="H6" s="114">
        <f t="shared" si="4"/>
        <v>-7.18</v>
      </c>
      <c r="I6" s="114">
        <f t="shared" si="4"/>
        <v>-9.1900000000000013</v>
      </c>
      <c r="J6" s="114">
        <f t="shared" si="4"/>
        <v>-179.28</v>
      </c>
      <c r="K6" s="114">
        <f t="shared" si="4"/>
        <v>-557.5</v>
      </c>
      <c r="L6" s="114">
        <f t="shared" si="4"/>
        <v>-92.1</v>
      </c>
      <c r="M6" s="114">
        <f t="shared" si="4"/>
        <v>-59.32</v>
      </c>
      <c r="N6" s="114">
        <f t="shared" si="4"/>
        <v>-4.1100000000000003</v>
      </c>
      <c r="O6" s="114">
        <f t="shared" si="4"/>
        <v>-34.5</v>
      </c>
      <c r="P6" s="114">
        <f t="shared" si="4"/>
        <v>-13.48</v>
      </c>
      <c r="Q6" s="114">
        <f t="shared" si="4"/>
        <v>-16.899999999999999</v>
      </c>
      <c r="R6" s="114">
        <f t="shared" si="4"/>
        <v>-12</v>
      </c>
      <c r="S6" s="114">
        <f t="shared" si="4"/>
        <v>-2</v>
      </c>
      <c r="T6" s="114">
        <f t="shared" si="4"/>
        <v>-16.5</v>
      </c>
      <c r="U6" s="114">
        <f t="shared" si="4"/>
        <v>-43.12</v>
      </c>
      <c r="V6" s="114">
        <f t="shared" si="4"/>
        <v>-20.48</v>
      </c>
      <c r="W6" s="114">
        <f t="shared" si="4"/>
        <v>-16.7</v>
      </c>
      <c r="X6" s="114">
        <f t="shared" si="4"/>
        <v>-20.98</v>
      </c>
      <c r="Y6" s="114">
        <f t="shared" si="4"/>
        <v>-6.5</v>
      </c>
      <c r="Z6" s="114">
        <f t="shared" si="4"/>
        <v>-28.39</v>
      </c>
      <c r="AA6" s="114">
        <f t="shared" si="4"/>
        <v>-65.72</v>
      </c>
      <c r="AB6" s="114">
        <f t="shared" si="4"/>
        <v>-84.72</v>
      </c>
      <c r="AC6" s="114">
        <f t="shared" si="4"/>
        <v>-23.32</v>
      </c>
      <c r="AD6" s="114">
        <f t="shared" si="4"/>
        <v>-25.53</v>
      </c>
      <c r="AE6" s="114">
        <f t="shared" si="4"/>
        <v>0</v>
      </c>
      <c r="AF6" s="114">
        <f t="shared" si="4"/>
        <v>-32.18</v>
      </c>
      <c r="AG6" s="114">
        <f t="shared" si="4"/>
        <v>-62.599999999999994</v>
      </c>
      <c r="AH6" s="114">
        <f t="shared" si="4"/>
        <v>-73.819999999999993</v>
      </c>
      <c r="AI6" s="96"/>
      <c r="AK6" s="78">
        <v>6</v>
      </c>
      <c r="AL6" s="1"/>
    </row>
    <row r="7" spans="1:38" x14ac:dyDescent="0.25">
      <c r="A7" s="96"/>
      <c r="B7" s="86" t="s">
        <v>90</v>
      </c>
      <c r="C7" s="87">
        <f t="shared" ref="C7:C32" si="5">SUM(E7:AH7)</f>
        <v>0</v>
      </c>
      <c r="D7" s="91" t="s">
        <v>66</v>
      </c>
      <c r="E7" s="92" t="s">
        <v>66</v>
      </c>
      <c r="F7" s="92" t="s">
        <v>66</v>
      </c>
      <c r="G7" s="92" t="s">
        <v>66</v>
      </c>
      <c r="H7" s="92" t="s">
        <v>66</v>
      </c>
      <c r="I7" s="92" t="s">
        <v>66</v>
      </c>
      <c r="J7" s="92" t="s">
        <v>66</v>
      </c>
      <c r="K7" s="92" t="s">
        <v>66</v>
      </c>
      <c r="L7" s="92" t="s">
        <v>66</v>
      </c>
      <c r="M7" s="92" t="s">
        <v>66</v>
      </c>
      <c r="N7" s="92" t="s">
        <v>66</v>
      </c>
      <c r="O7" s="92" t="s">
        <v>66</v>
      </c>
      <c r="P7" s="92" t="s">
        <v>66</v>
      </c>
      <c r="Q7" s="92" t="s">
        <v>66</v>
      </c>
      <c r="R7" s="92" t="s">
        <v>66</v>
      </c>
      <c r="S7" s="92" t="s">
        <v>66</v>
      </c>
      <c r="T7" s="92" t="s">
        <v>66</v>
      </c>
      <c r="U7" s="92" t="s">
        <v>66</v>
      </c>
      <c r="V7" s="92" t="s">
        <v>66</v>
      </c>
      <c r="W7" s="92" t="s">
        <v>66</v>
      </c>
      <c r="X7" s="92" t="s">
        <v>66</v>
      </c>
      <c r="Y7" s="92" t="s">
        <v>66</v>
      </c>
      <c r="Z7" s="92" t="s">
        <v>66</v>
      </c>
      <c r="AA7" s="92" t="s">
        <v>66</v>
      </c>
      <c r="AB7" s="92" t="s">
        <v>66</v>
      </c>
      <c r="AC7" s="92" t="s">
        <v>66</v>
      </c>
      <c r="AD7" s="92" t="s">
        <v>66</v>
      </c>
      <c r="AE7" s="92" t="s">
        <v>66</v>
      </c>
      <c r="AF7" s="92" t="s">
        <v>66</v>
      </c>
      <c r="AG7" s="92" t="s">
        <v>66</v>
      </c>
      <c r="AH7" s="92" t="s">
        <v>66</v>
      </c>
      <c r="AI7" s="96" t="s">
        <v>66</v>
      </c>
      <c r="AK7" s="78"/>
      <c r="AL7" s="1"/>
    </row>
    <row r="8" spans="1:38" x14ac:dyDescent="0.25">
      <c r="A8" s="96"/>
      <c r="B8" s="86" t="s">
        <v>20</v>
      </c>
      <c r="C8" s="87">
        <f t="shared" si="5"/>
        <v>-333.55999999999995</v>
      </c>
      <c r="D8" s="88">
        <f t="shared" ref="D8:D32" si="6">C8/$C$2</f>
        <v>0.16286937068536872</v>
      </c>
      <c r="E8" s="89">
        <v>-52.85</v>
      </c>
      <c r="F8" s="89" t="s">
        <v>66</v>
      </c>
      <c r="G8" s="89" t="s">
        <v>66</v>
      </c>
      <c r="H8" s="89" t="s">
        <v>66</v>
      </c>
      <c r="I8" s="89" t="s">
        <v>66</v>
      </c>
      <c r="J8" s="89">
        <v>-20.9</v>
      </c>
      <c r="K8" s="89" t="s">
        <v>66</v>
      </c>
      <c r="L8" s="89">
        <f>-14-17.6-17.6</f>
        <v>-49.2</v>
      </c>
      <c r="M8" s="89" t="s">
        <v>66</v>
      </c>
      <c r="N8" s="89" t="s">
        <v>66</v>
      </c>
      <c r="O8" s="89">
        <v>-20.9</v>
      </c>
      <c r="P8" s="89" t="s">
        <v>66</v>
      </c>
      <c r="Q8" s="89">
        <v>-11.9</v>
      </c>
      <c r="R8" s="89" t="s">
        <v>66</v>
      </c>
      <c r="S8" s="89" t="s">
        <v>66</v>
      </c>
      <c r="T8" s="89" t="s">
        <v>66</v>
      </c>
      <c r="U8" s="89">
        <v>-18</v>
      </c>
      <c r="V8" s="89" t="s">
        <v>66</v>
      </c>
      <c r="W8" s="89" t="s">
        <v>66</v>
      </c>
      <c r="X8" s="89" t="s">
        <v>66</v>
      </c>
      <c r="Y8" s="89" t="s">
        <v>66</v>
      </c>
      <c r="Z8" s="89" t="s">
        <v>66</v>
      </c>
      <c r="AA8" s="89" t="s">
        <v>66</v>
      </c>
      <c r="AB8" s="89">
        <f>-18-15.33</f>
        <v>-33.33</v>
      </c>
      <c r="AC8" s="89">
        <v>-16.32</v>
      </c>
      <c r="AD8" s="89">
        <v>-17</v>
      </c>
      <c r="AE8" s="89" t="s">
        <v>66</v>
      </c>
      <c r="AF8" s="89" t="s">
        <v>66</v>
      </c>
      <c r="AG8" s="89">
        <v>-50.16</v>
      </c>
      <c r="AH8" s="89">
        <f>-18-10-15</f>
        <v>-43</v>
      </c>
      <c r="AI8" s="96" t="s">
        <v>66</v>
      </c>
    </row>
    <row r="9" spans="1:38" x14ac:dyDescent="0.25">
      <c r="A9" s="96"/>
      <c r="B9" s="86" t="s">
        <v>21</v>
      </c>
      <c r="C9" s="87">
        <f t="shared" si="5"/>
        <v>-30.799999999999997</v>
      </c>
      <c r="D9" s="91">
        <f t="shared" si="6"/>
        <v>1.5038903397018098E-2</v>
      </c>
      <c r="E9" s="92" t="s">
        <v>66</v>
      </c>
      <c r="F9" s="92" t="s">
        <v>66</v>
      </c>
      <c r="G9" s="92">
        <v>-19.899999999999999</v>
      </c>
      <c r="H9" s="92" t="s">
        <v>66</v>
      </c>
      <c r="I9" s="92" t="s">
        <v>66</v>
      </c>
      <c r="J9" s="92" t="s">
        <v>66</v>
      </c>
      <c r="K9" s="92" t="s">
        <v>66</v>
      </c>
      <c r="L9" s="92" t="s">
        <v>66</v>
      </c>
      <c r="M9" s="92" t="s">
        <v>66</v>
      </c>
      <c r="N9" s="92" t="s">
        <v>66</v>
      </c>
      <c r="O9" s="92" t="s">
        <v>66</v>
      </c>
      <c r="P9" s="92" t="s">
        <v>66</v>
      </c>
      <c r="Q9" s="92" t="s">
        <v>66</v>
      </c>
      <c r="R9" s="92" t="s">
        <v>66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 t="s">
        <v>66</v>
      </c>
      <c r="Z9" s="92">
        <v>-10.9</v>
      </c>
      <c r="AA9" s="92" t="s">
        <v>66</v>
      </c>
      <c r="AB9" s="92" t="s">
        <v>66</v>
      </c>
      <c r="AC9" s="92" t="s">
        <v>66</v>
      </c>
      <c r="AD9" s="92" t="s">
        <v>66</v>
      </c>
      <c r="AE9" s="92" t="s">
        <v>66</v>
      </c>
      <c r="AF9" s="92" t="s">
        <v>66</v>
      </c>
      <c r="AG9" s="92" t="s">
        <v>66</v>
      </c>
      <c r="AH9" s="92" t="s">
        <v>66</v>
      </c>
      <c r="AI9" s="96" t="s">
        <v>66</v>
      </c>
      <c r="AK9" s="54"/>
    </row>
    <row r="10" spans="1:38" x14ac:dyDescent="0.25">
      <c r="A10" s="96"/>
      <c r="B10" s="86" t="s">
        <v>91</v>
      </c>
      <c r="C10" s="87">
        <f t="shared" si="5"/>
        <v>-44</v>
      </c>
      <c r="D10" s="93">
        <f t="shared" si="6"/>
        <v>2.1484147710025856E-2</v>
      </c>
      <c r="E10" s="94" t="s">
        <v>66</v>
      </c>
      <c r="F10" s="94" t="s">
        <v>66</v>
      </c>
      <c r="G10" s="94" t="s">
        <v>66</v>
      </c>
      <c r="H10" s="94" t="s">
        <v>66</v>
      </c>
      <c r="I10" s="94" t="s">
        <v>66</v>
      </c>
      <c r="J10" s="94" t="s">
        <v>66</v>
      </c>
      <c r="K10" s="94">
        <v>-2.5</v>
      </c>
      <c r="L10" s="94" t="s">
        <v>66</v>
      </c>
      <c r="M10" s="94" t="s">
        <v>66</v>
      </c>
      <c r="N10" s="94" t="s">
        <v>66</v>
      </c>
      <c r="O10" s="94" t="s">
        <v>66</v>
      </c>
      <c r="P10" s="94" t="s">
        <v>66</v>
      </c>
      <c r="Q10" s="94" t="s">
        <v>66</v>
      </c>
      <c r="R10" s="94" t="s">
        <v>66</v>
      </c>
      <c r="S10" s="94" t="s">
        <v>66</v>
      </c>
      <c r="T10" s="94">
        <v>-16.5</v>
      </c>
      <c r="U10" s="94">
        <v>-12.5</v>
      </c>
      <c r="V10" s="94" t="s">
        <v>66</v>
      </c>
      <c r="W10" s="94" t="s">
        <v>66</v>
      </c>
      <c r="X10" s="94">
        <v>-12.5</v>
      </c>
      <c r="Y10" s="94" t="s">
        <v>66</v>
      </c>
      <c r="Z10" s="94" t="s">
        <v>66</v>
      </c>
      <c r="AA10" s="94" t="s">
        <v>66</v>
      </c>
      <c r="AB10" s="94" t="s">
        <v>66</v>
      </c>
      <c r="AC10" s="94" t="s">
        <v>66</v>
      </c>
      <c r="AD10" s="94" t="s">
        <v>66</v>
      </c>
      <c r="AE10" s="94" t="s">
        <v>66</v>
      </c>
      <c r="AF10" s="94" t="s">
        <v>66</v>
      </c>
      <c r="AG10" s="94" t="s">
        <v>66</v>
      </c>
      <c r="AH10" s="94" t="s">
        <v>66</v>
      </c>
      <c r="AI10" s="96" t="s">
        <v>66</v>
      </c>
      <c r="AK10" s="54"/>
    </row>
    <row r="11" spans="1:38" x14ac:dyDescent="0.25">
      <c r="A11" s="96"/>
      <c r="B11" s="86" t="s">
        <v>22</v>
      </c>
      <c r="C11" s="87">
        <f t="shared" si="5"/>
        <v>-46.480000000000004</v>
      </c>
      <c r="D11" s="91">
        <f t="shared" si="6"/>
        <v>2.2695072399136405E-2</v>
      </c>
      <c r="E11" s="92" t="s">
        <v>66</v>
      </c>
      <c r="F11" s="92" t="s">
        <v>66</v>
      </c>
      <c r="G11" s="92" t="s">
        <v>66</v>
      </c>
      <c r="H11" s="92">
        <v>-5</v>
      </c>
      <c r="I11" s="92">
        <v>-3.5</v>
      </c>
      <c r="J11" s="92" t="s">
        <v>66</v>
      </c>
      <c r="K11" s="92">
        <v>-5</v>
      </c>
      <c r="L11" s="92" t="s">
        <v>66</v>
      </c>
      <c r="M11" s="92" t="s">
        <v>66</v>
      </c>
      <c r="N11" s="92" t="s">
        <v>66</v>
      </c>
      <c r="O11" s="92" t="s">
        <v>66</v>
      </c>
      <c r="P11" s="92" t="s">
        <v>66</v>
      </c>
      <c r="Q11" s="92" t="s">
        <v>66</v>
      </c>
      <c r="R11" s="92">
        <v>-7</v>
      </c>
      <c r="S11" s="92">
        <v>-2</v>
      </c>
      <c r="T11" s="92" t="s">
        <v>66</v>
      </c>
      <c r="U11" s="92" t="s">
        <v>66</v>
      </c>
      <c r="V11" s="92" t="s">
        <v>66</v>
      </c>
      <c r="W11" s="92" t="s">
        <v>66</v>
      </c>
      <c r="X11" s="92">
        <f>-5.98-2.5</f>
        <v>-8.48</v>
      </c>
      <c r="Y11" s="92" t="s">
        <v>66</v>
      </c>
      <c r="Z11" s="92">
        <v>-5</v>
      </c>
      <c r="AA11" s="92" t="s">
        <v>66</v>
      </c>
      <c r="AB11" s="92" t="s">
        <v>66</v>
      </c>
      <c r="AC11" s="92">
        <v>-7</v>
      </c>
      <c r="AD11" s="92" t="s">
        <v>66</v>
      </c>
      <c r="AE11" s="92" t="s">
        <v>66</v>
      </c>
      <c r="AF11" s="92" t="s">
        <v>66</v>
      </c>
      <c r="AG11" s="92">
        <v>-3.5</v>
      </c>
      <c r="AH11" s="92" t="s">
        <v>66</v>
      </c>
      <c r="AI11" s="96" t="s">
        <v>66</v>
      </c>
      <c r="AK11" s="54"/>
    </row>
    <row r="12" spans="1:38" x14ac:dyDescent="0.25">
      <c r="A12" s="96"/>
      <c r="B12" s="86" t="s">
        <v>23</v>
      </c>
      <c r="C12" s="87">
        <f t="shared" si="5"/>
        <v>-11.3</v>
      </c>
      <c r="D12" s="93">
        <f t="shared" si="6"/>
        <v>5.5175197528020952E-3</v>
      </c>
      <c r="E12" s="94" t="s">
        <v>66</v>
      </c>
      <c r="F12" s="94" t="s">
        <v>66</v>
      </c>
      <c r="G12" s="94" t="s">
        <v>66</v>
      </c>
      <c r="H12" s="94" t="s">
        <v>66</v>
      </c>
      <c r="I12" s="94" t="s">
        <v>66</v>
      </c>
      <c r="J12" s="94" t="s">
        <v>66</v>
      </c>
      <c r="K12" s="94" t="s">
        <v>66</v>
      </c>
      <c r="L12" s="94" t="s">
        <v>66</v>
      </c>
      <c r="M12" s="94" t="s">
        <v>66</v>
      </c>
      <c r="N12" s="94" t="s">
        <v>66</v>
      </c>
      <c r="O12" s="94">
        <v>-4.8</v>
      </c>
      <c r="P12" s="94" t="s">
        <v>66</v>
      </c>
      <c r="Q12" s="94" t="s">
        <v>66</v>
      </c>
      <c r="R12" s="94" t="s">
        <v>66</v>
      </c>
      <c r="S12" s="94" t="s">
        <v>66</v>
      </c>
      <c r="T12" s="94" t="s">
        <v>66</v>
      </c>
      <c r="U12" s="94" t="s">
        <v>66</v>
      </c>
      <c r="V12" s="94" t="s">
        <v>66</v>
      </c>
      <c r="W12" s="94" t="s">
        <v>66</v>
      </c>
      <c r="X12" s="94" t="s">
        <v>66</v>
      </c>
      <c r="Y12" s="94" t="s">
        <v>66</v>
      </c>
      <c r="Z12" s="94">
        <v>-4.5</v>
      </c>
      <c r="AA12" s="94" t="s">
        <v>66</v>
      </c>
      <c r="AB12" s="94" t="s">
        <v>66</v>
      </c>
      <c r="AC12" s="94" t="s">
        <v>66</v>
      </c>
      <c r="AD12" s="94" t="s">
        <v>66</v>
      </c>
      <c r="AE12" s="94" t="s">
        <v>66</v>
      </c>
      <c r="AF12" s="94" t="s">
        <v>66</v>
      </c>
      <c r="AG12" s="94">
        <v>-2</v>
      </c>
      <c r="AH12" s="94" t="s">
        <v>66</v>
      </c>
      <c r="AI12" s="96" t="s">
        <v>66</v>
      </c>
    </row>
    <row r="13" spans="1:38" x14ac:dyDescent="0.25">
      <c r="A13" s="96"/>
      <c r="B13" s="86" t="s">
        <v>81</v>
      </c>
      <c r="C13" s="87">
        <f t="shared" si="5"/>
        <v>-20</v>
      </c>
      <c r="D13" s="91">
        <f t="shared" si="6"/>
        <v>9.7655216863753898E-3</v>
      </c>
      <c r="E13" s="92" t="s">
        <v>66</v>
      </c>
      <c r="F13" s="92">
        <v>-10</v>
      </c>
      <c r="G13" s="92" t="s">
        <v>66</v>
      </c>
      <c r="H13" s="92" t="s">
        <v>66</v>
      </c>
      <c r="I13" s="92" t="s">
        <v>66</v>
      </c>
      <c r="J13" s="92" t="s">
        <v>66</v>
      </c>
      <c r="K13" s="92" t="s">
        <v>66</v>
      </c>
      <c r="L13" s="92" t="s">
        <v>66</v>
      </c>
      <c r="M13" s="92" t="s">
        <v>66</v>
      </c>
      <c r="N13" s="92" t="s">
        <v>66</v>
      </c>
      <c r="O13" s="92" t="s">
        <v>66</v>
      </c>
      <c r="P13" s="92" t="s">
        <v>66</v>
      </c>
      <c r="Q13" s="92" t="s">
        <v>66</v>
      </c>
      <c r="R13" s="92" t="s">
        <v>66</v>
      </c>
      <c r="S13" s="92" t="s">
        <v>66</v>
      </c>
      <c r="T13" s="92" t="s">
        <v>66</v>
      </c>
      <c r="U13" s="92" t="s">
        <v>66</v>
      </c>
      <c r="V13" s="92" t="s">
        <v>66</v>
      </c>
      <c r="W13" s="92" t="s">
        <v>66</v>
      </c>
      <c r="X13" s="92" t="s">
        <v>66</v>
      </c>
      <c r="Y13" s="92" t="s">
        <v>66</v>
      </c>
      <c r="Z13" s="92" t="s">
        <v>66</v>
      </c>
      <c r="AA13" s="92">
        <v>-10</v>
      </c>
      <c r="AB13" s="92" t="s">
        <v>66</v>
      </c>
      <c r="AC13" s="92" t="s">
        <v>66</v>
      </c>
      <c r="AD13" s="92" t="s">
        <v>66</v>
      </c>
      <c r="AE13" s="92" t="s">
        <v>66</v>
      </c>
      <c r="AF13" s="92" t="s">
        <v>66</v>
      </c>
      <c r="AG13" s="92" t="s">
        <v>66</v>
      </c>
      <c r="AH13" s="92" t="s">
        <v>66</v>
      </c>
      <c r="AI13" s="96" t="s">
        <v>66</v>
      </c>
    </row>
    <row r="14" spans="1:38" x14ac:dyDescent="0.25">
      <c r="A14" s="96"/>
      <c r="B14" s="86" t="s">
        <v>24</v>
      </c>
      <c r="C14" s="87">
        <f t="shared" si="5"/>
        <v>-139.20000000000002</v>
      </c>
      <c r="D14" s="93">
        <f t="shared" si="6"/>
        <v>6.7968030937172713E-2</v>
      </c>
      <c r="E14" s="94" t="s">
        <v>66</v>
      </c>
      <c r="F14" s="94">
        <v>-20.51</v>
      </c>
      <c r="G14" s="94" t="s">
        <v>66</v>
      </c>
      <c r="H14" s="94">
        <v>-2.1800000000000002</v>
      </c>
      <c r="I14" s="94">
        <v>-5.69</v>
      </c>
      <c r="J14" s="94">
        <v>-8.3800000000000008</v>
      </c>
      <c r="K14" s="94" t="s">
        <v>66</v>
      </c>
      <c r="L14" s="94" t="s">
        <v>66</v>
      </c>
      <c r="M14" s="94">
        <v>-38.49</v>
      </c>
      <c r="N14" s="94">
        <v>-4.1100000000000003</v>
      </c>
      <c r="O14" s="94"/>
      <c r="P14" s="94">
        <f>-1.29-12.19</f>
        <v>-13.48</v>
      </c>
      <c r="Q14" s="94" t="s">
        <v>66</v>
      </c>
      <c r="R14" s="94" t="s">
        <v>66</v>
      </c>
      <c r="S14" s="94" t="s">
        <v>66</v>
      </c>
      <c r="T14" s="94" t="s">
        <v>66</v>
      </c>
      <c r="U14" s="94" t="s">
        <v>66</v>
      </c>
      <c r="V14" s="133">
        <f>-7-13.48</f>
        <v>-20.48</v>
      </c>
      <c r="W14" s="94" t="s">
        <v>66</v>
      </c>
      <c r="X14" s="94" t="s">
        <v>66</v>
      </c>
      <c r="Y14" s="94" t="s">
        <v>66</v>
      </c>
      <c r="Z14" s="94" t="s">
        <v>66</v>
      </c>
      <c r="AA14" s="94">
        <v>-17.350000000000001</v>
      </c>
      <c r="AB14" s="94" t="s">
        <v>66</v>
      </c>
      <c r="AC14" s="94" t="s">
        <v>66</v>
      </c>
      <c r="AD14" s="94">
        <v>-8.5299999999999994</v>
      </c>
      <c r="AE14" s="94" t="s">
        <v>66</v>
      </c>
      <c r="AF14" s="94" t="s">
        <v>66</v>
      </c>
      <c r="AG14" s="94" t="s">
        <v>66</v>
      </c>
      <c r="AH14" s="94" t="s">
        <v>66</v>
      </c>
      <c r="AI14" s="96" t="s">
        <v>66</v>
      </c>
    </row>
    <row r="15" spans="1:38" x14ac:dyDescent="0.25">
      <c r="A15" s="96"/>
      <c r="B15" s="86" t="s">
        <v>27</v>
      </c>
      <c r="C15" s="87">
        <f t="shared" si="5"/>
        <v>-172.75</v>
      </c>
      <c r="D15" s="91">
        <f t="shared" si="6"/>
        <v>8.4349693566067419E-2</v>
      </c>
      <c r="E15" s="92" t="s">
        <v>66</v>
      </c>
      <c r="F15" s="92" t="s">
        <v>66</v>
      </c>
      <c r="G15" s="92" t="s">
        <v>66</v>
      </c>
      <c r="H15" s="92" t="s">
        <v>66</v>
      </c>
      <c r="I15" s="92" t="s">
        <v>66</v>
      </c>
      <c r="J15" s="92">
        <v>-150</v>
      </c>
      <c r="K15" s="92" t="s">
        <v>66</v>
      </c>
      <c r="L15" s="92" t="s">
        <v>66</v>
      </c>
      <c r="M15" s="92" t="s">
        <v>66</v>
      </c>
      <c r="N15" s="92" t="s">
        <v>66</v>
      </c>
      <c r="O15" s="92" t="s">
        <v>66</v>
      </c>
      <c r="P15" s="92" t="s">
        <v>66</v>
      </c>
      <c r="Q15" s="92" t="s">
        <v>68</v>
      </c>
      <c r="R15" s="92" t="s">
        <v>66</v>
      </c>
      <c r="S15" s="92" t="s">
        <v>66</v>
      </c>
      <c r="T15" s="92" t="s">
        <v>66</v>
      </c>
      <c r="U15" s="92" t="s">
        <v>66</v>
      </c>
      <c r="V15" s="92" t="s">
        <v>68</v>
      </c>
      <c r="W15" s="92" t="s">
        <v>66</v>
      </c>
      <c r="X15" s="92" t="s">
        <v>66</v>
      </c>
      <c r="Y15" s="92" t="s">
        <v>66</v>
      </c>
      <c r="Z15" s="92" t="s">
        <v>66</v>
      </c>
      <c r="AA15" s="92" t="s">
        <v>66</v>
      </c>
      <c r="AB15" s="92" t="s">
        <v>66</v>
      </c>
      <c r="AC15" s="92" t="s">
        <v>68</v>
      </c>
      <c r="AD15" s="92" t="s">
        <v>66</v>
      </c>
      <c r="AE15" s="92" t="s">
        <v>66</v>
      </c>
      <c r="AF15" s="92">
        <v>-22.75</v>
      </c>
      <c r="AG15" s="92" t="s">
        <v>66</v>
      </c>
      <c r="AH15" s="92" t="s">
        <v>66</v>
      </c>
      <c r="AI15" s="96" t="s">
        <v>66</v>
      </c>
    </row>
    <row r="16" spans="1:38" x14ac:dyDescent="0.25">
      <c r="A16" s="96"/>
      <c r="B16" s="86" t="s">
        <v>28</v>
      </c>
      <c r="C16" s="87">
        <f t="shared" si="5"/>
        <v>0</v>
      </c>
      <c r="D16" s="93">
        <f t="shared" si="6"/>
        <v>0</v>
      </c>
      <c r="E16" s="94" t="s">
        <v>66</v>
      </c>
      <c r="F16" s="94" t="s">
        <v>66</v>
      </c>
      <c r="G16" s="94" t="s">
        <v>66</v>
      </c>
      <c r="H16" s="94" t="s">
        <v>66</v>
      </c>
      <c r="I16" s="94" t="s">
        <v>66</v>
      </c>
      <c r="J16" s="94" t="s">
        <v>66</v>
      </c>
      <c r="K16" s="94" t="s">
        <v>66</v>
      </c>
      <c r="L16" s="94" t="s">
        <v>66</v>
      </c>
      <c r="M16" s="94" t="s">
        <v>66</v>
      </c>
      <c r="N16" s="94" t="s">
        <v>66</v>
      </c>
      <c r="O16" s="94" t="s">
        <v>66</v>
      </c>
      <c r="P16" s="94" t="s">
        <v>66</v>
      </c>
      <c r="Q16" s="94" t="s">
        <v>66</v>
      </c>
      <c r="R16" s="94" t="s">
        <v>66</v>
      </c>
      <c r="S16" s="94" t="s">
        <v>66</v>
      </c>
      <c r="T16" s="94" t="s">
        <v>66</v>
      </c>
      <c r="U16" s="94" t="s">
        <v>66</v>
      </c>
      <c r="V16" s="94" t="s">
        <v>66</v>
      </c>
      <c r="W16" s="94" t="s">
        <v>66</v>
      </c>
      <c r="X16" s="94" t="s">
        <v>66</v>
      </c>
      <c r="Y16" s="94" t="s">
        <v>66</v>
      </c>
      <c r="Z16" s="94" t="s">
        <v>66</v>
      </c>
      <c r="AA16" s="94" t="s">
        <v>66</v>
      </c>
      <c r="AB16" s="94" t="s">
        <v>66</v>
      </c>
      <c r="AC16" s="94" t="s">
        <v>66</v>
      </c>
      <c r="AD16" s="94" t="s">
        <v>66</v>
      </c>
      <c r="AE16" s="94" t="s">
        <v>66</v>
      </c>
      <c r="AF16" s="94" t="s">
        <v>66</v>
      </c>
      <c r="AG16" s="94" t="s">
        <v>66</v>
      </c>
      <c r="AH16" s="94" t="s">
        <v>66</v>
      </c>
      <c r="AI16" s="96" t="s">
        <v>66</v>
      </c>
    </row>
    <row r="17" spans="1:38" x14ac:dyDescent="0.25">
      <c r="A17" s="96"/>
      <c r="B17" s="86" t="s">
        <v>89</v>
      </c>
      <c r="C17" s="87">
        <f t="shared" si="5"/>
        <v>-25</v>
      </c>
      <c r="D17" s="91">
        <f t="shared" si="6"/>
        <v>1.2206902107969236E-2</v>
      </c>
      <c r="E17" s="92" t="s">
        <v>66</v>
      </c>
      <c r="F17" s="92" t="s">
        <v>66</v>
      </c>
      <c r="G17" s="92" t="s">
        <v>66</v>
      </c>
      <c r="H17" s="92" t="s">
        <v>66</v>
      </c>
      <c r="I17" s="92" t="s">
        <v>66</v>
      </c>
      <c r="J17" s="92" t="s">
        <v>66</v>
      </c>
      <c r="K17" s="92" t="s">
        <v>66</v>
      </c>
      <c r="L17" s="92" t="s">
        <v>66</v>
      </c>
      <c r="M17" s="92" t="s">
        <v>66</v>
      </c>
      <c r="N17" s="92" t="s">
        <v>66</v>
      </c>
      <c r="O17" s="92" t="s">
        <v>66</v>
      </c>
      <c r="P17" s="92" t="s">
        <v>66</v>
      </c>
      <c r="Q17" s="92">
        <v>-5</v>
      </c>
      <c r="R17" s="92">
        <v>-5</v>
      </c>
      <c r="S17" s="92" t="s">
        <v>66</v>
      </c>
      <c r="T17" s="92" t="s">
        <v>66</v>
      </c>
      <c r="U17" s="92">
        <v>-5</v>
      </c>
      <c r="V17" s="92" t="s">
        <v>66</v>
      </c>
      <c r="W17" s="92" t="s">
        <v>66</v>
      </c>
      <c r="X17" s="92" t="s">
        <v>66</v>
      </c>
      <c r="Y17" s="92" t="s">
        <v>66</v>
      </c>
      <c r="Z17" s="92" t="s">
        <v>66</v>
      </c>
      <c r="AA17" s="92">
        <v>-5</v>
      </c>
      <c r="AB17" s="92" t="s">
        <v>66</v>
      </c>
      <c r="AC17" s="92" t="s">
        <v>66</v>
      </c>
      <c r="AD17" s="92" t="s">
        <v>66</v>
      </c>
      <c r="AE17" s="92" t="s">
        <v>66</v>
      </c>
      <c r="AF17" s="92" t="s">
        <v>66</v>
      </c>
      <c r="AG17" s="92" t="s">
        <v>66</v>
      </c>
      <c r="AH17" s="92">
        <v>-5</v>
      </c>
      <c r="AI17" s="96" t="s">
        <v>66</v>
      </c>
    </row>
    <row r="18" spans="1:38" x14ac:dyDescent="0.25">
      <c r="A18" s="96"/>
      <c r="B18" s="86" t="s">
        <v>29</v>
      </c>
      <c r="C18" s="87">
        <f t="shared" si="5"/>
        <v>-76.89</v>
      </c>
      <c r="D18" s="93">
        <f t="shared" si="6"/>
        <v>3.7543548123270182E-2</v>
      </c>
      <c r="E18" s="94" t="s">
        <v>66</v>
      </c>
      <c r="F18" s="94" t="s">
        <v>66</v>
      </c>
      <c r="G18" s="94" t="s">
        <v>66</v>
      </c>
      <c r="H18" s="94" t="s">
        <v>66</v>
      </c>
      <c r="I18" s="94" t="s">
        <v>66</v>
      </c>
      <c r="J18" s="94" t="s">
        <v>66</v>
      </c>
      <c r="K18" s="94" t="s">
        <v>66</v>
      </c>
      <c r="L18" s="94">
        <v>-26.9</v>
      </c>
      <c r="M18" s="94" t="s">
        <v>66</v>
      </c>
      <c r="N18" s="94" t="s">
        <v>66</v>
      </c>
      <c r="O18" s="94" t="s">
        <v>66</v>
      </c>
      <c r="P18" s="94" t="s">
        <v>66</v>
      </c>
      <c r="Q18" s="94" t="s">
        <v>66</v>
      </c>
      <c r="R18" s="94" t="s">
        <v>66</v>
      </c>
      <c r="S18" s="94" t="s">
        <v>66</v>
      </c>
      <c r="T18" s="94" t="s">
        <v>66</v>
      </c>
      <c r="U18" s="94" t="s">
        <v>66</v>
      </c>
      <c r="V18" s="94" t="s">
        <v>66</v>
      </c>
      <c r="W18" s="94" t="s">
        <v>66</v>
      </c>
      <c r="X18" s="94" t="s">
        <v>66</v>
      </c>
      <c r="Y18" s="94" t="s">
        <v>66</v>
      </c>
      <c r="Z18" s="94" t="s">
        <v>66</v>
      </c>
      <c r="AA18" s="94" t="s">
        <v>66</v>
      </c>
      <c r="AB18" s="94">
        <v>-49.99</v>
      </c>
      <c r="AC18" s="94" t="s">
        <v>66</v>
      </c>
      <c r="AD18" s="94" t="s">
        <v>66</v>
      </c>
      <c r="AE18" s="94" t="s">
        <v>66</v>
      </c>
      <c r="AF18" s="94" t="s">
        <v>66</v>
      </c>
      <c r="AG18" s="94" t="s">
        <v>66</v>
      </c>
      <c r="AH18" s="94" t="s">
        <v>66</v>
      </c>
      <c r="AI18" s="96" t="s">
        <v>66</v>
      </c>
    </row>
    <row r="19" spans="1:38" x14ac:dyDescent="0.25">
      <c r="A19" s="96"/>
      <c r="B19" s="86" t="s">
        <v>31</v>
      </c>
      <c r="C19" s="87">
        <f t="shared" si="5"/>
        <v>0</v>
      </c>
      <c r="D19" s="91">
        <f t="shared" si="6"/>
        <v>0</v>
      </c>
      <c r="E19" s="92" t="s">
        <v>66</v>
      </c>
      <c r="F19" s="92" t="s">
        <v>66</v>
      </c>
      <c r="G19" s="92" t="s">
        <v>66</v>
      </c>
      <c r="H19" s="92" t="s">
        <v>66</v>
      </c>
      <c r="I19" s="92" t="s">
        <v>66</v>
      </c>
      <c r="J19" s="92" t="s">
        <v>66</v>
      </c>
      <c r="K19" s="92" t="s">
        <v>66</v>
      </c>
      <c r="L19" s="92" t="s">
        <v>66</v>
      </c>
      <c r="M19" s="92" t="s">
        <v>66</v>
      </c>
      <c r="N19" s="92" t="s">
        <v>66</v>
      </c>
      <c r="O19" s="92" t="s">
        <v>66</v>
      </c>
      <c r="P19" s="92" t="s">
        <v>66</v>
      </c>
      <c r="Q19" s="92" t="s">
        <v>66</v>
      </c>
      <c r="R19" s="92" t="s">
        <v>66</v>
      </c>
      <c r="S19" s="92" t="s">
        <v>66</v>
      </c>
      <c r="T19" s="92" t="s">
        <v>66</v>
      </c>
      <c r="U19" s="92" t="s">
        <v>66</v>
      </c>
      <c r="V19" s="92" t="s">
        <v>66</v>
      </c>
      <c r="W19" s="92" t="s">
        <v>66</v>
      </c>
      <c r="X19" s="92" t="s">
        <v>66</v>
      </c>
      <c r="Y19" s="92" t="s">
        <v>66</v>
      </c>
      <c r="Z19" s="92" t="s">
        <v>66</v>
      </c>
      <c r="AA19" s="92" t="s">
        <v>66</v>
      </c>
      <c r="AB19" s="92" t="s">
        <v>66</v>
      </c>
      <c r="AC19" s="92" t="s">
        <v>66</v>
      </c>
      <c r="AD19" s="92" t="s">
        <v>66</v>
      </c>
      <c r="AE19" s="92" t="s">
        <v>66</v>
      </c>
      <c r="AF19" s="92" t="s">
        <v>66</v>
      </c>
      <c r="AG19" s="92" t="s">
        <v>66</v>
      </c>
      <c r="AH19" s="92" t="s">
        <v>66</v>
      </c>
      <c r="AI19" s="96" t="s">
        <v>66</v>
      </c>
    </row>
    <row r="20" spans="1:38" x14ac:dyDescent="0.25">
      <c r="A20" s="96"/>
      <c r="B20" s="86" t="s">
        <v>32</v>
      </c>
      <c r="C20" s="87">
        <f t="shared" si="5"/>
        <v>-135</v>
      </c>
      <c r="D20" s="93">
        <f t="shared" si="6"/>
        <v>6.5917271383033882E-2</v>
      </c>
      <c r="E20" s="94">
        <v>-135</v>
      </c>
      <c r="F20" s="94" t="s">
        <v>66</v>
      </c>
      <c r="G20" s="94" t="s">
        <v>66</v>
      </c>
      <c r="H20" s="94" t="s">
        <v>66</v>
      </c>
      <c r="I20" s="94" t="s">
        <v>66</v>
      </c>
      <c r="J20" s="94" t="s">
        <v>66</v>
      </c>
      <c r="K20" s="94" t="s">
        <v>66</v>
      </c>
      <c r="L20" s="94" t="s">
        <v>66</v>
      </c>
      <c r="M20" s="94" t="s">
        <v>66</v>
      </c>
      <c r="N20" s="94" t="s">
        <v>66</v>
      </c>
      <c r="O20" s="94" t="s">
        <v>66</v>
      </c>
      <c r="P20" s="94" t="s">
        <v>66</v>
      </c>
      <c r="Q20" s="94" t="s">
        <v>66</v>
      </c>
      <c r="R20" s="94" t="s">
        <v>66</v>
      </c>
      <c r="S20" s="94" t="s">
        <v>66</v>
      </c>
      <c r="T20" s="94" t="s">
        <v>66</v>
      </c>
      <c r="U20" s="94" t="s">
        <v>66</v>
      </c>
      <c r="V20" s="94" t="s">
        <v>66</v>
      </c>
      <c r="W20" s="94" t="s">
        <v>66</v>
      </c>
      <c r="X20" s="94" t="s">
        <v>66</v>
      </c>
      <c r="Y20" s="94" t="s">
        <v>66</v>
      </c>
      <c r="Z20" s="94" t="s">
        <v>66</v>
      </c>
      <c r="AA20" s="94" t="s">
        <v>66</v>
      </c>
      <c r="AB20" s="94" t="s">
        <v>66</v>
      </c>
      <c r="AC20" s="94" t="s">
        <v>66</v>
      </c>
      <c r="AD20" s="94" t="s">
        <v>66</v>
      </c>
      <c r="AE20" s="94" t="s">
        <v>66</v>
      </c>
      <c r="AF20" s="94" t="s">
        <v>66</v>
      </c>
      <c r="AG20" s="94" t="s">
        <v>66</v>
      </c>
      <c r="AH20" s="94" t="s">
        <v>66</v>
      </c>
      <c r="AI20" s="96" t="s">
        <v>66</v>
      </c>
    </row>
    <row r="21" spans="1:38" ht="15.75" customHeight="1" x14ac:dyDescent="0.25">
      <c r="A21" s="96"/>
      <c r="B21" s="86" t="s">
        <v>33</v>
      </c>
      <c r="C21" s="87">
        <f t="shared" si="5"/>
        <v>-195.21</v>
      </c>
      <c r="D21" s="91">
        <f t="shared" si="6"/>
        <v>9.5316374419866984E-2</v>
      </c>
      <c r="E21" s="92">
        <f>-15.7-15.8</f>
        <v>-31.5</v>
      </c>
      <c r="F21" s="92">
        <v>-10.3</v>
      </c>
      <c r="G21" s="92" t="s">
        <v>66</v>
      </c>
      <c r="H21" s="92" t="s">
        <v>66</v>
      </c>
      <c r="I21" s="92" t="s">
        <v>66</v>
      </c>
      <c r="J21" s="92" t="s">
        <v>66</v>
      </c>
      <c r="K21" s="92" t="s">
        <v>66</v>
      </c>
      <c r="L21" s="92">
        <v>-16</v>
      </c>
      <c r="M21" s="92">
        <v>-20.83</v>
      </c>
      <c r="N21" s="92" t="s">
        <v>66</v>
      </c>
      <c r="O21" s="92">
        <v>-8.8000000000000007</v>
      </c>
      <c r="P21" s="92" t="s">
        <v>66</v>
      </c>
      <c r="Q21" s="92" t="s">
        <v>66</v>
      </c>
      <c r="R21" s="92" t="s">
        <v>66</v>
      </c>
      <c r="S21" s="92" t="s">
        <v>66</v>
      </c>
      <c r="T21" s="92" t="s">
        <v>66</v>
      </c>
      <c r="U21" s="92">
        <v>-7.62</v>
      </c>
      <c r="V21" s="92" t="s">
        <v>66</v>
      </c>
      <c r="W21" s="92">
        <v>-16.7</v>
      </c>
      <c r="X21" s="92" t="s">
        <v>66</v>
      </c>
      <c r="Y21" s="92">
        <v>-6.5</v>
      </c>
      <c r="Z21" s="92" t="s">
        <v>66</v>
      </c>
      <c r="AA21" s="92">
        <v>-33.369999999999997</v>
      </c>
      <c r="AB21" s="92">
        <v>-1.4</v>
      </c>
      <c r="AC21" s="92" t="s">
        <v>66</v>
      </c>
      <c r="AD21" s="92" t="s">
        <v>66</v>
      </c>
      <c r="AE21" s="92" t="s">
        <v>66</v>
      </c>
      <c r="AF21" s="92">
        <v>-9.43</v>
      </c>
      <c r="AG21" s="92">
        <v>-6.94</v>
      </c>
      <c r="AH21" s="92">
        <f>-16.34-9.48</f>
        <v>-25.82</v>
      </c>
      <c r="AI21" s="96" t="s">
        <v>66</v>
      </c>
    </row>
    <row r="22" spans="1:38" ht="15.75" customHeight="1" x14ac:dyDescent="0.25">
      <c r="A22" s="96"/>
      <c r="B22" s="86" t="s">
        <v>94</v>
      </c>
      <c r="C22" s="87">
        <f t="shared" si="5"/>
        <v>0</v>
      </c>
      <c r="D22" s="93">
        <f t="shared" si="6"/>
        <v>0</v>
      </c>
      <c r="E22" s="94" t="s">
        <v>66</v>
      </c>
      <c r="F22" s="94" t="s">
        <v>66</v>
      </c>
      <c r="G22" s="94" t="s">
        <v>66</v>
      </c>
      <c r="H22" s="94" t="s">
        <v>66</v>
      </c>
      <c r="I22" s="94" t="s">
        <v>66</v>
      </c>
      <c r="J22" s="94" t="s">
        <v>66</v>
      </c>
      <c r="K22" s="94" t="s">
        <v>66</v>
      </c>
      <c r="L22" s="94" t="s">
        <v>66</v>
      </c>
      <c r="M22" s="94" t="s">
        <v>66</v>
      </c>
      <c r="N22" s="94" t="s">
        <v>66</v>
      </c>
      <c r="O22" s="94" t="s">
        <v>66</v>
      </c>
      <c r="P22" s="94" t="s">
        <v>66</v>
      </c>
      <c r="Q22" s="94" t="s">
        <v>66</v>
      </c>
      <c r="R22" s="94" t="s">
        <v>66</v>
      </c>
      <c r="S22" s="94" t="s">
        <v>66</v>
      </c>
      <c r="T22" s="94" t="s">
        <v>66</v>
      </c>
      <c r="U22" s="94" t="s">
        <v>66</v>
      </c>
      <c r="V22" s="94" t="s">
        <v>66</v>
      </c>
      <c r="W22" s="94" t="s">
        <v>66</v>
      </c>
      <c r="X22" s="94" t="s">
        <v>66</v>
      </c>
      <c r="Y22" s="94" t="s">
        <v>66</v>
      </c>
      <c r="Z22" s="94" t="s">
        <v>66</v>
      </c>
      <c r="AA22" s="94" t="s">
        <v>66</v>
      </c>
      <c r="AB22" s="94" t="s">
        <v>66</v>
      </c>
      <c r="AC22" s="94" t="s">
        <v>66</v>
      </c>
      <c r="AD22" s="94" t="s">
        <v>66</v>
      </c>
      <c r="AE22" s="94" t="s">
        <v>66</v>
      </c>
      <c r="AF22" s="94" t="s">
        <v>66</v>
      </c>
      <c r="AG22" s="94" t="s">
        <v>66</v>
      </c>
      <c r="AH22" s="94" t="s">
        <v>66</v>
      </c>
      <c r="AI22" s="96" t="s">
        <v>66</v>
      </c>
    </row>
    <row r="23" spans="1:38" ht="15.75" customHeight="1" x14ac:dyDescent="0.25">
      <c r="A23" s="96"/>
      <c r="B23" s="86" t="s">
        <v>34</v>
      </c>
      <c r="C23" s="87">
        <f t="shared" si="5"/>
        <v>0</v>
      </c>
      <c r="D23" s="91">
        <f t="shared" si="6"/>
        <v>0</v>
      </c>
      <c r="E23" s="92" t="s">
        <v>66</v>
      </c>
      <c r="F23" s="92" t="s">
        <v>66</v>
      </c>
      <c r="G23" s="92" t="s">
        <v>66</v>
      </c>
      <c r="H23" s="92" t="s">
        <v>66</v>
      </c>
      <c r="I23" s="92" t="s">
        <v>66</v>
      </c>
      <c r="J23" s="92" t="s">
        <v>66</v>
      </c>
      <c r="K23" s="92" t="s">
        <v>66</v>
      </c>
      <c r="L23" s="92" t="s">
        <v>66</v>
      </c>
      <c r="M23" s="92" t="s">
        <v>66</v>
      </c>
      <c r="N23" s="92" t="s">
        <v>66</v>
      </c>
      <c r="O23" s="92" t="s">
        <v>66</v>
      </c>
      <c r="P23" s="92" t="s">
        <v>66</v>
      </c>
      <c r="Q23" s="92" t="s">
        <v>66</v>
      </c>
      <c r="R23" s="92" t="s">
        <v>66</v>
      </c>
      <c r="S23" s="92" t="s">
        <v>66</v>
      </c>
      <c r="T23" s="92" t="s">
        <v>66</v>
      </c>
      <c r="U23" s="92" t="s">
        <v>66</v>
      </c>
      <c r="V23" s="92" t="s">
        <v>66</v>
      </c>
      <c r="W23" s="92" t="s">
        <v>66</v>
      </c>
      <c r="X23" s="92" t="s">
        <v>66</v>
      </c>
      <c r="Y23" s="92" t="s">
        <v>66</v>
      </c>
      <c r="Z23" s="92" t="s">
        <v>66</v>
      </c>
      <c r="AA23" s="92" t="s">
        <v>66</v>
      </c>
      <c r="AB23" s="92" t="s">
        <v>66</v>
      </c>
      <c r="AC23" s="92" t="s">
        <v>66</v>
      </c>
      <c r="AD23" s="92" t="s">
        <v>66</v>
      </c>
      <c r="AE23" s="92" t="s">
        <v>66</v>
      </c>
      <c r="AF23" s="92" t="s">
        <v>66</v>
      </c>
      <c r="AG23" s="92" t="s">
        <v>66</v>
      </c>
      <c r="AH23" s="92" t="s">
        <v>66</v>
      </c>
      <c r="AI23" s="96" t="s">
        <v>66</v>
      </c>
      <c r="AK23" s="86"/>
      <c r="AL23" s="95"/>
    </row>
    <row r="24" spans="1:38" ht="15.75" customHeight="1" x14ac:dyDescent="0.25">
      <c r="A24" s="96"/>
      <c r="B24" s="86" t="s">
        <v>35</v>
      </c>
      <c r="C24" s="87">
        <f t="shared" si="5"/>
        <v>0</v>
      </c>
      <c r="D24" s="93">
        <f t="shared" si="6"/>
        <v>0</v>
      </c>
      <c r="E24" s="94" t="s">
        <v>66</v>
      </c>
      <c r="F24" s="94" t="s">
        <v>66</v>
      </c>
      <c r="G24" s="94" t="s">
        <v>66</v>
      </c>
      <c r="H24" s="94" t="s">
        <v>66</v>
      </c>
      <c r="I24" s="94" t="s">
        <v>66</v>
      </c>
      <c r="J24" s="94" t="s">
        <v>66</v>
      </c>
      <c r="K24" s="94" t="s">
        <v>66</v>
      </c>
      <c r="L24" s="94" t="s">
        <v>66</v>
      </c>
      <c r="M24" s="94" t="s">
        <v>66</v>
      </c>
      <c r="N24" s="94" t="s">
        <v>66</v>
      </c>
      <c r="O24" s="94" t="s">
        <v>66</v>
      </c>
      <c r="P24" s="94" t="s">
        <v>66</v>
      </c>
      <c r="Q24" s="94" t="s">
        <v>66</v>
      </c>
      <c r="R24" s="94" t="s">
        <v>66</v>
      </c>
      <c r="S24" s="94" t="s">
        <v>66</v>
      </c>
      <c r="T24" s="94" t="s">
        <v>66</v>
      </c>
      <c r="U24" s="94" t="s">
        <v>66</v>
      </c>
      <c r="V24" s="94" t="s">
        <v>66</v>
      </c>
      <c r="W24" s="94" t="s">
        <v>66</v>
      </c>
      <c r="X24" s="94" t="s">
        <v>66</v>
      </c>
      <c r="Y24" s="94" t="s">
        <v>66</v>
      </c>
      <c r="Z24" s="94" t="s">
        <v>66</v>
      </c>
      <c r="AA24" s="94" t="s">
        <v>66</v>
      </c>
      <c r="AB24" s="94" t="s">
        <v>66</v>
      </c>
      <c r="AC24" s="94" t="s">
        <v>66</v>
      </c>
      <c r="AD24" s="94" t="s">
        <v>66</v>
      </c>
      <c r="AE24" s="94" t="s">
        <v>66</v>
      </c>
      <c r="AF24" s="94" t="s">
        <v>66</v>
      </c>
      <c r="AG24" s="94" t="s">
        <v>66</v>
      </c>
      <c r="AH24" s="94" t="s">
        <v>66</v>
      </c>
      <c r="AI24" s="96" t="s">
        <v>66</v>
      </c>
    </row>
    <row r="25" spans="1:38" ht="15.75" customHeight="1" x14ac:dyDescent="0.25">
      <c r="A25" s="96"/>
      <c r="B25" s="86" t="s">
        <v>36</v>
      </c>
      <c r="C25" s="87">
        <f t="shared" si="5"/>
        <v>0</v>
      </c>
      <c r="D25" s="91">
        <f t="shared" si="6"/>
        <v>0</v>
      </c>
      <c r="E25" s="92" t="s">
        <v>66</v>
      </c>
      <c r="F25" s="92" t="s">
        <v>66</v>
      </c>
      <c r="G25" s="92" t="s">
        <v>66</v>
      </c>
      <c r="H25" s="92" t="s">
        <v>66</v>
      </c>
      <c r="I25" s="92" t="s">
        <v>66</v>
      </c>
      <c r="J25" s="92" t="s">
        <v>66</v>
      </c>
      <c r="K25" s="92" t="s">
        <v>66</v>
      </c>
      <c r="L25" s="92" t="s">
        <v>66</v>
      </c>
      <c r="M25" s="92" t="s">
        <v>66</v>
      </c>
      <c r="N25" s="92" t="s">
        <v>66</v>
      </c>
      <c r="O25" s="92" t="s">
        <v>66</v>
      </c>
      <c r="P25" s="92" t="s">
        <v>66</v>
      </c>
      <c r="Q25" s="92" t="s">
        <v>66</v>
      </c>
      <c r="R25" s="92" t="s">
        <v>66</v>
      </c>
      <c r="S25" s="92" t="s">
        <v>66</v>
      </c>
      <c r="T25" s="92" t="s">
        <v>66</v>
      </c>
      <c r="U25" s="92" t="s">
        <v>66</v>
      </c>
      <c r="V25" s="92" t="s">
        <v>66</v>
      </c>
      <c r="W25" s="92" t="s">
        <v>66</v>
      </c>
      <c r="X25" s="92" t="s">
        <v>66</v>
      </c>
      <c r="Y25" s="92" t="s">
        <v>66</v>
      </c>
      <c r="Z25" s="92" t="s">
        <v>66</v>
      </c>
      <c r="AA25" s="92" t="s">
        <v>66</v>
      </c>
      <c r="AB25" s="92" t="s">
        <v>66</v>
      </c>
      <c r="AC25" s="92" t="s">
        <v>66</v>
      </c>
      <c r="AD25" s="92" t="s">
        <v>66</v>
      </c>
      <c r="AE25" s="92" t="s">
        <v>66</v>
      </c>
      <c r="AF25" s="92" t="s">
        <v>66</v>
      </c>
      <c r="AG25" s="92" t="s">
        <v>66</v>
      </c>
      <c r="AH25" s="92" t="s">
        <v>66</v>
      </c>
      <c r="AI25" s="96" t="s">
        <v>66</v>
      </c>
    </row>
    <row r="26" spans="1:38" ht="15.75" customHeight="1" x14ac:dyDescent="0.25">
      <c r="A26" s="96"/>
      <c r="B26" s="86" t="s">
        <v>39</v>
      </c>
      <c r="C26" s="87">
        <f t="shared" si="5"/>
        <v>-9.61</v>
      </c>
      <c r="D26" s="93">
        <f t="shared" si="6"/>
        <v>4.6923331703033738E-3</v>
      </c>
      <c r="E26" s="94" t="s">
        <v>66</v>
      </c>
      <c r="F26" s="94">
        <v>-1.62</v>
      </c>
      <c r="G26" s="94" t="s">
        <v>66</v>
      </c>
      <c r="H26" s="94" t="s">
        <v>66</v>
      </c>
      <c r="I26" s="94" t="s">
        <v>66</v>
      </c>
      <c r="J26" s="94" t="s">
        <v>66</v>
      </c>
      <c r="K26" s="94" t="s">
        <v>66</v>
      </c>
      <c r="L26" s="94" t="s">
        <v>66</v>
      </c>
      <c r="M26" s="94" t="s">
        <v>66</v>
      </c>
      <c r="N26" s="94" t="s">
        <v>66</v>
      </c>
      <c r="O26" s="94" t="s">
        <v>66</v>
      </c>
      <c r="P26" s="94" t="s">
        <v>66</v>
      </c>
      <c r="Q26" s="94" t="s">
        <v>66</v>
      </c>
      <c r="R26" s="94" t="s">
        <v>66</v>
      </c>
      <c r="S26" s="94" t="s">
        <v>66</v>
      </c>
      <c r="T26" s="94" t="s">
        <v>66</v>
      </c>
      <c r="U26" s="94" t="s">
        <v>66</v>
      </c>
      <c r="V26" s="94" t="s">
        <v>66</v>
      </c>
      <c r="W26" s="94" t="s">
        <v>66</v>
      </c>
      <c r="X26" s="94" t="s">
        <v>66</v>
      </c>
      <c r="Y26" s="94" t="s">
        <v>66</v>
      </c>
      <c r="Z26" s="94">
        <v>-7.99</v>
      </c>
      <c r="AA26" s="94" t="s">
        <v>66</v>
      </c>
      <c r="AB26" s="94" t="s">
        <v>66</v>
      </c>
      <c r="AC26" s="94" t="s">
        <v>66</v>
      </c>
      <c r="AD26" s="94" t="s">
        <v>66</v>
      </c>
      <c r="AE26" s="94" t="s">
        <v>66</v>
      </c>
      <c r="AF26" s="94" t="s">
        <v>66</v>
      </c>
      <c r="AG26" s="94" t="s">
        <v>66</v>
      </c>
      <c r="AH26" s="94" t="s">
        <v>66</v>
      </c>
      <c r="AI26" s="96" t="s">
        <v>66</v>
      </c>
    </row>
    <row r="27" spans="1:38" ht="15.75" customHeight="1" x14ac:dyDescent="0.25">
      <c r="A27" s="96"/>
      <c r="B27" s="86" t="s">
        <v>40</v>
      </c>
      <c r="C27" s="87">
        <f t="shared" si="5"/>
        <v>0</v>
      </c>
      <c r="D27" s="91">
        <f t="shared" si="6"/>
        <v>0</v>
      </c>
      <c r="E27" s="92" t="s">
        <v>66</v>
      </c>
      <c r="F27" s="92" t="s">
        <v>66</v>
      </c>
      <c r="G27" s="92" t="s">
        <v>66</v>
      </c>
      <c r="H27" s="92" t="s">
        <v>66</v>
      </c>
      <c r="I27" s="92" t="s">
        <v>66</v>
      </c>
      <c r="J27" s="92" t="s">
        <v>66</v>
      </c>
      <c r="K27" s="92" t="s">
        <v>66</v>
      </c>
      <c r="L27" s="92" t="s">
        <v>66</v>
      </c>
      <c r="M27" s="92" t="s">
        <v>66</v>
      </c>
      <c r="N27" s="92" t="s">
        <v>66</v>
      </c>
      <c r="O27" s="92" t="s">
        <v>66</v>
      </c>
      <c r="P27" s="92" t="s">
        <v>66</v>
      </c>
      <c r="Q27" s="92" t="s">
        <v>66</v>
      </c>
      <c r="R27" s="92" t="s">
        <v>66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 t="s">
        <v>66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6" t="s">
        <v>66</v>
      </c>
    </row>
    <row r="28" spans="1:38" ht="15.75" customHeight="1" x14ac:dyDescent="0.25">
      <c r="A28" s="96"/>
      <c r="B28" s="86" t="s">
        <v>41</v>
      </c>
      <c r="C28" s="87">
        <f t="shared" si="5"/>
        <v>0</v>
      </c>
      <c r="D28" s="93">
        <f t="shared" si="6"/>
        <v>0</v>
      </c>
      <c r="E28" s="94" t="s">
        <v>66</v>
      </c>
      <c r="F28" s="94" t="s">
        <v>66</v>
      </c>
      <c r="G28" s="94" t="s">
        <v>66</v>
      </c>
      <c r="H28" s="94" t="s">
        <v>66</v>
      </c>
      <c r="I28" s="94" t="s">
        <v>66</v>
      </c>
      <c r="J28" s="94" t="s">
        <v>66</v>
      </c>
      <c r="K28" s="94" t="s">
        <v>66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6" t="s">
        <v>66</v>
      </c>
    </row>
    <row r="29" spans="1:38" ht="15.75" customHeight="1" x14ac:dyDescent="0.25">
      <c r="A29" s="246"/>
      <c r="B29" s="86" t="s">
        <v>207</v>
      </c>
      <c r="C29" s="87">
        <f>-(2587+511.66)/12</f>
        <v>-258.22166666666664</v>
      </c>
      <c r="D29" s="91">
        <f t="shared" si="6"/>
        <v>0.12608346428626649</v>
      </c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246"/>
    </row>
    <row r="30" spans="1:38" ht="15.75" customHeight="1" x14ac:dyDescent="0.25">
      <c r="A30" s="96"/>
      <c r="B30" s="86" t="s">
        <v>72</v>
      </c>
      <c r="C30" s="87">
        <f t="shared" si="5"/>
        <v>-550</v>
      </c>
      <c r="D30" s="91">
        <f t="shared" si="6"/>
        <v>0.2685518463753232</v>
      </c>
      <c r="E30" s="92" t="s">
        <v>66</v>
      </c>
      <c r="F30" s="92" t="s">
        <v>66</v>
      </c>
      <c r="G30" s="92" t="s">
        <v>66</v>
      </c>
      <c r="H30" s="92" t="s">
        <v>66</v>
      </c>
      <c r="I30" s="92" t="s">
        <v>66</v>
      </c>
      <c r="J30" s="92" t="s">
        <v>66</v>
      </c>
      <c r="K30" s="92">
        <v>-550</v>
      </c>
      <c r="L30" s="92" t="s">
        <v>66</v>
      </c>
      <c r="M30" s="92" t="s">
        <v>66</v>
      </c>
      <c r="N30" s="92" t="s">
        <v>66</v>
      </c>
      <c r="O30" s="92" t="s">
        <v>66</v>
      </c>
      <c r="P30" s="92" t="s">
        <v>66</v>
      </c>
      <c r="Q30" s="92" t="s">
        <v>66</v>
      </c>
      <c r="R30" s="92" t="s">
        <v>66</v>
      </c>
      <c r="S30" s="92" t="s">
        <v>66</v>
      </c>
      <c r="T30" s="92" t="s">
        <v>66</v>
      </c>
      <c r="U30" s="92" t="s">
        <v>66</v>
      </c>
      <c r="V30" s="92" t="s">
        <v>66</v>
      </c>
      <c r="W30" s="92" t="s">
        <v>66</v>
      </c>
      <c r="X30" s="92" t="s">
        <v>66</v>
      </c>
      <c r="Y30" s="92" t="s">
        <v>66</v>
      </c>
      <c r="Z30" s="92" t="s">
        <v>66</v>
      </c>
      <c r="AA30" s="92" t="s">
        <v>66</v>
      </c>
      <c r="AB30" s="92" t="s">
        <v>66</v>
      </c>
      <c r="AC30" s="92" t="s">
        <v>66</v>
      </c>
      <c r="AD30" s="92" t="s">
        <v>66</v>
      </c>
      <c r="AE30" s="92" t="s">
        <v>66</v>
      </c>
      <c r="AF30" s="92" t="s">
        <v>66</v>
      </c>
      <c r="AG30" s="92" t="s">
        <v>66</v>
      </c>
      <c r="AH30" s="92" t="s">
        <v>66</v>
      </c>
      <c r="AI30" s="96" t="s">
        <v>66</v>
      </c>
    </row>
    <row r="31" spans="1:38" ht="15.75" customHeight="1" x14ac:dyDescent="0.25">
      <c r="A31" s="96"/>
      <c r="B31" s="86" t="s">
        <v>42</v>
      </c>
      <c r="C31" s="87">
        <f t="shared" si="5"/>
        <v>0</v>
      </c>
      <c r="D31" s="93">
        <f t="shared" si="6"/>
        <v>0</v>
      </c>
      <c r="E31" s="94" t="s">
        <v>66</v>
      </c>
      <c r="F31" s="94" t="s">
        <v>66</v>
      </c>
      <c r="G31" s="94" t="s">
        <v>66</v>
      </c>
      <c r="H31" s="94" t="s">
        <v>66</v>
      </c>
      <c r="I31" s="94" t="s">
        <v>66</v>
      </c>
      <c r="J31" s="94" t="s">
        <v>66</v>
      </c>
      <c r="K31" s="94" t="s">
        <v>66</v>
      </c>
      <c r="L31" s="94" t="s">
        <v>66</v>
      </c>
      <c r="M31" s="94" t="s">
        <v>66</v>
      </c>
      <c r="N31" s="94" t="s">
        <v>66</v>
      </c>
      <c r="O31" s="94" t="s">
        <v>66</v>
      </c>
      <c r="P31" s="94" t="s">
        <v>66</v>
      </c>
      <c r="Q31" s="94" t="s">
        <v>66</v>
      </c>
      <c r="R31" s="94" t="s">
        <v>66</v>
      </c>
      <c r="S31" s="94" t="s">
        <v>66</v>
      </c>
      <c r="T31" s="94" t="s">
        <v>66</v>
      </c>
      <c r="U31" s="94" t="s">
        <v>66</v>
      </c>
      <c r="V31" s="94" t="s">
        <v>66</v>
      </c>
      <c r="W31" s="94" t="s">
        <v>66</v>
      </c>
      <c r="X31" s="94" t="s">
        <v>66</v>
      </c>
      <c r="Y31" s="94" t="s">
        <v>66</v>
      </c>
      <c r="Z31" s="94" t="s">
        <v>66</v>
      </c>
      <c r="AA31" s="94" t="s">
        <v>66</v>
      </c>
      <c r="AB31" s="94" t="s">
        <v>66</v>
      </c>
      <c r="AC31" s="94" t="s">
        <v>66</v>
      </c>
      <c r="AD31" s="94" t="s">
        <v>66</v>
      </c>
      <c r="AE31" s="94" t="s">
        <v>66</v>
      </c>
      <c r="AF31" s="94" t="s">
        <v>66</v>
      </c>
      <c r="AG31" s="94" t="s">
        <v>66</v>
      </c>
      <c r="AH31" s="94" t="s">
        <v>66</v>
      </c>
      <c r="AI31" s="96" t="s">
        <v>66</v>
      </c>
    </row>
    <row r="32" spans="1:38" ht="15.75" customHeight="1" x14ac:dyDescent="0.25">
      <c r="A32" s="96"/>
      <c r="B32" s="86" t="s">
        <v>96</v>
      </c>
      <c r="C32" s="87">
        <f t="shared" si="5"/>
        <v>25</v>
      </c>
      <c r="D32" s="91">
        <f t="shared" si="6"/>
        <v>-1.2206902107969236E-2</v>
      </c>
      <c r="E32" s="92" t="s">
        <v>66</v>
      </c>
      <c r="F32" s="92" t="s">
        <v>66</v>
      </c>
      <c r="G32" s="92" t="s">
        <v>66</v>
      </c>
      <c r="H32" s="92" t="s">
        <v>66</v>
      </c>
      <c r="I32" s="92" t="s">
        <v>66</v>
      </c>
      <c r="J32" s="92" t="s">
        <v>66</v>
      </c>
      <c r="K32" s="92" t="s">
        <v>66</v>
      </c>
      <c r="L32" s="92" t="s">
        <v>66</v>
      </c>
      <c r="M32" s="92" t="s">
        <v>66</v>
      </c>
      <c r="N32" s="92" t="s">
        <v>66</v>
      </c>
      <c r="O32" s="92" t="s">
        <v>66</v>
      </c>
      <c r="P32" s="92" t="s">
        <v>66</v>
      </c>
      <c r="Q32" s="92" t="s">
        <v>66</v>
      </c>
      <c r="R32" s="92" t="s">
        <v>66</v>
      </c>
      <c r="S32" s="92" t="s">
        <v>66</v>
      </c>
      <c r="T32" s="92" t="s">
        <v>66</v>
      </c>
      <c r="U32" s="92" t="s">
        <v>66</v>
      </c>
      <c r="V32" s="92" t="s">
        <v>66</v>
      </c>
      <c r="W32" s="92" t="s">
        <v>66</v>
      </c>
      <c r="X32" s="92" t="s">
        <v>66</v>
      </c>
      <c r="Y32" s="92" t="s">
        <v>66</v>
      </c>
      <c r="Z32" s="92" t="s">
        <v>66</v>
      </c>
      <c r="AA32" s="92" t="s">
        <v>66</v>
      </c>
      <c r="AB32" s="92" t="s">
        <v>66</v>
      </c>
      <c r="AC32" s="92" t="s">
        <v>66</v>
      </c>
      <c r="AD32" s="92">
        <v>25</v>
      </c>
      <c r="AE32" s="92" t="s">
        <v>66</v>
      </c>
      <c r="AF32" s="92" t="s">
        <v>66</v>
      </c>
      <c r="AG32" s="92" t="s">
        <v>66</v>
      </c>
      <c r="AH32" s="92" t="s">
        <v>66</v>
      </c>
      <c r="AI32" s="96" t="s">
        <v>66</v>
      </c>
    </row>
    <row r="33" spans="1:35" ht="15.75" customHeight="1" x14ac:dyDescent="0.25">
      <c r="A33" s="96"/>
      <c r="B33" s="99" t="s">
        <v>44</v>
      </c>
      <c r="C33" s="124">
        <f>SUM(E33:AF33)</f>
        <v>2251</v>
      </c>
      <c r="D33" s="125"/>
      <c r="E33" s="126"/>
      <c r="F33" s="126">
        <f>50+50</f>
        <v>100</v>
      </c>
      <c r="G33" s="126"/>
      <c r="H33" s="126"/>
      <c r="I33" s="126"/>
      <c r="J33" s="126">
        <v>2056</v>
      </c>
      <c r="K33" s="126"/>
      <c r="L33" s="126"/>
      <c r="M33" s="126">
        <v>20</v>
      </c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>
        <v>75</v>
      </c>
      <c r="AE33" s="126"/>
      <c r="AF33" s="126"/>
      <c r="AG33" s="126"/>
      <c r="AH33" s="126">
        <v>20</v>
      </c>
      <c r="AI33" s="96"/>
    </row>
    <row r="34" spans="1:35" ht="15.75" customHeight="1" x14ac:dyDescent="0.25">
      <c r="A34" s="96"/>
      <c r="B34" s="83"/>
      <c r="C34" s="12"/>
      <c r="D34" s="106"/>
      <c r="E34" s="107">
        <f t="shared" ref="E34:X34" si="7">E5</f>
        <v>43617</v>
      </c>
      <c r="F34" s="107">
        <f t="shared" si="7"/>
        <v>43618</v>
      </c>
      <c r="G34" s="107">
        <f t="shared" si="7"/>
        <v>43619</v>
      </c>
      <c r="H34" s="107">
        <f t="shared" si="7"/>
        <v>43620</v>
      </c>
      <c r="I34" s="107">
        <f t="shared" si="7"/>
        <v>43621</v>
      </c>
      <c r="J34" s="107">
        <f t="shared" si="7"/>
        <v>43622</v>
      </c>
      <c r="K34" s="107">
        <f t="shared" si="7"/>
        <v>43623</v>
      </c>
      <c r="L34" s="107">
        <f t="shared" si="7"/>
        <v>43624</v>
      </c>
      <c r="M34" s="107">
        <f t="shared" si="7"/>
        <v>43625</v>
      </c>
      <c r="N34" s="107">
        <f t="shared" si="7"/>
        <v>43626</v>
      </c>
      <c r="O34" s="107">
        <f t="shared" si="7"/>
        <v>43627</v>
      </c>
      <c r="P34" s="107">
        <f t="shared" si="7"/>
        <v>43628</v>
      </c>
      <c r="Q34" s="107">
        <f t="shared" si="7"/>
        <v>43629</v>
      </c>
      <c r="R34" s="107">
        <f t="shared" si="7"/>
        <v>43630</v>
      </c>
      <c r="S34" s="107">
        <f t="shared" si="7"/>
        <v>43631</v>
      </c>
      <c r="T34" s="107">
        <f t="shared" si="7"/>
        <v>43632</v>
      </c>
      <c r="U34" s="107">
        <f t="shared" si="7"/>
        <v>43633</v>
      </c>
      <c r="V34" s="107">
        <f t="shared" si="7"/>
        <v>43634</v>
      </c>
      <c r="W34" s="107">
        <f t="shared" si="7"/>
        <v>43635</v>
      </c>
      <c r="X34" s="107">
        <f t="shared" si="7"/>
        <v>43636</v>
      </c>
      <c r="Y34" s="107" t="s">
        <v>98</v>
      </c>
      <c r="Z34" s="107">
        <f t="shared" ref="Z34:AH34" si="8">Z5</f>
        <v>43638</v>
      </c>
      <c r="AA34" s="107">
        <f t="shared" si="8"/>
        <v>43639</v>
      </c>
      <c r="AB34" s="107">
        <f t="shared" si="8"/>
        <v>43640</v>
      </c>
      <c r="AC34" s="107">
        <f t="shared" si="8"/>
        <v>43641</v>
      </c>
      <c r="AD34" s="107">
        <f t="shared" si="8"/>
        <v>43642</v>
      </c>
      <c r="AE34" s="107">
        <f t="shared" si="8"/>
        <v>43643</v>
      </c>
      <c r="AF34" s="107">
        <f t="shared" si="8"/>
        <v>43644</v>
      </c>
      <c r="AG34" s="107">
        <f t="shared" si="8"/>
        <v>43645</v>
      </c>
      <c r="AH34" s="107">
        <f t="shared" si="8"/>
        <v>43646</v>
      </c>
      <c r="AI34" s="97"/>
    </row>
    <row r="35" spans="1:35" ht="15.75" customHeight="1" x14ac:dyDescent="0.25">
      <c r="A35" s="96"/>
      <c r="B35" s="110" t="s">
        <v>79</v>
      </c>
      <c r="C35" s="58"/>
      <c r="D35" s="66"/>
      <c r="E35" s="112">
        <f t="shared" ref="E35:AH35" si="9">SUM($E$6:E6)</f>
        <v>-219.35</v>
      </c>
      <c r="F35" s="112">
        <f t="shared" si="9"/>
        <v>-261.77999999999997</v>
      </c>
      <c r="G35" s="112">
        <f t="shared" si="9"/>
        <v>-281.67999999999995</v>
      </c>
      <c r="H35" s="112">
        <f t="shared" si="9"/>
        <v>-288.85999999999996</v>
      </c>
      <c r="I35" s="112">
        <f t="shared" si="9"/>
        <v>-298.04999999999995</v>
      </c>
      <c r="J35" s="112">
        <f t="shared" si="9"/>
        <v>-477.32999999999993</v>
      </c>
      <c r="K35" s="112">
        <f t="shared" si="9"/>
        <v>-1034.83</v>
      </c>
      <c r="L35" s="112">
        <f t="shared" si="9"/>
        <v>-1126.9299999999998</v>
      </c>
      <c r="M35" s="112">
        <f t="shared" si="9"/>
        <v>-1186.2499999999998</v>
      </c>
      <c r="N35" s="112">
        <f t="shared" si="9"/>
        <v>-1190.3599999999997</v>
      </c>
      <c r="O35" s="112">
        <f t="shared" si="9"/>
        <v>-1224.8599999999997</v>
      </c>
      <c r="P35" s="112">
        <f t="shared" si="9"/>
        <v>-1238.3399999999997</v>
      </c>
      <c r="Q35" s="112">
        <f t="shared" si="9"/>
        <v>-1255.2399999999998</v>
      </c>
      <c r="R35" s="112">
        <f t="shared" si="9"/>
        <v>-1267.2399999999998</v>
      </c>
      <c r="S35" s="112">
        <f t="shared" si="9"/>
        <v>-1269.2399999999998</v>
      </c>
      <c r="T35" s="112">
        <f t="shared" si="9"/>
        <v>-1285.7399999999998</v>
      </c>
      <c r="U35" s="112">
        <f t="shared" si="9"/>
        <v>-1328.8599999999997</v>
      </c>
      <c r="V35" s="112">
        <f t="shared" si="9"/>
        <v>-1349.3399999999997</v>
      </c>
      <c r="W35" s="112">
        <f t="shared" si="9"/>
        <v>-1366.0399999999997</v>
      </c>
      <c r="X35" s="112">
        <f t="shared" si="9"/>
        <v>-1387.0199999999998</v>
      </c>
      <c r="Y35" s="112">
        <f t="shared" si="9"/>
        <v>-1393.5199999999998</v>
      </c>
      <c r="Z35" s="112">
        <f t="shared" si="9"/>
        <v>-1421.9099999999999</v>
      </c>
      <c r="AA35" s="112">
        <f t="shared" si="9"/>
        <v>-1487.6299999999999</v>
      </c>
      <c r="AB35" s="112">
        <f t="shared" si="9"/>
        <v>-1572.35</v>
      </c>
      <c r="AC35" s="112">
        <f t="shared" si="9"/>
        <v>-1595.6699999999998</v>
      </c>
      <c r="AD35" s="112">
        <f t="shared" si="9"/>
        <v>-1621.1999999999998</v>
      </c>
      <c r="AE35" s="112">
        <f t="shared" si="9"/>
        <v>-1621.1999999999998</v>
      </c>
      <c r="AF35" s="112">
        <f t="shared" si="9"/>
        <v>-1653.3799999999999</v>
      </c>
      <c r="AG35" s="112">
        <f t="shared" si="9"/>
        <v>-1715.9799999999998</v>
      </c>
      <c r="AH35" s="112">
        <f t="shared" si="9"/>
        <v>-1789.7999999999997</v>
      </c>
      <c r="AI35" s="97"/>
    </row>
    <row r="36" spans="1:35" ht="15.75" customHeight="1" x14ac:dyDescent="0.25">
      <c r="A36" s="96"/>
      <c r="B36" s="99" t="s">
        <v>69</v>
      </c>
      <c r="C36" s="44"/>
      <c r="D36" s="115">
        <f>Maio2019!AI36</f>
        <v>4383.6500000000024</v>
      </c>
      <c r="E36" s="73">
        <f t="shared" ref="E36:AG36" si="10">D45+E6+E33</f>
        <v>4164.300000000002</v>
      </c>
      <c r="F36" s="73">
        <f t="shared" si="10"/>
        <v>4221.8700000000017</v>
      </c>
      <c r="G36" s="73">
        <f t="shared" si="10"/>
        <v>4201.9700000000021</v>
      </c>
      <c r="H36" s="73">
        <f t="shared" si="10"/>
        <v>4194.7900000000018</v>
      </c>
      <c r="I36" s="73">
        <f t="shared" si="10"/>
        <v>4185.6000000000022</v>
      </c>
      <c r="J36" s="73">
        <f t="shared" si="10"/>
        <v>6062.3200000000015</v>
      </c>
      <c r="K36" s="73">
        <f t="shared" si="10"/>
        <v>5504.8200000000015</v>
      </c>
      <c r="L36" s="73">
        <f t="shared" si="10"/>
        <v>5412.7200000000012</v>
      </c>
      <c r="M36" s="73">
        <f t="shared" si="10"/>
        <v>5373.4000000000015</v>
      </c>
      <c r="N36" s="73">
        <f t="shared" si="10"/>
        <v>5369.2900000000018</v>
      </c>
      <c r="O36" s="73">
        <f t="shared" si="10"/>
        <v>5334.7900000000018</v>
      </c>
      <c r="P36" s="73">
        <f t="shared" si="10"/>
        <v>5321.3100000000022</v>
      </c>
      <c r="Q36" s="73">
        <f t="shared" si="10"/>
        <v>5304.4100000000026</v>
      </c>
      <c r="R36" s="73">
        <f t="shared" si="10"/>
        <v>5292.4100000000026</v>
      </c>
      <c r="S36" s="73">
        <f t="shared" si="10"/>
        <v>5290.4100000000026</v>
      </c>
      <c r="T36" s="73">
        <f t="shared" si="10"/>
        <v>5273.9100000000026</v>
      </c>
      <c r="U36" s="73">
        <f t="shared" si="10"/>
        <v>5230.7900000000027</v>
      </c>
      <c r="V36" s="73">
        <f t="shared" si="10"/>
        <v>5210.3100000000031</v>
      </c>
      <c r="W36" s="73">
        <f t="shared" si="10"/>
        <v>5193.6100000000033</v>
      </c>
      <c r="X36" s="73">
        <f t="shared" si="10"/>
        <v>5172.6300000000037</v>
      </c>
      <c r="Y36" s="73">
        <f t="shared" si="10"/>
        <v>5166.1300000000037</v>
      </c>
      <c r="Z36" s="73">
        <f t="shared" si="10"/>
        <v>5137.7400000000034</v>
      </c>
      <c r="AA36" s="73">
        <f t="shared" si="10"/>
        <v>5072.0200000000032</v>
      </c>
      <c r="AB36" s="73">
        <f t="shared" si="10"/>
        <v>4987.3000000000029</v>
      </c>
      <c r="AC36" s="73">
        <f t="shared" si="10"/>
        <v>4963.9800000000032</v>
      </c>
      <c r="AD36" s="73">
        <f t="shared" si="10"/>
        <v>5013.4500000000035</v>
      </c>
      <c r="AE36" s="73">
        <f t="shared" si="10"/>
        <v>5013.4500000000035</v>
      </c>
      <c r="AF36" s="73">
        <f t="shared" si="10"/>
        <v>4981.2700000000032</v>
      </c>
      <c r="AG36" s="73">
        <f t="shared" si="10"/>
        <v>4918.6700000000028</v>
      </c>
      <c r="AH36" s="73">
        <f>AF45+AH6+AH33</f>
        <v>4927.4500000000035</v>
      </c>
      <c r="AI36" s="97"/>
    </row>
    <row r="37" spans="1:35" ht="15.75" customHeight="1" x14ac:dyDescent="0.25">
      <c r="A37" s="96"/>
      <c r="B37" s="83" t="s">
        <v>61</v>
      </c>
      <c r="C37" s="12"/>
      <c r="D37" s="12"/>
      <c r="K37" s="7">
        <v>52</v>
      </c>
      <c r="L37" s="1"/>
      <c r="M37" s="1"/>
      <c r="N37" s="1"/>
      <c r="O37" s="1"/>
      <c r="P37" s="1"/>
      <c r="Q37" s="1"/>
      <c r="R37" s="1"/>
      <c r="S37" s="1">
        <v>70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>
        <v>95</v>
      </c>
      <c r="AI37" s="97"/>
    </row>
    <row r="38" spans="1:35" ht="15.75" customHeight="1" x14ac:dyDescent="0.25">
      <c r="A38" s="96"/>
      <c r="B38" s="83" t="s">
        <v>70</v>
      </c>
      <c r="C38" s="12"/>
      <c r="D38" s="12"/>
      <c r="K38" s="7">
        <v>-232.62</v>
      </c>
      <c r="L38" s="1"/>
      <c r="M38" s="1"/>
      <c r="N38" s="1"/>
      <c r="O38" s="1"/>
      <c r="P38" s="1"/>
      <c r="Q38" s="1"/>
      <c r="R38" s="1"/>
      <c r="S38" s="1">
        <v>-473.03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f>-762.31-15-9.48-16.34-5</f>
        <v>-808.13</v>
      </c>
      <c r="AI38" s="97"/>
    </row>
    <row r="39" spans="1:35" ht="15.75" customHeight="1" x14ac:dyDescent="0.25">
      <c r="A39" s="96"/>
      <c r="B39" s="83" t="s">
        <v>71</v>
      </c>
      <c r="C39" s="12"/>
      <c r="D39" s="12"/>
      <c r="K39" s="7">
        <v>309.52</v>
      </c>
      <c r="L39" s="1"/>
      <c r="M39" s="1"/>
      <c r="N39" s="1"/>
      <c r="O39" s="1"/>
      <c r="P39" s="1"/>
      <c r="Q39" s="1"/>
      <c r="R39" s="1"/>
      <c r="S39" s="1">
        <v>309.52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>
        <v>259.52</v>
      </c>
      <c r="AI39" s="97"/>
    </row>
    <row r="40" spans="1:35" ht="15.75" customHeight="1" x14ac:dyDescent="0.25">
      <c r="A40" s="96"/>
      <c r="B40" s="83" t="s">
        <v>85</v>
      </c>
      <c r="C40" s="12"/>
      <c r="D40" s="12"/>
      <c r="K40" s="7">
        <v>0</v>
      </c>
      <c r="L40" s="1"/>
      <c r="M40" s="1"/>
      <c r="N40" s="1"/>
      <c r="O40" s="1"/>
      <c r="P40" s="1"/>
      <c r="Q40" s="1"/>
      <c r="R40" s="1"/>
      <c r="S40" s="1">
        <v>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0</v>
      </c>
      <c r="AI40" s="97"/>
    </row>
    <row r="41" spans="1:35" ht="15.75" customHeight="1" x14ac:dyDescent="0.25">
      <c r="A41" s="96"/>
      <c r="B41" s="83" t="s">
        <v>95</v>
      </c>
      <c r="C41" s="12"/>
      <c r="D41" s="12"/>
      <c r="K41" s="7">
        <f>493.62+6121.05</f>
        <v>6614.67</v>
      </c>
      <c r="L41" s="1"/>
      <c r="M41" s="1"/>
      <c r="N41" s="1"/>
      <c r="O41" s="1"/>
      <c r="P41" s="1"/>
      <c r="Q41" s="1"/>
      <c r="R41" s="1"/>
      <c r="S41" s="1">
        <f>6326.02+296.98</f>
        <v>6623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f>6337.19+347.17</f>
        <v>6684.36</v>
      </c>
      <c r="AI41" s="97"/>
    </row>
    <row r="42" spans="1:35" ht="15.75" customHeight="1" x14ac:dyDescent="0.25">
      <c r="A42" s="96"/>
      <c r="B42" s="83" t="s">
        <v>99</v>
      </c>
      <c r="C42" s="12"/>
      <c r="D42" s="12"/>
      <c r="K42" s="7">
        <v>0</v>
      </c>
      <c r="L42" s="1"/>
      <c r="M42" s="1"/>
      <c r="N42" s="1"/>
      <c r="O42" s="1"/>
      <c r="P42" s="1"/>
      <c r="Q42" s="1"/>
      <c r="R42" s="1"/>
      <c r="S42" s="1">
        <v>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>
        <v>0</v>
      </c>
      <c r="AI42" s="97"/>
    </row>
    <row r="43" spans="1:35" ht="15.75" customHeight="1" x14ac:dyDescent="0.25">
      <c r="A43" s="96"/>
      <c r="B43" s="83" t="s">
        <v>73</v>
      </c>
      <c r="C43" s="12"/>
      <c r="D43" s="12"/>
      <c r="K43" s="7">
        <v>1900</v>
      </c>
      <c r="L43" s="1"/>
      <c r="M43" s="1"/>
      <c r="N43" s="134"/>
      <c r="O43" s="1"/>
      <c r="P43" s="1"/>
      <c r="Q43" s="1"/>
      <c r="R43" s="1"/>
      <c r="S43" s="1">
        <v>1900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1900</v>
      </c>
      <c r="AI43" s="97"/>
    </row>
    <row r="44" spans="1:35" ht="15.75" customHeight="1" x14ac:dyDescent="0.25">
      <c r="A44" s="96"/>
      <c r="B44" s="116" t="s">
        <v>63</v>
      </c>
      <c r="C44" s="68"/>
      <c r="D44" s="68"/>
      <c r="E44" s="63"/>
      <c r="F44" s="63"/>
      <c r="G44" s="63"/>
      <c r="H44" s="63"/>
      <c r="I44" s="63"/>
      <c r="J44" s="63"/>
      <c r="K44" s="63">
        <v>0</v>
      </c>
      <c r="L44" s="44"/>
      <c r="M44" s="44"/>
      <c r="N44" s="44"/>
      <c r="O44" s="44"/>
      <c r="P44" s="44"/>
      <c r="Q44" s="44"/>
      <c r="R44" s="44"/>
      <c r="S44" s="44">
        <v>0</v>
      </c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>
        <v>0</v>
      </c>
      <c r="AI44" s="97"/>
    </row>
    <row r="45" spans="1:35" ht="15.75" customHeight="1" x14ac:dyDescent="0.25">
      <c r="A45" s="96"/>
      <c r="B45" s="86" t="s">
        <v>80</v>
      </c>
      <c r="C45" s="12"/>
      <c r="D45" s="50">
        <f t="shared" ref="D45:AH45" si="11">D36</f>
        <v>4383.6500000000024</v>
      </c>
      <c r="E45" s="50">
        <f t="shared" si="11"/>
        <v>4164.300000000002</v>
      </c>
      <c r="F45" s="50">
        <f t="shared" si="11"/>
        <v>4221.8700000000017</v>
      </c>
      <c r="G45" s="50">
        <f t="shared" si="11"/>
        <v>4201.9700000000021</v>
      </c>
      <c r="H45" s="50">
        <f t="shared" si="11"/>
        <v>4194.7900000000018</v>
      </c>
      <c r="I45" s="50">
        <f t="shared" si="11"/>
        <v>4185.6000000000022</v>
      </c>
      <c r="J45" s="50">
        <f t="shared" si="11"/>
        <v>6062.3200000000015</v>
      </c>
      <c r="K45" s="50">
        <f t="shared" si="11"/>
        <v>5504.8200000000015</v>
      </c>
      <c r="L45" s="50">
        <f t="shared" si="11"/>
        <v>5412.7200000000012</v>
      </c>
      <c r="M45" s="50">
        <f t="shared" si="11"/>
        <v>5373.4000000000015</v>
      </c>
      <c r="N45" s="50">
        <f t="shared" si="11"/>
        <v>5369.2900000000018</v>
      </c>
      <c r="O45" s="50">
        <f t="shared" si="11"/>
        <v>5334.7900000000018</v>
      </c>
      <c r="P45" s="50">
        <f t="shared" si="11"/>
        <v>5321.3100000000022</v>
      </c>
      <c r="Q45" s="50">
        <f t="shared" si="11"/>
        <v>5304.4100000000026</v>
      </c>
      <c r="R45" s="50">
        <f t="shared" si="11"/>
        <v>5292.4100000000026</v>
      </c>
      <c r="S45" s="50">
        <f t="shared" si="11"/>
        <v>5290.4100000000026</v>
      </c>
      <c r="T45" s="50">
        <f t="shared" si="11"/>
        <v>5273.9100000000026</v>
      </c>
      <c r="U45" s="50">
        <f t="shared" si="11"/>
        <v>5230.7900000000027</v>
      </c>
      <c r="V45" s="50">
        <f t="shared" si="11"/>
        <v>5210.3100000000031</v>
      </c>
      <c r="W45" s="50">
        <f t="shared" si="11"/>
        <v>5193.6100000000033</v>
      </c>
      <c r="X45" s="50">
        <f t="shared" si="11"/>
        <v>5172.6300000000037</v>
      </c>
      <c r="Y45" s="50">
        <f t="shared" si="11"/>
        <v>5166.1300000000037</v>
      </c>
      <c r="Z45" s="50">
        <f t="shared" si="11"/>
        <v>5137.7400000000034</v>
      </c>
      <c r="AA45" s="73">
        <f t="shared" si="11"/>
        <v>5072.0200000000032</v>
      </c>
      <c r="AB45" s="50">
        <f t="shared" si="11"/>
        <v>4987.3000000000029</v>
      </c>
      <c r="AC45" s="50">
        <f t="shared" si="11"/>
        <v>4963.9800000000032</v>
      </c>
      <c r="AD45" s="50">
        <f t="shared" si="11"/>
        <v>5013.4500000000035</v>
      </c>
      <c r="AE45" s="50">
        <f t="shared" si="11"/>
        <v>5013.4500000000035</v>
      </c>
      <c r="AF45" s="50">
        <f t="shared" si="11"/>
        <v>4981.2700000000032</v>
      </c>
      <c r="AG45" s="50">
        <f t="shared" si="11"/>
        <v>4918.6700000000028</v>
      </c>
      <c r="AH45" s="50">
        <f t="shared" si="11"/>
        <v>4927.4500000000035</v>
      </c>
      <c r="AI45" s="97"/>
    </row>
    <row r="46" spans="1:35" ht="15.75" customHeight="1" x14ac:dyDescent="0.25">
      <c r="A46" s="96"/>
      <c r="B46" s="117" t="s">
        <v>74</v>
      </c>
      <c r="C46" s="70"/>
      <c r="D46" s="70"/>
      <c r="E46" s="138"/>
      <c r="F46" s="138"/>
      <c r="G46" s="138"/>
      <c r="H46" s="138"/>
      <c r="I46" s="138"/>
      <c r="J46" s="138"/>
      <c r="K46" s="138">
        <f>SUM(K37:K44)</f>
        <v>8643.57</v>
      </c>
      <c r="L46" s="69"/>
      <c r="M46" s="69"/>
      <c r="N46" s="69"/>
      <c r="O46" s="69"/>
      <c r="P46" s="71"/>
      <c r="Q46" s="71"/>
      <c r="R46" s="71"/>
      <c r="S46" s="71">
        <f>SUM(S37:S44)</f>
        <v>8429.49</v>
      </c>
      <c r="T46" s="71"/>
      <c r="U46" s="69"/>
      <c r="V46" s="71"/>
      <c r="W46" s="71"/>
      <c r="X46" s="71"/>
      <c r="Y46" s="71"/>
      <c r="Z46" s="71"/>
      <c r="AA46" s="1"/>
      <c r="AB46" s="71"/>
      <c r="AC46" s="71"/>
      <c r="AD46" s="71"/>
      <c r="AE46" s="71"/>
      <c r="AF46" s="71"/>
      <c r="AG46" s="71"/>
      <c r="AH46" s="71">
        <f>SUM(AH37:AH44)</f>
        <v>8130.75</v>
      </c>
      <c r="AI46" s="97"/>
    </row>
    <row r="47" spans="1:35" ht="9" customHeight="1" x14ac:dyDescent="0.25">
      <c r="A47" s="96"/>
      <c r="B47" s="97"/>
      <c r="C47" s="127"/>
      <c r="D47" s="12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6"/>
    </row>
    <row r="48" spans="1:35" ht="15.7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2:36" ht="15.75" customHeight="1" x14ac:dyDescent="0.25">
      <c r="B49" s="1"/>
      <c r="C49" s="1"/>
      <c r="D49" s="1"/>
      <c r="K49" s="5"/>
      <c r="L49" s="5"/>
      <c r="M49" s="5"/>
      <c r="N49" s="128"/>
      <c r="O49" s="5"/>
      <c r="P49" s="5"/>
      <c r="Q49" s="5"/>
      <c r="R49" s="128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2:36" ht="15.75" customHeight="1" x14ac:dyDescent="0.25">
      <c r="B50" s="1"/>
      <c r="C50" s="1"/>
      <c r="D50" s="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2:36" ht="15.75" customHeight="1" x14ac:dyDescent="0.25">
      <c r="B51" s="1"/>
      <c r="C51" s="1"/>
      <c r="D51" s="1"/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J51" s="128"/>
    </row>
    <row r="52" spans="2:36" ht="15.75" customHeight="1" x14ac:dyDescent="0.25">
      <c r="B52" s="1"/>
      <c r="C52" s="1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</row>
    <row r="53" spans="2:36" ht="15.75" customHeight="1" x14ac:dyDescent="0.25">
      <c r="B53" s="1"/>
      <c r="C53" s="1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</row>
    <row r="54" spans="2:36" ht="15.75" customHeight="1" x14ac:dyDescent="0.25"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2:36" ht="15.75" customHeight="1" x14ac:dyDescent="0.25">
      <c r="I55" s="1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</row>
    <row r="56" spans="2:36" ht="15.75" customHeight="1" x14ac:dyDescent="0.25"/>
    <row r="57" spans="2:36" ht="15.75" customHeight="1" x14ac:dyDescent="0.25"/>
    <row r="58" spans="2:36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2:36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2:36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2:36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2:36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2:36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2:36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2:34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2:34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2:34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2:34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2:34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2:34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2:34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2:34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2:34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2:34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2:34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2:34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2:34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2:34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2:34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2:34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2:34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2:34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2:34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2:34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2:34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2:34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2:34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2:34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2:34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2:34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2:34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2:34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2:34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2:34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2:34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2:34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2:34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2:34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2:34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2:34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2:34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2:34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2:34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2:34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2:34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2:34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2:34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2:34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2:34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2:34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2:34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2:34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2:34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2:34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2:34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2:34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2:34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2:34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2:34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2:34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2:34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2:34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2:34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2:34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2:34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2:34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2:34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2:34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2:34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2:34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2:34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2:34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2:34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2:34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2:34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2:34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2:34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2:34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2:34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2:34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2:34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2:34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2:34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2:34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2:34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2:34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2:34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2:34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2:34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2:34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2:34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2:34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2:34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2:34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2:34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2:34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2:34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2:34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2:34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2:34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2:34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2:34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2:34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2:34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2:34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2:34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2:34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2:34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2:34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2:34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2:34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2:34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2:34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2:34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2:34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2:34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2:34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2:34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2:34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2:34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2:34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2:34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2:34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2:34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2:34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2:34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2:34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2:34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2:34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2:34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2:34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2:34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2:34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2:34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2:34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2:34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2:34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2:34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2:34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2:34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2:34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2:34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2:34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2:34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2:34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2:34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2:34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2:34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2:34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2:34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2:34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2:34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2:34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2:34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2:34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2:34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2:34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2:34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2:34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2:34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2:34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2:34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2:34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2:34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2:34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2:34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2:34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2:34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2:34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2:34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2:34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2:34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2:34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2:34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2:34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2:34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2:34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2:34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2:34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2:34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2:34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2:34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2:34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2:34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2:34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2:34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2:34" ht="15.75" customHeight="1" x14ac:dyDescent="0.25"/>
    <row r="248" spans="2:34" ht="15.75" customHeight="1" x14ac:dyDescent="0.25"/>
    <row r="249" spans="2:34" ht="15.75" customHeight="1" x14ac:dyDescent="0.25"/>
    <row r="250" spans="2:34" ht="15.75" customHeight="1" x14ac:dyDescent="0.25"/>
    <row r="251" spans="2:34" ht="15.75" customHeight="1" x14ac:dyDescent="0.25"/>
    <row r="252" spans="2:34" ht="15.75" customHeight="1" x14ac:dyDescent="0.25"/>
    <row r="253" spans="2:34" ht="15.75" customHeight="1" x14ac:dyDescent="0.25"/>
    <row r="254" spans="2:34" ht="15.75" customHeight="1" x14ac:dyDescent="0.25"/>
    <row r="255" spans="2:34" ht="15.75" customHeight="1" x14ac:dyDescent="0.25"/>
    <row r="256" spans="2:3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23" priority="1" operator="lessThan">
      <formula>0</formula>
    </cfRule>
  </conditionalFormatting>
  <conditionalFormatting sqref="C4">
    <cfRule type="cellIs" dxfId="122" priority="2" operator="greaterThan">
      <formula>0</formula>
    </cfRule>
  </conditionalFormatting>
  <conditionalFormatting sqref="C4">
    <cfRule type="cellIs" dxfId="121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1001"/>
  <sheetViews>
    <sheetView showGridLines="0" workbookViewId="0">
      <selection activeCell="B29" sqref="B29:D29"/>
    </sheetView>
  </sheetViews>
  <sheetFormatPr defaultColWidth="14.42578125" defaultRowHeight="15" customHeight="1" x14ac:dyDescent="0.25"/>
  <cols>
    <col min="1" max="1" width="1.7109375" customWidth="1"/>
    <col min="2" max="2" width="18.42578125" customWidth="1"/>
    <col min="3" max="3" width="10.42578125" customWidth="1"/>
    <col min="4" max="4" width="7.5703125" customWidth="1"/>
    <col min="5" max="5" width="8.7109375" customWidth="1"/>
    <col min="6" max="35" width="10.42578125" customWidth="1"/>
    <col min="36" max="36" width="1.85546875" customWidth="1"/>
    <col min="37" max="37" width="14.42578125" customWidth="1"/>
    <col min="38" max="38" width="5.5703125" customWidth="1"/>
    <col min="39" max="39" width="5.7109375" customWidth="1"/>
  </cols>
  <sheetData>
    <row r="1" spans="1:39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</row>
    <row r="2" spans="1:39" x14ac:dyDescent="0.25">
      <c r="A2" s="96"/>
      <c r="B2" s="74" t="s">
        <v>45</v>
      </c>
      <c r="C2" s="75">
        <f>SUM(C8:C31)</f>
        <v>-1842.0516666666667</v>
      </c>
      <c r="D2" s="12"/>
      <c r="E2" s="48">
        <f t="shared" ref="E2:AI2" si="0">E6/$C$2</f>
        <v>1.2241784749070556E-2</v>
      </c>
      <c r="F2" s="48">
        <f t="shared" si="0"/>
        <v>3.2572376272471545E-3</v>
      </c>
      <c r="G2" s="48">
        <f t="shared" si="0"/>
        <v>0.10162581397011121</v>
      </c>
      <c r="H2" s="48">
        <f t="shared" si="0"/>
        <v>4.5688186451520084E-2</v>
      </c>
      <c r="I2" s="48">
        <f t="shared" si="0"/>
        <v>0.29858011583098915</v>
      </c>
      <c r="J2" s="48">
        <f t="shared" si="0"/>
        <v>2.9423713232799294E-2</v>
      </c>
      <c r="K2" s="48">
        <f t="shared" si="0"/>
        <v>1.0694596876128159E-2</v>
      </c>
      <c r="L2" s="48">
        <f t="shared" si="0"/>
        <v>2.111775728331905E-2</v>
      </c>
      <c r="M2" s="48">
        <f t="shared" si="0"/>
        <v>1.6579339522688016E-2</v>
      </c>
      <c r="N2" s="48">
        <f t="shared" si="0"/>
        <v>1.0808600193081807E-2</v>
      </c>
      <c r="O2" s="48">
        <f t="shared" si="0"/>
        <v>1.0803171463703062E-2</v>
      </c>
      <c r="P2" s="48">
        <f t="shared" si="0"/>
        <v>0</v>
      </c>
      <c r="Q2" s="48">
        <f t="shared" si="0"/>
        <v>1.284437371011128E-2</v>
      </c>
      <c r="R2" s="48">
        <f t="shared" si="0"/>
        <v>5.3869281625289187E-2</v>
      </c>
      <c r="S2" s="48">
        <f t="shared" si="0"/>
        <v>1.0808600193081807E-2</v>
      </c>
      <c r="T2" s="48">
        <f t="shared" si="0"/>
        <v>9.5328487890766738E-3</v>
      </c>
      <c r="U2" s="48">
        <f t="shared" si="0"/>
        <v>3.1975216040809567E-3</v>
      </c>
      <c r="V2" s="48">
        <f t="shared" si="0"/>
        <v>0</v>
      </c>
      <c r="W2" s="48">
        <f t="shared" si="0"/>
        <v>0</v>
      </c>
      <c r="X2" s="48">
        <f t="shared" si="0"/>
        <v>6.4059006669194042E-3</v>
      </c>
      <c r="Y2" s="48">
        <f t="shared" si="0"/>
        <v>4.6258203036288338E-2</v>
      </c>
      <c r="Z2" s="48">
        <f t="shared" si="0"/>
        <v>3.9037992962557146E-2</v>
      </c>
      <c r="AA2" s="48">
        <f t="shared" si="0"/>
        <v>0</v>
      </c>
      <c r="AB2" s="48">
        <f t="shared" si="0"/>
        <v>0</v>
      </c>
      <c r="AC2" s="48">
        <f t="shared" si="0"/>
        <v>9.5165626009404373E-3</v>
      </c>
      <c r="AD2" s="48">
        <f t="shared" si="0"/>
        <v>1.6313331783129499E-2</v>
      </c>
      <c r="AE2" s="48">
        <f t="shared" si="0"/>
        <v>9.3917018252292952E-3</v>
      </c>
      <c r="AF2" s="48">
        <f t="shared" si="0"/>
        <v>3.3576691207539422E-2</v>
      </c>
      <c r="AG2" s="48">
        <f t="shared" si="0"/>
        <v>2.7138218164347545E-2</v>
      </c>
      <c r="AH2" s="48">
        <f t="shared" si="0"/>
        <v>2.110689982456156E-2</v>
      </c>
      <c r="AI2" s="48">
        <f t="shared" si="0"/>
        <v>0</v>
      </c>
      <c r="AJ2" s="97"/>
    </row>
    <row r="3" spans="1:39" hidden="1" x14ac:dyDescent="0.25">
      <c r="A3" s="96"/>
      <c r="B3" s="76"/>
      <c r="C3" s="77"/>
      <c r="D3" s="1"/>
      <c r="E3" s="55" t="str">
        <f t="shared" ref="E3:AI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96"/>
      <c r="AL3" s="78" t="s">
        <v>0</v>
      </c>
      <c r="AM3" s="1" t="s">
        <v>64</v>
      </c>
    </row>
    <row r="4" spans="1:39" x14ac:dyDescent="0.25">
      <c r="A4" s="96"/>
      <c r="B4" s="79" t="s">
        <v>47</v>
      </c>
      <c r="C4" s="102">
        <f>C33+C2</f>
        <v>214.49833333333345</v>
      </c>
      <c r="D4" s="104" t="s">
        <v>7</v>
      </c>
      <c r="E4" s="105" t="str">
        <f t="shared" ref="E4:AI4" si="2">TEXT(E5,"ddd")</f>
        <v>Mon</v>
      </c>
      <c r="F4" s="105" t="str">
        <f t="shared" si="2"/>
        <v>Tue</v>
      </c>
      <c r="G4" s="105" t="str">
        <f t="shared" si="2"/>
        <v>Wed</v>
      </c>
      <c r="H4" s="105" t="str">
        <f t="shared" si="2"/>
        <v>Thu</v>
      </c>
      <c r="I4" s="105" t="str">
        <f t="shared" si="2"/>
        <v>Fri</v>
      </c>
      <c r="J4" s="105" t="str">
        <f t="shared" si="2"/>
        <v>Sat</v>
      </c>
      <c r="K4" s="105" t="str">
        <f t="shared" si="2"/>
        <v>Sun</v>
      </c>
      <c r="L4" s="105" t="str">
        <f t="shared" si="2"/>
        <v>Mon</v>
      </c>
      <c r="M4" s="105" t="str">
        <f t="shared" si="2"/>
        <v>Tue</v>
      </c>
      <c r="N4" s="105" t="str">
        <f t="shared" si="2"/>
        <v>Wed</v>
      </c>
      <c r="O4" s="105" t="str">
        <f t="shared" si="2"/>
        <v>Thu</v>
      </c>
      <c r="P4" s="105" t="str">
        <f t="shared" si="2"/>
        <v>Fri</v>
      </c>
      <c r="Q4" s="105" t="str">
        <f t="shared" si="2"/>
        <v>Sat</v>
      </c>
      <c r="R4" s="105" t="str">
        <f t="shared" si="2"/>
        <v>Sun</v>
      </c>
      <c r="S4" s="105" t="str">
        <f t="shared" si="2"/>
        <v>Mon</v>
      </c>
      <c r="T4" s="105" t="str">
        <f t="shared" si="2"/>
        <v>Tue</v>
      </c>
      <c r="U4" s="105" t="str">
        <f t="shared" si="2"/>
        <v>Wed</v>
      </c>
      <c r="V4" s="105" t="str">
        <f t="shared" si="2"/>
        <v>Thu</v>
      </c>
      <c r="W4" s="105" t="str">
        <f t="shared" si="2"/>
        <v>Fri</v>
      </c>
      <c r="X4" s="105" t="str">
        <f t="shared" si="2"/>
        <v>Sat</v>
      </c>
      <c r="Y4" s="105" t="str">
        <f t="shared" si="2"/>
        <v>Sun</v>
      </c>
      <c r="Z4" s="105" t="str">
        <f t="shared" si="2"/>
        <v>Mon</v>
      </c>
      <c r="AA4" s="105" t="str">
        <f t="shared" si="2"/>
        <v>Tue</v>
      </c>
      <c r="AB4" s="105" t="str">
        <f t="shared" si="2"/>
        <v>Wed</v>
      </c>
      <c r="AC4" s="105" t="str">
        <f t="shared" si="2"/>
        <v>Thu</v>
      </c>
      <c r="AD4" s="105" t="str">
        <f t="shared" si="2"/>
        <v>Fri</v>
      </c>
      <c r="AE4" s="105" t="str">
        <f t="shared" si="2"/>
        <v>Sat</v>
      </c>
      <c r="AF4" s="105" t="str">
        <f t="shared" si="2"/>
        <v>Sun</v>
      </c>
      <c r="AG4" s="105" t="str">
        <f t="shared" si="2"/>
        <v>Mon</v>
      </c>
      <c r="AH4" s="105" t="str">
        <f t="shared" si="2"/>
        <v>Tue</v>
      </c>
      <c r="AI4" s="105" t="str">
        <f t="shared" si="2"/>
        <v>Wed</v>
      </c>
      <c r="AJ4" s="96"/>
      <c r="AL4" s="78">
        <v>2019</v>
      </c>
      <c r="AM4" s="56">
        <f ca="1">TODAY()</f>
        <v>43926</v>
      </c>
    </row>
    <row r="5" spans="1:39" x14ac:dyDescent="0.25">
      <c r="A5" s="96"/>
      <c r="B5" s="81" t="s">
        <v>51</v>
      </c>
      <c r="C5" s="108">
        <f>C4/C33</f>
        <v>0.10430008185229313</v>
      </c>
      <c r="D5" s="109"/>
      <c r="E5" s="111">
        <f>DATE($AL$4,$AL$6,1)</f>
        <v>43647</v>
      </c>
      <c r="F5" s="111">
        <f t="shared" ref="F5:AI5" si="3">E5+1</f>
        <v>43648</v>
      </c>
      <c r="G5" s="111">
        <f t="shared" si="3"/>
        <v>43649</v>
      </c>
      <c r="H5" s="111">
        <f t="shared" si="3"/>
        <v>43650</v>
      </c>
      <c r="I5" s="111">
        <f t="shared" si="3"/>
        <v>43651</v>
      </c>
      <c r="J5" s="111">
        <f t="shared" si="3"/>
        <v>43652</v>
      </c>
      <c r="K5" s="111">
        <f t="shared" si="3"/>
        <v>43653</v>
      </c>
      <c r="L5" s="111">
        <f t="shared" si="3"/>
        <v>43654</v>
      </c>
      <c r="M5" s="111">
        <f t="shared" si="3"/>
        <v>43655</v>
      </c>
      <c r="N5" s="111">
        <f t="shared" si="3"/>
        <v>43656</v>
      </c>
      <c r="O5" s="111">
        <f t="shared" si="3"/>
        <v>43657</v>
      </c>
      <c r="P5" s="111">
        <f t="shared" si="3"/>
        <v>43658</v>
      </c>
      <c r="Q5" s="111">
        <f t="shared" si="3"/>
        <v>43659</v>
      </c>
      <c r="R5" s="111">
        <f t="shared" si="3"/>
        <v>43660</v>
      </c>
      <c r="S5" s="111">
        <f t="shared" si="3"/>
        <v>43661</v>
      </c>
      <c r="T5" s="111">
        <f t="shared" si="3"/>
        <v>43662</v>
      </c>
      <c r="U5" s="111">
        <f t="shared" si="3"/>
        <v>43663</v>
      </c>
      <c r="V5" s="111">
        <f t="shared" si="3"/>
        <v>43664</v>
      </c>
      <c r="W5" s="111">
        <f t="shared" si="3"/>
        <v>43665</v>
      </c>
      <c r="X5" s="111">
        <f t="shared" si="3"/>
        <v>43666</v>
      </c>
      <c r="Y5" s="111">
        <f t="shared" si="3"/>
        <v>43667</v>
      </c>
      <c r="Z5" s="111">
        <f t="shared" si="3"/>
        <v>43668</v>
      </c>
      <c r="AA5" s="111">
        <f t="shared" si="3"/>
        <v>43669</v>
      </c>
      <c r="AB5" s="111">
        <f t="shared" si="3"/>
        <v>43670</v>
      </c>
      <c r="AC5" s="111">
        <f t="shared" si="3"/>
        <v>43671</v>
      </c>
      <c r="AD5" s="111">
        <f t="shared" si="3"/>
        <v>43672</v>
      </c>
      <c r="AE5" s="111">
        <f t="shared" si="3"/>
        <v>43673</v>
      </c>
      <c r="AF5" s="111">
        <f t="shared" si="3"/>
        <v>43674</v>
      </c>
      <c r="AG5" s="111">
        <f t="shared" si="3"/>
        <v>43675</v>
      </c>
      <c r="AH5" s="111">
        <f t="shared" si="3"/>
        <v>43676</v>
      </c>
      <c r="AI5" s="111">
        <f t="shared" si="3"/>
        <v>43677</v>
      </c>
      <c r="AJ5" s="96"/>
      <c r="AL5" s="78" t="s">
        <v>1</v>
      </c>
      <c r="AM5" s="1" t="str">
        <f ca="1">IF(V5=AM4,"sim","não")</f>
        <v>não</v>
      </c>
    </row>
    <row r="6" spans="1:39" x14ac:dyDescent="0.25">
      <c r="A6" s="96"/>
      <c r="B6" s="83"/>
      <c r="C6" s="15" t="s">
        <v>62</v>
      </c>
      <c r="D6" s="113">
        <f>SUM(D8:D31)</f>
        <v>1</v>
      </c>
      <c r="E6" s="114">
        <f t="shared" ref="E6:AI6" si="4">SUM(E7:E31)</f>
        <v>-22.55</v>
      </c>
      <c r="F6" s="114">
        <f t="shared" si="4"/>
        <v>-6</v>
      </c>
      <c r="G6" s="114">
        <f t="shared" si="4"/>
        <v>-187.2</v>
      </c>
      <c r="H6" s="114">
        <f t="shared" si="4"/>
        <v>-84.16</v>
      </c>
      <c r="I6" s="114">
        <f t="shared" si="4"/>
        <v>-550</v>
      </c>
      <c r="J6" s="114">
        <f t="shared" si="4"/>
        <v>-54.199999999999996</v>
      </c>
      <c r="K6" s="114">
        <f t="shared" si="4"/>
        <v>-19.700000000000003</v>
      </c>
      <c r="L6" s="114">
        <f t="shared" si="4"/>
        <v>-38.9</v>
      </c>
      <c r="M6" s="114">
        <f t="shared" si="4"/>
        <v>-30.54</v>
      </c>
      <c r="N6" s="114">
        <f t="shared" si="4"/>
        <v>-19.91</v>
      </c>
      <c r="O6" s="114">
        <f t="shared" si="4"/>
        <v>-19.899999999999999</v>
      </c>
      <c r="P6" s="114">
        <f t="shared" si="4"/>
        <v>0</v>
      </c>
      <c r="Q6" s="114">
        <f t="shared" si="4"/>
        <v>-23.66</v>
      </c>
      <c r="R6" s="114">
        <f t="shared" si="4"/>
        <v>-99.22999999999999</v>
      </c>
      <c r="S6" s="114">
        <f t="shared" si="4"/>
        <v>-19.91</v>
      </c>
      <c r="T6" s="114">
        <f t="shared" si="4"/>
        <v>-17.560000000000002</v>
      </c>
      <c r="U6" s="114">
        <f t="shared" si="4"/>
        <v>-5.89</v>
      </c>
      <c r="V6" s="114">
        <f t="shared" si="4"/>
        <v>0</v>
      </c>
      <c r="W6" s="114">
        <f t="shared" si="4"/>
        <v>0</v>
      </c>
      <c r="X6" s="114">
        <f t="shared" si="4"/>
        <v>-11.8</v>
      </c>
      <c r="Y6" s="114">
        <f t="shared" si="4"/>
        <v>-85.21</v>
      </c>
      <c r="Z6" s="114">
        <f t="shared" si="4"/>
        <v>-71.91</v>
      </c>
      <c r="AA6" s="114">
        <f t="shared" si="4"/>
        <v>0</v>
      </c>
      <c r="AB6" s="114">
        <f t="shared" si="4"/>
        <v>0</v>
      </c>
      <c r="AC6" s="114">
        <f t="shared" si="4"/>
        <v>-17.53</v>
      </c>
      <c r="AD6" s="114">
        <f t="shared" si="4"/>
        <v>-30.05</v>
      </c>
      <c r="AE6" s="114">
        <f t="shared" si="4"/>
        <v>-17.3</v>
      </c>
      <c r="AF6" s="114">
        <f t="shared" si="4"/>
        <v>-61.85</v>
      </c>
      <c r="AG6" s="114">
        <f t="shared" si="4"/>
        <v>-49.99</v>
      </c>
      <c r="AH6" s="114">
        <f t="shared" si="4"/>
        <v>-38.879999999999995</v>
      </c>
      <c r="AI6" s="114">
        <f t="shared" si="4"/>
        <v>0</v>
      </c>
      <c r="AJ6" s="96"/>
      <c r="AL6" s="78">
        <v>7</v>
      </c>
      <c r="AM6" s="1"/>
    </row>
    <row r="7" spans="1:39" x14ac:dyDescent="0.25">
      <c r="A7" s="96"/>
      <c r="B7" s="86" t="s">
        <v>90</v>
      </c>
      <c r="C7" s="87">
        <f t="shared" ref="C7:C32" si="5">SUM(E7:AH7)</f>
        <v>0</v>
      </c>
      <c r="D7" s="91" t="s">
        <v>66</v>
      </c>
      <c r="E7" s="92" t="s">
        <v>66</v>
      </c>
      <c r="F7" s="92" t="s">
        <v>66</v>
      </c>
      <c r="G7" s="92" t="s">
        <v>66</v>
      </c>
      <c r="H7" s="92" t="s">
        <v>66</v>
      </c>
      <c r="I7" s="92" t="s">
        <v>66</v>
      </c>
      <c r="J7" s="92" t="s">
        <v>66</v>
      </c>
      <c r="K7" s="92" t="s">
        <v>66</v>
      </c>
      <c r="L7" s="92" t="s">
        <v>66</v>
      </c>
      <c r="M7" s="92" t="s">
        <v>66</v>
      </c>
      <c r="N7" s="92" t="s">
        <v>66</v>
      </c>
      <c r="O7" s="92" t="s">
        <v>66</v>
      </c>
      <c r="P7" s="92" t="s">
        <v>66</v>
      </c>
      <c r="Q7" s="92" t="s">
        <v>66</v>
      </c>
      <c r="R7" s="92" t="s">
        <v>66</v>
      </c>
      <c r="S7" s="92" t="s">
        <v>66</v>
      </c>
      <c r="T7" s="92" t="s">
        <v>66</v>
      </c>
      <c r="U7" s="92" t="s">
        <v>66</v>
      </c>
      <c r="V7" s="92" t="s">
        <v>66</v>
      </c>
      <c r="W7" s="92" t="s">
        <v>66</v>
      </c>
      <c r="X7" s="92" t="s">
        <v>66</v>
      </c>
      <c r="Y7" s="92" t="s">
        <v>66</v>
      </c>
      <c r="Z7" s="92" t="s">
        <v>66</v>
      </c>
      <c r="AA7" s="92" t="s">
        <v>66</v>
      </c>
      <c r="AB7" s="92" t="s">
        <v>66</v>
      </c>
      <c r="AC7" s="92" t="s">
        <v>66</v>
      </c>
      <c r="AD7" s="92" t="s">
        <v>66</v>
      </c>
      <c r="AE7" s="92" t="s">
        <v>66</v>
      </c>
      <c r="AF7" s="92" t="s">
        <v>66</v>
      </c>
      <c r="AG7" s="92" t="s">
        <v>66</v>
      </c>
      <c r="AH7" s="92" t="s">
        <v>66</v>
      </c>
      <c r="AI7" s="92" t="s">
        <v>66</v>
      </c>
      <c r="AJ7" s="96" t="s">
        <v>66</v>
      </c>
      <c r="AL7" s="78"/>
      <c r="AM7" s="1"/>
    </row>
    <row r="8" spans="1:39" x14ac:dyDescent="0.25">
      <c r="A8" s="96"/>
      <c r="B8" s="86" t="s">
        <v>20</v>
      </c>
      <c r="C8" s="87">
        <f t="shared" si="5"/>
        <v>-226.6</v>
      </c>
      <c r="D8" s="88">
        <f t="shared" ref="D8:D32" si="6">C8/$C$2</f>
        <v>0.12301500772236754</v>
      </c>
      <c r="E8" s="89" t="s">
        <v>66</v>
      </c>
      <c r="F8" s="89" t="s">
        <v>66</v>
      </c>
      <c r="G8" s="89" t="s">
        <v>66</v>
      </c>
      <c r="H8" s="89">
        <v>-30.16</v>
      </c>
      <c r="I8" s="89" t="s">
        <v>66</v>
      </c>
      <c r="J8" s="89" t="s">
        <v>66</v>
      </c>
      <c r="K8" s="89" t="s">
        <v>66</v>
      </c>
      <c r="L8" s="89" t="s">
        <v>66</v>
      </c>
      <c r="M8" s="89" t="s">
        <v>66</v>
      </c>
      <c r="N8" s="89">
        <v>-19.91</v>
      </c>
      <c r="O8" s="89">
        <v>-19.899999999999999</v>
      </c>
      <c r="P8" s="89" t="s">
        <v>66</v>
      </c>
      <c r="Q8" s="89">
        <v>-12.63</v>
      </c>
      <c r="R8" s="89">
        <f>-9.6-19.15</f>
        <v>-28.75</v>
      </c>
      <c r="S8" s="89">
        <v>-19.91</v>
      </c>
      <c r="T8" s="89" t="s">
        <v>66</v>
      </c>
      <c r="U8" s="89" t="s">
        <v>66</v>
      </c>
      <c r="V8" s="89" t="s">
        <v>66</v>
      </c>
      <c r="W8" s="89" t="s">
        <v>66</v>
      </c>
      <c r="X8" s="89">
        <v>-5</v>
      </c>
      <c r="Y8" s="89">
        <f>-18.9</f>
        <v>-18.899999999999999</v>
      </c>
      <c r="Z8" s="89">
        <v>-22.91</v>
      </c>
      <c r="AA8" s="89" t="s">
        <v>66</v>
      </c>
      <c r="AB8" s="89" t="s">
        <v>66</v>
      </c>
      <c r="AC8" s="89">
        <f>-2.03-15.5</f>
        <v>-17.53</v>
      </c>
      <c r="AD8" s="89" t="s">
        <v>66</v>
      </c>
      <c r="AE8" s="89">
        <v>-11</v>
      </c>
      <c r="AF8" s="89">
        <v>-20</v>
      </c>
      <c r="AG8" s="89" t="s">
        <v>66</v>
      </c>
      <c r="AH8" s="89" t="s">
        <v>66</v>
      </c>
      <c r="AI8" s="89" t="s">
        <v>66</v>
      </c>
      <c r="AJ8" s="96" t="s">
        <v>66</v>
      </c>
    </row>
    <row r="9" spans="1:39" x14ac:dyDescent="0.25">
      <c r="A9" s="96"/>
      <c r="B9" s="86" t="s">
        <v>21</v>
      </c>
      <c r="C9" s="87">
        <f t="shared" si="5"/>
        <v>-17.899999999999999</v>
      </c>
      <c r="D9" s="91">
        <f t="shared" si="6"/>
        <v>9.7174255879540102E-3</v>
      </c>
      <c r="E9" s="92" t="s">
        <v>66</v>
      </c>
      <c r="F9" s="92" t="s">
        <v>66</v>
      </c>
      <c r="G9" s="92" t="s">
        <v>66</v>
      </c>
      <c r="H9" s="92" t="s">
        <v>66</v>
      </c>
      <c r="I9" s="92" t="s">
        <v>66</v>
      </c>
      <c r="J9" s="92">
        <v>-17.899999999999999</v>
      </c>
      <c r="K9" s="92" t="s">
        <v>66</v>
      </c>
      <c r="L9" s="92" t="s">
        <v>66</v>
      </c>
      <c r="M9" s="92" t="s">
        <v>66</v>
      </c>
      <c r="N9" s="92" t="s">
        <v>66</v>
      </c>
      <c r="O9" s="92" t="s">
        <v>66</v>
      </c>
      <c r="P9" s="92" t="s">
        <v>66</v>
      </c>
      <c r="Q9" s="92" t="s">
        <v>66</v>
      </c>
      <c r="R9" s="92" t="s">
        <v>66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 t="s">
        <v>66</v>
      </c>
      <c r="Z9" s="92" t="s">
        <v>66</v>
      </c>
      <c r="AA9" s="92" t="s">
        <v>66</v>
      </c>
      <c r="AB9" s="92" t="s">
        <v>66</v>
      </c>
      <c r="AC9" s="92" t="s">
        <v>66</v>
      </c>
      <c r="AD9" s="92" t="s">
        <v>66</v>
      </c>
      <c r="AE9" s="92" t="s">
        <v>66</v>
      </c>
      <c r="AF9" s="92" t="s">
        <v>66</v>
      </c>
      <c r="AG9" s="92" t="s">
        <v>66</v>
      </c>
      <c r="AH9" s="92" t="s">
        <v>66</v>
      </c>
      <c r="AI9" s="92" t="s">
        <v>66</v>
      </c>
      <c r="AJ9" s="96" t="s">
        <v>66</v>
      </c>
      <c r="AL9" s="54"/>
    </row>
    <row r="10" spans="1:39" x14ac:dyDescent="0.25">
      <c r="A10" s="96"/>
      <c r="B10" s="86" t="s">
        <v>91</v>
      </c>
      <c r="C10" s="87">
        <f t="shared" si="5"/>
        <v>-3.8</v>
      </c>
      <c r="D10" s="93">
        <f t="shared" si="6"/>
        <v>2.062917163923198E-3</v>
      </c>
      <c r="E10" s="94" t="s">
        <v>66</v>
      </c>
      <c r="F10" s="94" t="s">
        <v>66</v>
      </c>
      <c r="G10" s="94" t="s">
        <v>66</v>
      </c>
      <c r="H10" s="94" t="s">
        <v>66</v>
      </c>
      <c r="I10" s="94" t="s">
        <v>66</v>
      </c>
      <c r="J10" s="94" t="s">
        <v>66</v>
      </c>
      <c r="K10" s="94" t="s">
        <v>66</v>
      </c>
      <c r="L10" s="94" t="s">
        <v>66</v>
      </c>
      <c r="M10" s="94" t="s">
        <v>66</v>
      </c>
      <c r="N10" s="94" t="s">
        <v>66</v>
      </c>
      <c r="O10" s="94" t="s">
        <v>66</v>
      </c>
      <c r="P10" s="94" t="s">
        <v>66</v>
      </c>
      <c r="Q10" s="94" t="s">
        <v>66</v>
      </c>
      <c r="R10" s="94" t="s">
        <v>66</v>
      </c>
      <c r="S10" s="94" t="s">
        <v>66</v>
      </c>
      <c r="T10" s="94" t="s">
        <v>66</v>
      </c>
      <c r="U10" s="94" t="s">
        <v>66</v>
      </c>
      <c r="V10" s="94" t="s">
        <v>66</v>
      </c>
      <c r="W10" s="94" t="s">
        <v>66</v>
      </c>
      <c r="X10" s="94" t="s">
        <v>66</v>
      </c>
      <c r="Y10" s="94" t="s">
        <v>66</v>
      </c>
      <c r="Z10" s="94" t="s">
        <v>66</v>
      </c>
      <c r="AA10" s="94" t="s">
        <v>66</v>
      </c>
      <c r="AB10" s="94" t="s">
        <v>66</v>
      </c>
      <c r="AC10" s="94" t="s">
        <v>66</v>
      </c>
      <c r="AD10" s="94" t="s">
        <v>66</v>
      </c>
      <c r="AE10" s="94">
        <v>-3.8</v>
      </c>
      <c r="AF10" s="94" t="s">
        <v>66</v>
      </c>
      <c r="AG10" s="94" t="s">
        <v>66</v>
      </c>
      <c r="AH10" s="94" t="s">
        <v>66</v>
      </c>
      <c r="AI10" s="94" t="s">
        <v>66</v>
      </c>
      <c r="AJ10" s="96" t="s">
        <v>66</v>
      </c>
      <c r="AL10" s="54"/>
    </row>
    <row r="11" spans="1:39" x14ac:dyDescent="0.25">
      <c r="A11" s="96"/>
      <c r="B11" s="86" t="s">
        <v>22</v>
      </c>
      <c r="C11" s="87">
        <f t="shared" si="5"/>
        <v>-41.7</v>
      </c>
      <c r="D11" s="91">
        <f t="shared" si="6"/>
        <v>2.2637801509367724E-2</v>
      </c>
      <c r="E11" s="92" t="s">
        <v>66</v>
      </c>
      <c r="F11" s="92">
        <v>-6</v>
      </c>
      <c r="G11" s="92" t="s">
        <v>66</v>
      </c>
      <c r="H11" s="92" t="s">
        <v>66</v>
      </c>
      <c r="I11" s="92" t="s">
        <v>66</v>
      </c>
      <c r="J11" s="92" t="s">
        <v>66</v>
      </c>
      <c r="K11" s="92">
        <f>-8.3-4.9-4.5</f>
        <v>-17.700000000000003</v>
      </c>
      <c r="L11" s="92" t="s">
        <v>66</v>
      </c>
      <c r="M11" s="92" t="s">
        <v>66</v>
      </c>
      <c r="N11" s="92" t="s">
        <v>66</v>
      </c>
      <c r="O11" s="92" t="s">
        <v>66</v>
      </c>
      <c r="P11" s="92" t="s">
        <v>66</v>
      </c>
      <c r="Q11" s="92" t="s">
        <v>66</v>
      </c>
      <c r="R11" s="92" t="s">
        <v>66</v>
      </c>
      <c r="S11" s="92" t="s">
        <v>66</v>
      </c>
      <c r="T11" s="92" t="s">
        <v>66</v>
      </c>
      <c r="U11" s="92" t="s">
        <v>66</v>
      </c>
      <c r="V11" s="92" t="s">
        <v>66</v>
      </c>
      <c r="W11" s="92" t="s">
        <v>66</v>
      </c>
      <c r="X11" s="92" t="s">
        <v>66</v>
      </c>
      <c r="Y11" s="92">
        <v>-5</v>
      </c>
      <c r="Z11" s="92" t="s">
        <v>66</v>
      </c>
      <c r="AA11" s="92" t="s">
        <v>66</v>
      </c>
      <c r="AB11" s="92" t="s">
        <v>66</v>
      </c>
      <c r="AC11" s="92" t="s">
        <v>66</v>
      </c>
      <c r="AD11" s="92">
        <f>-7-6</f>
        <v>-13</v>
      </c>
      <c r="AE11" s="92" t="s">
        <v>66</v>
      </c>
      <c r="AF11" s="92" t="s">
        <v>66</v>
      </c>
      <c r="AG11" s="92" t="s">
        <v>66</v>
      </c>
      <c r="AH11" s="92" t="s">
        <v>66</v>
      </c>
      <c r="AI11" s="92" t="s">
        <v>66</v>
      </c>
      <c r="AJ11" s="96" t="s">
        <v>66</v>
      </c>
      <c r="AL11" s="54"/>
    </row>
    <row r="12" spans="1:39" x14ac:dyDescent="0.25">
      <c r="A12" s="96"/>
      <c r="B12" s="86" t="s">
        <v>23</v>
      </c>
      <c r="C12" s="87">
        <f t="shared" si="5"/>
        <v>-6.5</v>
      </c>
      <c r="D12" s="93">
        <f t="shared" si="6"/>
        <v>3.5286740961844175E-3</v>
      </c>
      <c r="E12" s="94" t="s">
        <v>66</v>
      </c>
      <c r="F12" s="94" t="s">
        <v>66</v>
      </c>
      <c r="G12" s="94" t="s">
        <v>66</v>
      </c>
      <c r="H12" s="94" t="s">
        <v>66</v>
      </c>
      <c r="I12" s="94" t="s">
        <v>66</v>
      </c>
      <c r="J12" s="94" t="s">
        <v>66</v>
      </c>
      <c r="K12" s="94">
        <v>-2</v>
      </c>
      <c r="L12" s="94" t="s">
        <v>66</v>
      </c>
      <c r="M12" s="94" t="s">
        <v>66</v>
      </c>
      <c r="N12" s="94" t="s">
        <v>66</v>
      </c>
      <c r="O12" s="94" t="s">
        <v>66</v>
      </c>
      <c r="P12" s="94" t="s">
        <v>66</v>
      </c>
      <c r="Q12" s="94">
        <v>-1</v>
      </c>
      <c r="R12" s="94" t="s">
        <v>66</v>
      </c>
      <c r="S12" s="94" t="s">
        <v>66</v>
      </c>
      <c r="T12" s="94" t="s">
        <v>66</v>
      </c>
      <c r="U12" s="94" t="s">
        <v>66</v>
      </c>
      <c r="V12" s="94" t="s">
        <v>66</v>
      </c>
      <c r="W12" s="94" t="s">
        <v>66</v>
      </c>
      <c r="X12" s="94">
        <v>-1</v>
      </c>
      <c r="Y12" s="94" t="s">
        <v>66</v>
      </c>
      <c r="Z12" s="94" t="s">
        <v>66</v>
      </c>
      <c r="AA12" s="94" t="s">
        <v>66</v>
      </c>
      <c r="AB12" s="94" t="s">
        <v>66</v>
      </c>
      <c r="AC12" s="94" t="s">
        <v>66</v>
      </c>
      <c r="AD12" s="94" t="s">
        <v>66</v>
      </c>
      <c r="AE12" s="94">
        <v>-2.5</v>
      </c>
      <c r="AF12" s="94" t="s">
        <v>66</v>
      </c>
      <c r="AG12" s="94" t="s">
        <v>66</v>
      </c>
      <c r="AH12" s="94" t="s">
        <v>66</v>
      </c>
      <c r="AI12" s="94" t="s">
        <v>66</v>
      </c>
      <c r="AJ12" s="96" t="s">
        <v>66</v>
      </c>
    </row>
    <row r="13" spans="1:39" x14ac:dyDescent="0.25">
      <c r="A13" s="96"/>
      <c r="B13" s="86" t="s">
        <v>81</v>
      </c>
      <c r="C13" s="87">
        <f t="shared" si="5"/>
        <v>-30</v>
      </c>
      <c r="D13" s="91">
        <f t="shared" si="6"/>
        <v>1.6286188136235773E-2</v>
      </c>
      <c r="E13" s="92" t="s">
        <v>66</v>
      </c>
      <c r="F13" s="92" t="s">
        <v>66</v>
      </c>
      <c r="G13" s="92" t="s">
        <v>66</v>
      </c>
      <c r="H13" s="92" t="s">
        <v>66</v>
      </c>
      <c r="I13" s="92" t="s">
        <v>66</v>
      </c>
      <c r="J13" s="92">
        <v>-10</v>
      </c>
      <c r="K13" s="92" t="s">
        <v>66</v>
      </c>
      <c r="L13" s="92">
        <v>-10</v>
      </c>
      <c r="M13" s="92" t="s">
        <v>66</v>
      </c>
      <c r="N13" s="92" t="s">
        <v>66</v>
      </c>
      <c r="O13" s="92" t="s">
        <v>66</v>
      </c>
      <c r="P13" s="92" t="s">
        <v>66</v>
      </c>
      <c r="Q13" s="92" t="s">
        <v>66</v>
      </c>
      <c r="R13" s="92" t="s">
        <v>66</v>
      </c>
      <c r="S13" s="92" t="s">
        <v>66</v>
      </c>
      <c r="T13" s="92" t="s">
        <v>66</v>
      </c>
      <c r="U13" s="92" t="s">
        <v>66</v>
      </c>
      <c r="V13" s="92" t="s">
        <v>66</v>
      </c>
      <c r="W13" s="92" t="s">
        <v>66</v>
      </c>
      <c r="X13" s="92" t="s">
        <v>66</v>
      </c>
      <c r="Y13" s="92">
        <v>-10</v>
      </c>
      <c r="Z13" s="92" t="s">
        <v>66</v>
      </c>
      <c r="AA13" s="92" t="s">
        <v>66</v>
      </c>
      <c r="AB13" s="92" t="s">
        <v>66</v>
      </c>
      <c r="AC13" s="92" t="s">
        <v>66</v>
      </c>
      <c r="AD13" s="92" t="s">
        <v>66</v>
      </c>
      <c r="AE13" s="92" t="s">
        <v>66</v>
      </c>
      <c r="AF13" s="92" t="s">
        <v>66</v>
      </c>
      <c r="AG13" s="92" t="s">
        <v>66</v>
      </c>
      <c r="AH13" s="92" t="s">
        <v>66</v>
      </c>
      <c r="AI13" s="92" t="s">
        <v>66</v>
      </c>
      <c r="AJ13" s="96" t="s">
        <v>66</v>
      </c>
    </row>
    <row r="14" spans="1:39" x14ac:dyDescent="0.25">
      <c r="A14" s="96"/>
      <c r="B14" s="86" t="s">
        <v>24</v>
      </c>
      <c r="C14" s="87">
        <f t="shared" si="5"/>
        <v>-155.08999999999997</v>
      </c>
      <c r="D14" s="93">
        <f t="shared" si="6"/>
        <v>8.4194163934960181E-2</v>
      </c>
      <c r="E14" s="94">
        <v>-22.55</v>
      </c>
      <c r="F14" s="94" t="s">
        <v>66</v>
      </c>
      <c r="G14" s="94">
        <v>-4</v>
      </c>
      <c r="H14" s="94">
        <v>-4</v>
      </c>
      <c r="I14" s="94" t="s">
        <v>66</v>
      </c>
      <c r="J14" s="94" t="s">
        <v>66</v>
      </c>
      <c r="K14" s="94" t="s">
        <v>66</v>
      </c>
      <c r="L14" s="94">
        <v>-2</v>
      </c>
      <c r="M14" s="94">
        <v>-25.54</v>
      </c>
      <c r="N14" s="94" t="s">
        <v>66</v>
      </c>
      <c r="O14" s="94" t="s">
        <v>66</v>
      </c>
      <c r="P14" s="94" t="s">
        <v>66</v>
      </c>
      <c r="Q14" s="94" t="s">
        <v>66</v>
      </c>
      <c r="R14" s="94">
        <v>-26.15</v>
      </c>
      <c r="S14" s="94" t="s">
        <v>66</v>
      </c>
      <c r="T14" s="94">
        <v>-12.56</v>
      </c>
      <c r="U14" s="94">
        <v>-5.89</v>
      </c>
      <c r="V14" s="133" t="s">
        <v>66</v>
      </c>
      <c r="W14" s="94" t="s">
        <v>66</v>
      </c>
      <c r="X14" s="94">
        <v>-2</v>
      </c>
      <c r="Y14" s="94">
        <v>-28.95</v>
      </c>
      <c r="Z14" s="94" t="s">
        <v>66</v>
      </c>
      <c r="AA14" s="94" t="s">
        <v>66</v>
      </c>
      <c r="AB14" s="94" t="s">
        <v>66</v>
      </c>
      <c r="AC14" s="94" t="s">
        <v>66</v>
      </c>
      <c r="AD14" s="94" t="s">
        <v>66</v>
      </c>
      <c r="AE14" s="94" t="s">
        <v>66</v>
      </c>
      <c r="AF14" s="94">
        <v>-21.45</v>
      </c>
      <c r="AG14" s="94" t="s">
        <v>66</v>
      </c>
      <c r="AH14" s="94" t="s">
        <v>66</v>
      </c>
      <c r="AI14" s="94" t="s">
        <v>66</v>
      </c>
      <c r="AJ14" s="96" t="s">
        <v>66</v>
      </c>
    </row>
    <row r="15" spans="1:39" x14ac:dyDescent="0.25">
      <c r="A15" s="96"/>
      <c r="B15" s="86" t="s">
        <v>27</v>
      </c>
      <c r="C15" s="87">
        <f t="shared" si="5"/>
        <v>0</v>
      </c>
      <c r="D15" s="91">
        <f t="shared" si="6"/>
        <v>0</v>
      </c>
      <c r="E15" s="92" t="s">
        <v>66</v>
      </c>
      <c r="F15" s="92" t="s">
        <v>66</v>
      </c>
      <c r="G15" s="92" t="s">
        <v>66</v>
      </c>
      <c r="H15" s="92" t="s">
        <v>68</v>
      </c>
      <c r="I15" s="92" t="s">
        <v>66</v>
      </c>
      <c r="J15" s="92" t="s">
        <v>66</v>
      </c>
      <c r="K15" s="92" t="s">
        <v>66</v>
      </c>
      <c r="L15" s="92" t="s">
        <v>66</v>
      </c>
      <c r="M15" s="92" t="s">
        <v>66</v>
      </c>
      <c r="N15" s="92" t="s">
        <v>66</v>
      </c>
      <c r="O15" s="92" t="s">
        <v>67</v>
      </c>
      <c r="P15" s="92" t="s">
        <v>66</v>
      </c>
      <c r="Q15" s="92" t="s">
        <v>66</v>
      </c>
      <c r="R15" s="92" t="s">
        <v>66</v>
      </c>
      <c r="S15" s="92" t="s">
        <v>66</v>
      </c>
      <c r="T15" s="92" t="s">
        <v>66</v>
      </c>
      <c r="U15" s="92" t="s">
        <v>66</v>
      </c>
      <c r="V15" s="92" t="s">
        <v>77</v>
      </c>
      <c r="W15" s="92" t="s">
        <v>66</v>
      </c>
      <c r="X15" s="92" t="s">
        <v>66</v>
      </c>
      <c r="Y15" s="92" t="s">
        <v>66</v>
      </c>
      <c r="Z15" s="92" t="s">
        <v>66</v>
      </c>
      <c r="AA15" s="92" t="s">
        <v>66</v>
      </c>
      <c r="AB15" s="92" t="s">
        <v>66</v>
      </c>
      <c r="AC15" s="92" t="s">
        <v>67</v>
      </c>
      <c r="AD15" s="92" t="s">
        <v>66</v>
      </c>
      <c r="AE15" s="92" t="s">
        <v>66</v>
      </c>
      <c r="AF15" s="92" t="s">
        <v>66</v>
      </c>
      <c r="AG15" s="92" t="s">
        <v>66</v>
      </c>
      <c r="AH15" s="92" t="s">
        <v>66</v>
      </c>
      <c r="AI15" s="92" t="s">
        <v>66</v>
      </c>
      <c r="AJ15" s="96" t="s">
        <v>66</v>
      </c>
    </row>
    <row r="16" spans="1:39" x14ac:dyDescent="0.25">
      <c r="A16" s="96"/>
      <c r="B16" s="86" t="s">
        <v>28</v>
      </c>
      <c r="C16" s="87">
        <f t="shared" si="5"/>
        <v>0</v>
      </c>
      <c r="D16" s="93">
        <f t="shared" si="6"/>
        <v>0</v>
      </c>
      <c r="E16" s="94" t="s">
        <v>66</v>
      </c>
      <c r="F16" s="94" t="s">
        <v>66</v>
      </c>
      <c r="G16" s="94" t="s">
        <v>66</v>
      </c>
      <c r="H16" s="94" t="s">
        <v>66</v>
      </c>
      <c r="I16" s="94" t="s">
        <v>66</v>
      </c>
      <c r="J16" s="94" t="s">
        <v>66</v>
      </c>
      <c r="K16" s="94" t="s">
        <v>66</v>
      </c>
      <c r="L16" s="94" t="s">
        <v>66</v>
      </c>
      <c r="M16" s="94" t="s">
        <v>66</v>
      </c>
      <c r="N16" s="94" t="s">
        <v>66</v>
      </c>
      <c r="O16" s="94" t="s">
        <v>66</v>
      </c>
      <c r="P16" s="94" t="s">
        <v>66</v>
      </c>
      <c r="Q16" s="94" t="s">
        <v>66</v>
      </c>
      <c r="R16" s="94" t="s">
        <v>66</v>
      </c>
      <c r="S16" s="94" t="s">
        <v>66</v>
      </c>
      <c r="T16" s="94" t="s">
        <v>66</v>
      </c>
      <c r="U16" s="94" t="s">
        <v>66</v>
      </c>
      <c r="V16" s="94" t="s">
        <v>66</v>
      </c>
      <c r="W16" s="94" t="s">
        <v>66</v>
      </c>
      <c r="X16" s="94" t="s">
        <v>66</v>
      </c>
      <c r="Y16" s="94" t="s">
        <v>66</v>
      </c>
      <c r="Z16" s="94" t="s">
        <v>66</v>
      </c>
      <c r="AA16" s="94" t="s">
        <v>66</v>
      </c>
      <c r="AB16" s="94" t="s">
        <v>66</v>
      </c>
      <c r="AC16" s="94" t="s">
        <v>66</v>
      </c>
      <c r="AD16" s="94" t="s">
        <v>66</v>
      </c>
      <c r="AE16" s="94" t="s">
        <v>66</v>
      </c>
      <c r="AF16" s="94" t="s">
        <v>66</v>
      </c>
      <c r="AG16" s="94" t="s">
        <v>66</v>
      </c>
      <c r="AH16" s="94" t="s">
        <v>66</v>
      </c>
      <c r="AI16" s="94" t="s">
        <v>66</v>
      </c>
      <c r="AJ16" s="96" t="s">
        <v>66</v>
      </c>
    </row>
    <row r="17" spans="1:39" x14ac:dyDescent="0.25">
      <c r="A17" s="96"/>
      <c r="B17" s="86" t="s">
        <v>89</v>
      </c>
      <c r="C17" s="87">
        <f t="shared" si="5"/>
        <v>-25</v>
      </c>
      <c r="D17" s="91">
        <f t="shared" si="6"/>
        <v>1.3571823446863144E-2</v>
      </c>
      <c r="E17" s="92" t="s">
        <v>66</v>
      </c>
      <c r="F17" s="92" t="s">
        <v>66</v>
      </c>
      <c r="G17" s="92" t="s">
        <v>66</v>
      </c>
      <c r="H17" s="92" t="s">
        <v>66</v>
      </c>
      <c r="I17" s="92" t="s">
        <v>66</v>
      </c>
      <c r="J17" s="92">
        <v>-5</v>
      </c>
      <c r="K17" s="92" t="s">
        <v>66</v>
      </c>
      <c r="L17" s="92" t="s">
        <v>66</v>
      </c>
      <c r="M17" s="92">
        <v>-5</v>
      </c>
      <c r="N17" s="92" t="s">
        <v>66</v>
      </c>
      <c r="O17" s="92" t="s">
        <v>66</v>
      </c>
      <c r="P17" s="92" t="s">
        <v>66</v>
      </c>
      <c r="Q17" s="92" t="s">
        <v>66</v>
      </c>
      <c r="R17" s="92" t="s">
        <v>66</v>
      </c>
      <c r="S17" s="92" t="s">
        <v>66</v>
      </c>
      <c r="T17" s="92">
        <v>-5</v>
      </c>
      <c r="U17" s="92" t="s">
        <v>66</v>
      </c>
      <c r="V17" s="92" t="s">
        <v>66</v>
      </c>
      <c r="W17" s="92" t="s">
        <v>66</v>
      </c>
      <c r="X17" s="92" t="s">
        <v>66</v>
      </c>
      <c r="Y17" s="92">
        <v>-5</v>
      </c>
      <c r="Z17" s="92" t="s">
        <v>66</v>
      </c>
      <c r="AA17" s="92" t="s">
        <v>66</v>
      </c>
      <c r="AB17" s="92" t="s">
        <v>66</v>
      </c>
      <c r="AC17" s="92" t="s">
        <v>66</v>
      </c>
      <c r="AD17" s="92" t="s">
        <v>66</v>
      </c>
      <c r="AE17" s="92" t="s">
        <v>66</v>
      </c>
      <c r="AF17" s="92">
        <v>-5</v>
      </c>
      <c r="AG17" s="92" t="s">
        <v>66</v>
      </c>
      <c r="AH17" s="92" t="s">
        <v>66</v>
      </c>
      <c r="AI17" s="92" t="s">
        <v>66</v>
      </c>
      <c r="AJ17" s="96" t="s">
        <v>66</v>
      </c>
    </row>
    <row r="18" spans="1:39" x14ac:dyDescent="0.25">
      <c r="A18" s="96"/>
      <c r="B18" s="86" t="s">
        <v>29</v>
      </c>
      <c r="C18" s="87">
        <f t="shared" si="5"/>
        <v>-76.89</v>
      </c>
      <c r="D18" s="93">
        <f t="shared" si="6"/>
        <v>4.1741500193172285E-2</v>
      </c>
      <c r="E18" s="94" t="s">
        <v>66</v>
      </c>
      <c r="F18" s="94" t="s">
        <v>66</v>
      </c>
      <c r="G18" s="94" t="s">
        <v>66</v>
      </c>
      <c r="H18" s="94" t="s">
        <v>66</v>
      </c>
      <c r="I18" s="94" t="s">
        <v>66</v>
      </c>
      <c r="J18" s="94" t="s">
        <v>66</v>
      </c>
      <c r="K18" s="94" t="s">
        <v>66</v>
      </c>
      <c r="L18" s="94">
        <v>-26.9</v>
      </c>
      <c r="M18" s="94" t="s">
        <v>66</v>
      </c>
      <c r="N18" s="94" t="s">
        <v>66</v>
      </c>
      <c r="O18" s="94" t="s">
        <v>66</v>
      </c>
      <c r="P18" s="94" t="s">
        <v>66</v>
      </c>
      <c r="Q18" s="94" t="s">
        <v>66</v>
      </c>
      <c r="R18" s="94" t="s">
        <v>66</v>
      </c>
      <c r="S18" s="94" t="s">
        <v>66</v>
      </c>
      <c r="T18" s="94" t="s">
        <v>66</v>
      </c>
      <c r="U18" s="94" t="s">
        <v>66</v>
      </c>
      <c r="V18" s="94" t="s">
        <v>66</v>
      </c>
      <c r="W18" s="94" t="s">
        <v>66</v>
      </c>
      <c r="X18" s="94" t="s">
        <v>66</v>
      </c>
      <c r="Y18" s="94" t="s">
        <v>66</v>
      </c>
      <c r="Z18" s="94" t="s">
        <v>66</v>
      </c>
      <c r="AA18" s="94" t="s">
        <v>66</v>
      </c>
      <c r="AB18" s="94" t="s">
        <v>66</v>
      </c>
      <c r="AC18" s="94" t="s">
        <v>66</v>
      </c>
      <c r="AD18" s="94" t="s">
        <v>66</v>
      </c>
      <c r="AE18" s="94" t="s">
        <v>66</v>
      </c>
      <c r="AF18" s="94" t="s">
        <v>66</v>
      </c>
      <c r="AG18" s="94">
        <v>-49.99</v>
      </c>
      <c r="AH18" s="94" t="s">
        <v>66</v>
      </c>
      <c r="AI18" s="94" t="s">
        <v>66</v>
      </c>
      <c r="AJ18" s="96" t="s">
        <v>66</v>
      </c>
    </row>
    <row r="19" spans="1:39" x14ac:dyDescent="0.25">
      <c r="A19" s="96"/>
      <c r="B19" s="86" t="s">
        <v>31</v>
      </c>
      <c r="C19" s="87">
        <f t="shared" si="5"/>
        <v>-103.2</v>
      </c>
      <c r="D19" s="91">
        <f t="shared" si="6"/>
        <v>5.6024487188651058E-2</v>
      </c>
      <c r="E19" s="92" t="s">
        <v>66</v>
      </c>
      <c r="F19" s="92" t="s">
        <v>66</v>
      </c>
      <c r="G19" s="92">
        <v>-103.2</v>
      </c>
      <c r="H19" s="92" t="s">
        <v>66</v>
      </c>
      <c r="I19" s="92" t="s">
        <v>66</v>
      </c>
      <c r="J19" s="92" t="s">
        <v>66</v>
      </c>
      <c r="K19" s="92" t="s">
        <v>66</v>
      </c>
      <c r="L19" s="92" t="s">
        <v>66</v>
      </c>
      <c r="M19" s="92" t="s">
        <v>66</v>
      </c>
      <c r="N19" s="92" t="s">
        <v>66</v>
      </c>
      <c r="O19" s="92" t="s">
        <v>66</v>
      </c>
      <c r="P19" s="92" t="s">
        <v>66</v>
      </c>
      <c r="Q19" s="92" t="s">
        <v>66</v>
      </c>
      <c r="R19" s="92" t="s">
        <v>66</v>
      </c>
      <c r="S19" s="92" t="s">
        <v>66</v>
      </c>
      <c r="T19" s="92" t="s">
        <v>66</v>
      </c>
      <c r="U19" s="92" t="s">
        <v>66</v>
      </c>
      <c r="V19" s="92" t="s">
        <v>66</v>
      </c>
      <c r="W19" s="92" t="s">
        <v>66</v>
      </c>
      <c r="X19" s="92" t="s">
        <v>66</v>
      </c>
      <c r="Y19" s="92" t="s">
        <v>66</v>
      </c>
      <c r="Z19" s="92" t="s">
        <v>66</v>
      </c>
      <c r="AA19" s="92" t="s">
        <v>66</v>
      </c>
      <c r="AB19" s="92" t="s">
        <v>66</v>
      </c>
      <c r="AC19" s="92" t="s">
        <v>66</v>
      </c>
      <c r="AD19" s="92" t="s">
        <v>66</v>
      </c>
      <c r="AE19" s="92" t="s">
        <v>66</v>
      </c>
      <c r="AF19" s="92" t="s">
        <v>66</v>
      </c>
      <c r="AG19" s="92" t="s">
        <v>66</v>
      </c>
      <c r="AH19" s="92" t="s">
        <v>66</v>
      </c>
      <c r="AI19" s="92" t="s">
        <v>66</v>
      </c>
      <c r="AJ19" s="96" t="s">
        <v>66</v>
      </c>
    </row>
    <row r="20" spans="1:39" x14ac:dyDescent="0.25">
      <c r="A20" s="96"/>
      <c r="B20" s="86" t="s">
        <v>32</v>
      </c>
      <c r="C20" s="87">
        <f t="shared" si="5"/>
        <v>-80</v>
      </c>
      <c r="D20" s="93">
        <f t="shared" si="6"/>
        <v>4.3429835029962061E-2</v>
      </c>
      <c r="E20" s="94" t="s">
        <v>66</v>
      </c>
      <c r="F20" s="94" t="s">
        <v>66</v>
      </c>
      <c r="G20" s="94">
        <v>-80</v>
      </c>
      <c r="H20" s="94" t="s">
        <v>66</v>
      </c>
      <c r="I20" s="94" t="s">
        <v>66</v>
      </c>
      <c r="J20" s="94" t="s">
        <v>66</v>
      </c>
      <c r="K20" s="94" t="s">
        <v>66</v>
      </c>
      <c r="L20" s="94" t="s">
        <v>66</v>
      </c>
      <c r="M20" s="94" t="s">
        <v>66</v>
      </c>
      <c r="N20" s="94" t="s">
        <v>66</v>
      </c>
      <c r="O20" s="94" t="s">
        <v>66</v>
      </c>
      <c r="P20" s="94" t="s">
        <v>66</v>
      </c>
      <c r="Q20" s="94" t="s">
        <v>66</v>
      </c>
      <c r="R20" s="94" t="s">
        <v>66</v>
      </c>
      <c r="S20" s="94" t="s">
        <v>66</v>
      </c>
      <c r="T20" s="94" t="s">
        <v>66</v>
      </c>
      <c r="U20" s="94" t="s">
        <v>66</v>
      </c>
      <c r="V20" s="94" t="s">
        <v>66</v>
      </c>
      <c r="W20" s="94" t="s">
        <v>66</v>
      </c>
      <c r="X20" s="94" t="s">
        <v>66</v>
      </c>
      <c r="Y20" s="94" t="s">
        <v>66</v>
      </c>
      <c r="Z20" s="94" t="s">
        <v>66</v>
      </c>
      <c r="AA20" s="94" t="s">
        <v>66</v>
      </c>
      <c r="AB20" s="94" t="s">
        <v>66</v>
      </c>
      <c r="AC20" s="94" t="s">
        <v>66</v>
      </c>
      <c r="AD20" s="94" t="s">
        <v>66</v>
      </c>
      <c r="AE20" s="94" t="s">
        <v>66</v>
      </c>
      <c r="AF20" s="94" t="s">
        <v>66</v>
      </c>
      <c r="AG20" s="94" t="s">
        <v>66</v>
      </c>
      <c r="AH20" s="94" t="s">
        <v>66</v>
      </c>
      <c r="AI20" s="94" t="s">
        <v>66</v>
      </c>
      <c r="AJ20" s="96" t="s">
        <v>66</v>
      </c>
    </row>
    <row r="21" spans="1:39" ht="15.75" customHeight="1" x14ac:dyDescent="0.25">
      <c r="A21" s="96"/>
      <c r="B21" s="86" t="s">
        <v>33</v>
      </c>
      <c r="C21" s="87">
        <f t="shared" si="5"/>
        <v>-111.11</v>
      </c>
      <c r="D21" s="91">
        <f t="shared" si="6"/>
        <v>6.0318612127238554E-2</v>
      </c>
      <c r="E21" s="92" t="s">
        <v>66</v>
      </c>
      <c r="F21" s="92" t="s">
        <v>66</v>
      </c>
      <c r="G21" s="92" t="s">
        <v>66</v>
      </c>
      <c r="H21" s="92" t="s">
        <v>66</v>
      </c>
      <c r="I21" s="92" t="s">
        <v>66</v>
      </c>
      <c r="J21" s="92">
        <v>-6.94</v>
      </c>
      <c r="K21" s="92" t="s">
        <v>66</v>
      </c>
      <c r="L21" s="92" t="s">
        <v>66</v>
      </c>
      <c r="M21" s="92" t="s">
        <v>66</v>
      </c>
      <c r="N21" s="92" t="s">
        <v>66</v>
      </c>
      <c r="O21" s="92" t="s">
        <v>66</v>
      </c>
      <c r="P21" s="92" t="s">
        <v>66</v>
      </c>
      <c r="Q21" s="92">
        <v>-10.029999999999999</v>
      </c>
      <c r="R21" s="92">
        <f>-9.23-35.1</f>
        <v>-44.33</v>
      </c>
      <c r="S21" s="92" t="s">
        <v>66</v>
      </c>
      <c r="T21" s="92" t="s">
        <v>66</v>
      </c>
      <c r="U21" s="92" t="s">
        <v>66</v>
      </c>
      <c r="V21" s="92" t="s">
        <v>66</v>
      </c>
      <c r="W21" s="92" t="s">
        <v>66</v>
      </c>
      <c r="X21" s="92" t="s">
        <v>66</v>
      </c>
      <c r="Y21" s="92">
        <v>-17.36</v>
      </c>
      <c r="Z21" s="92" t="s">
        <v>66</v>
      </c>
      <c r="AA21" s="92" t="s">
        <v>66</v>
      </c>
      <c r="AB21" s="92" t="s">
        <v>66</v>
      </c>
      <c r="AC21" s="92" t="s">
        <v>66</v>
      </c>
      <c r="AD21" s="92">
        <v>-17.05</v>
      </c>
      <c r="AE21" s="92" t="s">
        <v>66</v>
      </c>
      <c r="AF21" s="92">
        <v>-15.4</v>
      </c>
      <c r="AG21" s="92" t="s">
        <v>66</v>
      </c>
      <c r="AH21" s="92" t="s">
        <v>66</v>
      </c>
      <c r="AI21" s="92" t="s">
        <v>66</v>
      </c>
      <c r="AJ21" s="96" t="s">
        <v>66</v>
      </c>
    </row>
    <row r="22" spans="1:39" ht="15.75" customHeight="1" x14ac:dyDescent="0.25">
      <c r="A22" s="96"/>
      <c r="B22" s="86" t="s">
        <v>94</v>
      </c>
      <c r="C22" s="87">
        <f t="shared" si="5"/>
        <v>0</v>
      </c>
      <c r="D22" s="93">
        <f t="shared" si="6"/>
        <v>0</v>
      </c>
      <c r="E22" s="94" t="s">
        <v>66</v>
      </c>
      <c r="F22" s="94" t="s">
        <v>66</v>
      </c>
      <c r="G22" s="94" t="s">
        <v>66</v>
      </c>
      <c r="H22" s="94" t="s">
        <v>66</v>
      </c>
      <c r="I22" s="94" t="s">
        <v>66</v>
      </c>
      <c r="J22" s="94" t="s">
        <v>66</v>
      </c>
      <c r="K22" s="94" t="s">
        <v>66</v>
      </c>
      <c r="L22" s="94" t="s">
        <v>66</v>
      </c>
      <c r="M22" s="94" t="s">
        <v>66</v>
      </c>
      <c r="N22" s="94" t="s">
        <v>66</v>
      </c>
      <c r="O22" s="94" t="s">
        <v>66</v>
      </c>
      <c r="P22" s="94" t="s">
        <v>66</v>
      </c>
      <c r="Q22" s="94" t="s">
        <v>66</v>
      </c>
      <c r="R22" s="94" t="s">
        <v>66</v>
      </c>
      <c r="S22" s="94" t="s">
        <v>66</v>
      </c>
      <c r="T22" s="94" t="s">
        <v>66</v>
      </c>
      <c r="U22" s="94" t="s">
        <v>66</v>
      </c>
      <c r="V22" s="94" t="s">
        <v>66</v>
      </c>
      <c r="W22" s="94" t="s">
        <v>66</v>
      </c>
      <c r="X22" s="94" t="s">
        <v>66</v>
      </c>
      <c r="Y22" s="94" t="s">
        <v>66</v>
      </c>
      <c r="Z22" s="94" t="s">
        <v>66</v>
      </c>
      <c r="AA22" s="94" t="s">
        <v>66</v>
      </c>
      <c r="AB22" s="94" t="s">
        <v>66</v>
      </c>
      <c r="AC22" s="94" t="s">
        <v>66</v>
      </c>
      <c r="AD22" s="94" t="s">
        <v>66</v>
      </c>
      <c r="AE22" s="94" t="s">
        <v>66</v>
      </c>
      <c r="AF22" s="94" t="s">
        <v>66</v>
      </c>
      <c r="AG22" s="94" t="s">
        <v>66</v>
      </c>
      <c r="AH22" s="94" t="s">
        <v>66</v>
      </c>
      <c r="AI22" s="94" t="s">
        <v>66</v>
      </c>
      <c r="AJ22" s="96" t="s">
        <v>66</v>
      </c>
    </row>
    <row r="23" spans="1:39" ht="15.75" customHeight="1" x14ac:dyDescent="0.25">
      <c r="A23" s="96"/>
      <c r="B23" s="86" t="s">
        <v>34</v>
      </c>
      <c r="C23" s="87">
        <f t="shared" si="5"/>
        <v>0</v>
      </c>
      <c r="D23" s="91">
        <f t="shared" si="6"/>
        <v>0</v>
      </c>
      <c r="E23" s="92" t="s">
        <v>66</v>
      </c>
      <c r="F23" s="92" t="s">
        <v>66</v>
      </c>
      <c r="G23" s="92" t="s">
        <v>66</v>
      </c>
      <c r="H23" s="92" t="s">
        <v>66</v>
      </c>
      <c r="I23" s="92" t="s">
        <v>66</v>
      </c>
      <c r="J23" s="92" t="s">
        <v>66</v>
      </c>
      <c r="K23" s="92" t="s">
        <v>66</v>
      </c>
      <c r="L23" s="92" t="s">
        <v>66</v>
      </c>
      <c r="M23" s="92" t="s">
        <v>66</v>
      </c>
      <c r="N23" s="92" t="s">
        <v>66</v>
      </c>
      <c r="O23" s="92" t="s">
        <v>66</v>
      </c>
      <c r="P23" s="92" t="s">
        <v>66</v>
      </c>
      <c r="Q23" s="92" t="s">
        <v>66</v>
      </c>
      <c r="R23" s="92" t="s">
        <v>66</v>
      </c>
      <c r="S23" s="92" t="s">
        <v>66</v>
      </c>
      <c r="T23" s="92" t="s">
        <v>66</v>
      </c>
      <c r="U23" s="92" t="s">
        <v>66</v>
      </c>
      <c r="V23" s="92" t="s">
        <v>66</v>
      </c>
      <c r="W23" s="92" t="s">
        <v>66</v>
      </c>
      <c r="X23" s="92" t="s">
        <v>66</v>
      </c>
      <c r="Y23" s="92" t="s">
        <v>66</v>
      </c>
      <c r="Z23" s="92" t="s">
        <v>66</v>
      </c>
      <c r="AA23" s="92" t="s">
        <v>66</v>
      </c>
      <c r="AB23" s="92" t="s">
        <v>66</v>
      </c>
      <c r="AC23" s="92" t="s">
        <v>66</v>
      </c>
      <c r="AD23" s="92" t="s">
        <v>66</v>
      </c>
      <c r="AE23" s="92" t="s">
        <v>66</v>
      </c>
      <c r="AF23" s="92" t="s">
        <v>66</v>
      </c>
      <c r="AG23" s="92" t="s">
        <v>66</v>
      </c>
      <c r="AH23" s="92" t="s">
        <v>66</v>
      </c>
      <c r="AI23" s="92" t="s">
        <v>66</v>
      </c>
      <c r="AJ23" s="96" t="s">
        <v>66</v>
      </c>
      <c r="AL23" s="86"/>
      <c r="AM23" s="95"/>
    </row>
    <row r="24" spans="1:39" ht="15.75" customHeight="1" x14ac:dyDescent="0.25">
      <c r="A24" s="96"/>
      <c r="B24" s="86" t="s">
        <v>35</v>
      </c>
      <c r="C24" s="87">
        <f t="shared" si="5"/>
        <v>0</v>
      </c>
      <c r="D24" s="93">
        <f t="shared" si="6"/>
        <v>0</v>
      </c>
      <c r="E24" s="94" t="s">
        <v>66</v>
      </c>
      <c r="F24" s="94" t="s">
        <v>66</v>
      </c>
      <c r="G24" s="94" t="s">
        <v>66</v>
      </c>
      <c r="H24" s="94" t="s">
        <v>66</v>
      </c>
      <c r="I24" s="94" t="s">
        <v>66</v>
      </c>
      <c r="J24" s="94" t="s">
        <v>66</v>
      </c>
      <c r="K24" s="94" t="s">
        <v>66</v>
      </c>
      <c r="L24" s="94" t="s">
        <v>66</v>
      </c>
      <c r="M24" s="94" t="s">
        <v>66</v>
      </c>
      <c r="N24" s="94" t="s">
        <v>66</v>
      </c>
      <c r="O24" s="94" t="s">
        <v>66</v>
      </c>
      <c r="P24" s="94" t="s">
        <v>66</v>
      </c>
      <c r="Q24" s="94" t="s">
        <v>66</v>
      </c>
      <c r="R24" s="94" t="s">
        <v>66</v>
      </c>
      <c r="S24" s="94" t="s">
        <v>66</v>
      </c>
      <c r="T24" s="94" t="s">
        <v>66</v>
      </c>
      <c r="U24" s="94" t="s">
        <v>66</v>
      </c>
      <c r="V24" s="94" t="s">
        <v>66</v>
      </c>
      <c r="W24" s="94" t="s">
        <v>66</v>
      </c>
      <c r="X24" s="94" t="s">
        <v>66</v>
      </c>
      <c r="Y24" s="94" t="s">
        <v>66</v>
      </c>
      <c r="Z24" s="94" t="s">
        <v>66</v>
      </c>
      <c r="AA24" s="94" t="s">
        <v>66</v>
      </c>
      <c r="AB24" s="94" t="s">
        <v>66</v>
      </c>
      <c r="AC24" s="94" t="s">
        <v>66</v>
      </c>
      <c r="AD24" s="94" t="s">
        <v>66</v>
      </c>
      <c r="AE24" s="94" t="s">
        <v>66</v>
      </c>
      <c r="AF24" s="94" t="s">
        <v>66</v>
      </c>
      <c r="AG24" s="94" t="s">
        <v>66</v>
      </c>
      <c r="AH24" s="94" t="s">
        <v>66</v>
      </c>
      <c r="AI24" s="94" t="s">
        <v>66</v>
      </c>
      <c r="AJ24" s="96" t="s">
        <v>66</v>
      </c>
    </row>
    <row r="25" spans="1:39" ht="15.75" customHeight="1" x14ac:dyDescent="0.25">
      <c r="A25" s="96"/>
      <c r="B25" s="86" t="s">
        <v>36</v>
      </c>
      <c r="C25" s="87">
        <f t="shared" si="5"/>
        <v>0</v>
      </c>
      <c r="D25" s="91">
        <f t="shared" si="6"/>
        <v>0</v>
      </c>
      <c r="E25" s="92" t="s">
        <v>66</v>
      </c>
      <c r="F25" s="92" t="s">
        <v>66</v>
      </c>
      <c r="G25" s="92" t="s">
        <v>66</v>
      </c>
      <c r="H25" s="92" t="s">
        <v>66</v>
      </c>
      <c r="I25" s="92" t="s">
        <v>66</v>
      </c>
      <c r="J25" s="92" t="s">
        <v>66</v>
      </c>
      <c r="K25" s="92" t="s">
        <v>66</v>
      </c>
      <c r="L25" s="92" t="s">
        <v>66</v>
      </c>
      <c r="M25" s="92" t="s">
        <v>66</v>
      </c>
      <c r="N25" s="92" t="s">
        <v>66</v>
      </c>
      <c r="O25" s="92" t="s">
        <v>66</v>
      </c>
      <c r="P25" s="92" t="s">
        <v>66</v>
      </c>
      <c r="Q25" s="92" t="s">
        <v>66</v>
      </c>
      <c r="R25" s="92" t="s">
        <v>66</v>
      </c>
      <c r="S25" s="92" t="s">
        <v>66</v>
      </c>
      <c r="T25" s="92" t="s">
        <v>66</v>
      </c>
      <c r="U25" s="92" t="s">
        <v>66</v>
      </c>
      <c r="V25" s="92" t="s">
        <v>66</v>
      </c>
      <c r="W25" s="92" t="s">
        <v>66</v>
      </c>
      <c r="X25" s="92" t="s">
        <v>66</v>
      </c>
      <c r="Y25" s="92" t="s">
        <v>66</v>
      </c>
      <c r="Z25" s="92" t="s">
        <v>66</v>
      </c>
      <c r="AA25" s="92" t="s">
        <v>66</v>
      </c>
      <c r="AB25" s="92" t="s">
        <v>66</v>
      </c>
      <c r="AC25" s="92" t="s">
        <v>66</v>
      </c>
      <c r="AD25" s="92" t="s">
        <v>66</v>
      </c>
      <c r="AE25" s="92" t="s">
        <v>66</v>
      </c>
      <c r="AF25" s="92" t="s">
        <v>66</v>
      </c>
      <c r="AG25" s="92" t="s">
        <v>66</v>
      </c>
      <c r="AH25" s="92" t="s">
        <v>66</v>
      </c>
      <c r="AI25" s="92" t="s">
        <v>66</v>
      </c>
      <c r="AJ25" s="96" t="s">
        <v>66</v>
      </c>
    </row>
    <row r="26" spans="1:39" ht="15.75" customHeight="1" x14ac:dyDescent="0.25">
      <c r="A26" s="96"/>
      <c r="B26" s="86" t="s">
        <v>39</v>
      </c>
      <c r="C26" s="87">
        <f t="shared" si="5"/>
        <v>-91.679999999999993</v>
      </c>
      <c r="D26" s="93">
        <f t="shared" si="6"/>
        <v>4.9770590944336515E-2</v>
      </c>
      <c r="E26" s="94" t="s">
        <v>66</v>
      </c>
      <c r="F26" s="94" t="s">
        <v>66</v>
      </c>
      <c r="G26" s="94" t="s">
        <v>66</v>
      </c>
      <c r="H26" s="94" t="s">
        <v>66</v>
      </c>
      <c r="I26" s="94" t="s">
        <v>66</v>
      </c>
      <c r="J26" s="94" t="s">
        <v>66</v>
      </c>
      <c r="K26" s="94" t="s">
        <v>66</v>
      </c>
      <c r="L26" s="94" t="s">
        <v>66</v>
      </c>
      <c r="M26" s="94" t="s">
        <v>66</v>
      </c>
      <c r="N26" s="94" t="s">
        <v>66</v>
      </c>
      <c r="O26" s="94" t="s">
        <v>66</v>
      </c>
      <c r="P26" s="94" t="s">
        <v>66</v>
      </c>
      <c r="Q26" s="94" t="s">
        <v>66</v>
      </c>
      <c r="R26" s="94" t="s">
        <v>66</v>
      </c>
      <c r="S26" s="94" t="s">
        <v>66</v>
      </c>
      <c r="T26" s="94" t="s">
        <v>66</v>
      </c>
      <c r="U26" s="94" t="s">
        <v>66</v>
      </c>
      <c r="V26" s="94" t="s">
        <v>66</v>
      </c>
      <c r="W26" s="94" t="s">
        <v>66</v>
      </c>
      <c r="X26" s="94">
        <f>-1.8-2</f>
        <v>-3.8</v>
      </c>
      <c r="Y26" s="94" t="s">
        <v>66</v>
      </c>
      <c r="Z26" s="94">
        <v>-49</v>
      </c>
      <c r="AA26" s="94" t="s">
        <v>66</v>
      </c>
      <c r="AB26" s="94" t="s">
        <v>66</v>
      </c>
      <c r="AC26" s="94" t="s">
        <v>66</v>
      </c>
      <c r="AD26" s="94" t="s">
        <v>66</v>
      </c>
      <c r="AE26" s="94" t="s">
        <v>66</v>
      </c>
      <c r="AF26" s="94" t="s">
        <v>66</v>
      </c>
      <c r="AG26" s="94" t="s">
        <v>66</v>
      </c>
      <c r="AH26" s="94">
        <f>-22.9-15.98</f>
        <v>-38.879999999999995</v>
      </c>
      <c r="AI26" s="94" t="s">
        <v>66</v>
      </c>
      <c r="AJ26" s="96" t="s">
        <v>66</v>
      </c>
    </row>
    <row r="27" spans="1:39" ht="15.75" customHeight="1" x14ac:dyDescent="0.25">
      <c r="A27" s="96"/>
      <c r="B27" s="86" t="s">
        <v>40</v>
      </c>
      <c r="C27" s="87">
        <f t="shared" si="5"/>
        <v>-14.36</v>
      </c>
      <c r="D27" s="91">
        <f t="shared" si="6"/>
        <v>7.7956553878781899E-3</v>
      </c>
      <c r="E27" s="92" t="s">
        <v>66</v>
      </c>
      <c r="F27" s="92" t="s">
        <v>66</v>
      </c>
      <c r="G27" s="92" t="s">
        <v>66</v>
      </c>
      <c r="H27" s="92" t="s">
        <v>66</v>
      </c>
      <c r="I27" s="92" t="s">
        <v>66</v>
      </c>
      <c r="J27" s="92">
        <v>-14.36</v>
      </c>
      <c r="K27" s="92" t="s">
        <v>66</v>
      </c>
      <c r="L27" s="92" t="s">
        <v>66</v>
      </c>
      <c r="M27" s="92" t="s">
        <v>66</v>
      </c>
      <c r="N27" s="92" t="s">
        <v>66</v>
      </c>
      <c r="O27" s="92" t="s">
        <v>66</v>
      </c>
      <c r="P27" s="92" t="s">
        <v>66</v>
      </c>
      <c r="Q27" s="92" t="s">
        <v>66</v>
      </c>
      <c r="R27" s="92" t="s">
        <v>66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 t="s">
        <v>66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2" t="s">
        <v>66</v>
      </c>
      <c r="AJ27" s="96" t="s">
        <v>66</v>
      </c>
    </row>
    <row r="28" spans="1:39" ht="15.75" customHeight="1" x14ac:dyDescent="0.25">
      <c r="A28" s="96"/>
      <c r="B28" s="86" t="s">
        <v>41</v>
      </c>
      <c r="C28" s="87">
        <f t="shared" si="5"/>
        <v>0</v>
      </c>
      <c r="D28" s="93">
        <f t="shared" si="6"/>
        <v>0</v>
      </c>
      <c r="E28" s="94" t="s">
        <v>66</v>
      </c>
      <c r="F28" s="94" t="s">
        <v>66</v>
      </c>
      <c r="G28" s="94" t="s">
        <v>66</v>
      </c>
      <c r="H28" s="94" t="s">
        <v>66</v>
      </c>
      <c r="I28" s="94" t="s">
        <v>66</v>
      </c>
      <c r="J28" s="94" t="s">
        <v>66</v>
      </c>
      <c r="K28" s="94" t="s">
        <v>66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4" t="s">
        <v>66</v>
      </c>
      <c r="AJ28" s="96" t="s">
        <v>66</v>
      </c>
    </row>
    <row r="29" spans="1:39" ht="15.75" customHeight="1" x14ac:dyDescent="0.25">
      <c r="A29" s="246"/>
      <c r="B29" s="86" t="s">
        <v>207</v>
      </c>
      <c r="C29" s="87">
        <f>-(2587+511.66)/12</f>
        <v>-258.22166666666664</v>
      </c>
      <c r="D29" s="91">
        <f t="shared" si="6"/>
        <v>0.14018155480618982</v>
      </c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246"/>
    </row>
    <row r="30" spans="1:39" ht="15.75" customHeight="1" x14ac:dyDescent="0.25">
      <c r="A30" s="96"/>
      <c r="B30" s="86" t="s">
        <v>72</v>
      </c>
      <c r="C30" s="87">
        <f t="shared" si="5"/>
        <v>-550</v>
      </c>
      <c r="D30" s="91">
        <f t="shared" si="6"/>
        <v>0.29858011583098915</v>
      </c>
      <c r="E30" s="92" t="s">
        <v>66</v>
      </c>
      <c r="F30" s="92" t="s">
        <v>66</v>
      </c>
      <c r="G30" s="92" t="s">
        <v>66</v>
      </c>
      <c r="H30" s="92" t="s">
        <v>66</v>
      </c>
      <c r="I30" s="92">
        <v>-550</v>
      </c>
      <c r="J30" s="92" t="s">
        <v>66</v>
      </c>
      <c r="K30" s="92" t="s">
        <v>66</v>
      </c>
      <c r="L30" s="92" t="s">
        <v>66</v>
      </c>
      <c r="M30" s="92" t="s">
        <v>66</v>
      </c>
      <c r="N30" s="92" t="s">
        <v>66</v>
      </c>
      <c r="O30" s="92" t="s">
        <v>66</v>
      </c>
      <c r="P30" s="92" t="s">
        <v>66</v>
      </c>
      <c r="Q30" s="92" t="s">
        <v>66</v>
      </c>
      <c r="R30" s="92" t="s">
        <v>66</v>
      </c>
      <c r="S30" s="92" t="s">
        <v>66</v>
      </c>
      <c r="T30" s="92" t="s">
        <v>66</v>
      </c>
      <c r="U30" s="92" t="s">
        <v>66</v>
      </c>
      <c r="V30" s="92" t="s">
        <v>66</v>
      </c>
      <c r="W30" s="92" t="s">
        <v>66</v>
      </c>
      <c r="X30" s="92" t="s">
        <v>66</v>
      </c>
      <c r="Y30" s="92" t="s">
        <v>66</v>
      </c>
      <c r="Z30" s="92" t="s">
        <v>66</v>
      </c>
      <c r="AA30" s="92" t="s">
        <v>66</v>
      </c>
      <c r="AB30" s="92" t="s">
        <v>66</v>
      </c>
      <c r="AC30" s="92" t="s">
        <v>66</v>
      </c>
      <c r="AD30" s="92" t="s">
        <v>66</v>
      </c>
      <c r="AE30" s="92" t="s">
        <v>66</v>
      </c>
      <c r="AF30" s="92" t="s">
        <v>66</v>
      </c>
      <c r="AG30" s="92" t="s">
        <v>66</v>
      </c>
      <c r="AH30" s="92" t="s">
        <v>66</v>
      </c>
      <c r="AI30" s="92" t="s">
        <v>66</v>
      </c>
      <c r="AJ30" s="96" t="s">
        <v>66</v>
      </c>
    </row>
    <row r="31" spans="1:39" ht="15.75" customHeight="1" x14ac:dyDescent="0.25">
      <c r="A31" s="96"/>
      <c r="B31" s="86" t="s">
        <v>42</v>
      </c>
      <c r="C31" s="87">
        <f t="shared" si="5"/>
        <v>-50</v>
      </c>
      <c r="D31" s="93">
        <f t="shared" si="6"/>
        <v>2.7143646893726288E-2</v>
      </c>
      <c r="E31" s="94" t="s">
        <v>66</v>
      </c>
      <c r="F31" s="94" t="s">
        <v>66</v>
      </c>
      <c r="G31" s="94" t="s">
        <v>66</v>
      </c>
      <c r="H31" s="94">
        <v>-50</v>
      </c>
      <c r="I31" s="94" t="s">
        <v>66</v>
      </c>
      <c r="J31" s="94" t="s">
        <v>66</v>
      </c>
      <c r="K31" s="94" t="s">
        <v>66</v>
      </c>
      <c r="L31" s="94" t="s">
        <v>66</v>
      </c>
      <c r="M31" s="94" t="s">
        <v>66</v>
      </c>
      <c r="N31" s="94" t="s">
        <v>66</v>
      </c>
      <c r="O31" s="94" t="s">
        <v>66</v>
      </c>
      <c r="P31" s="94" t="s">
        <v>66</v>
      </c>
      <c r="Q31" s="94" t="s">
        <v>66</v>
      </c>
      <c r="R31" s="94" t="s">
        <v>66</v>
      </c>
      <c r="S31" s="94" t="s">
        <v>66</v>
      </c>
      <c r="T31" s="94" t="s">
        <v>66</v>
      </c>
      <c r="U31" s="94" t="s">
        <v>66</v>
      </c>
      <c r="V31" s="94" t="s">
        <v>66</v>
      </c>
      <c r="W31" s="94" t="s">
        <v>66</v>
      </c>
      <c r="X31" s="94" t="s">
        <v>66</v>
      </c>
      <c r="Y31" s="94" t="s">
        <v>66</v>
      </c>
      <c r="Z31" s="94" t="s">
        <v>66</v>
      </c>
      <c r="AA31" s="94" t="s">
        <v>66</v>
      </c>
      <c r="AB31" s="94" t="s">
        <v>66</v>
      </c>
      <c r="AC31" s="94" t="s">
        <v>66</v>
      </c>
      <c r="AD31" s="94" t="s">
        <v>66</v>
      </c>
      <c r="AE31" s="94" t="s">
        <v>66</v>
      </c>
      <c r="AF31" s="94" t="s">
        <v>66</v>
      </c>
      <c r="AG31" s="94" t="s">
        <v>66</v>
      </c>
      <c r="AH31" s="94" t="s">
        <v>66</v>
      </c>
      <c r="AI31" s="94" t="s">
        <v>66</v>
      </c>
      <c r="AJ31" s="96" t="s">
        <v>66</v>
      </c>
    </row>
    <row r="32" spans="1:39" ht="15.75" customHeight="1" x14ac:dyDescent="0.25">
      <c r="A32" s="96"/>
      <c r="B32" s="86" t="s">
        <v>96</v>
      </c>
      <c r="C32" s="87">
        <f t="shared" si="5"/>
        <v>0</v>
      </c>
      <c r="D32" s="91">
        <f t="shared" si="6"/>
        <v>0</v>
      </c>
      <c r="E32" s="92" t="s">
        <v>66</v>
      </c>
      <c r="F32" s="92" t="s">
        <v>66</v>
      </c>
      <c r="G32" s="92" t="s">
        <v>66</v>
      </c>
      <c r="H32" s="92" t="s">
        <v>66</v>
      </c>
      <c r="I32" s="92" t="s">
        <v>66</v>
      </c>
      <c r="J32" s="92" t="s">
        <v>66</v>
      </c>
      <c r="K32" s="92" t="s">
        <v>66</v>
      </c>
      <c r="L32" s="92" t="s">
        <v>66</v>
      </c>
      <c r="M32" s="92" t="s">
        <v>66</v>
      </c>
      <c r="N32" s="92" t="s">
        <v>66</v>
      </c>
      <c r="O32" s="92" t="s">
        <v>66</v>
      </c>
      <c r="P32" s="92" t="s">
        <v>66</v>
      </c>
      <c r="Q32" s="92" t="s">
        <v>66</v>
      </c>
      <c r="R32" s="92" t="s">
        <v>66</v>
      </c>
      <c r="S32" s="92" t="s">
        <v>66</v>
      </c>
      <c r="T32" s="92" t="s">
        <v>66</v>
      </c>
      <c r="U32" s="92" t="s">
        <v>66</v>
      </c>
      <c r="V32" s="92" t="s">
        <v>66</v>
      </c>
      <c r="W32" s="92" t="s">
        <v>66</v>
      </c>
      <c r="X32" s="92" t="s">
        <v>66</v>
      </c>
      <c r="Y32" s="92" t="s">
        <v>66</v>
      </c>
      <c r="Z32" s="92" t="s">
        <v>66</v>
      </c>
      <c r="AA32" s="92" t="s">
        <v>66</v>
      </c>
      <c r="AB32" s="92" t="s">
        <v>66</v>
      </c>
      <c r="AC32" s="92" t="s">
        <v>66</v>
      </c>
      <c r="AD32" s="92" t="s">
        <v>66</v>
      </c>
      <c r="AE32" s="92" t="s">
        <v>66</v>
      </c>
      <c r="AF32" s="92" t="s">
        <v>66</v>
      </c>
      <c r="AG32" s="92" t="s">
        <v>66</v>
      </c>
      <c r="AH32" s="92" t="s">
        <v>66</v>
      </c>
      <c r="AI32" s="92" t="s">
        <v>66</v>
      </c>
      <c r="AJ32" s="96" t="s">
        <v>66</v>
      </c>
    </row>
    <row r="33" spans="1:36" ht="15.75" customHeight="1" x14ac:dyDescent="0.25">
      <c r="A33" s="96"/>
      <c r="B33" s="99" t="s">
        <v>44</v>
      </c>
      <c r="C33" s="124">
        <f>SUM(E33:AF33)</f>
        <v>2056.5500000000002</v>
      </c>
      <c r="D33" s="125"/>
      <c r="E33" s="126"/>
      <c r="F33" s="126"/>
      <c r="G33" s="126"/>
      <c r="H33" s="126"/>
      <c r="I33" s="126">
        <v>2056.5500000000002</v>
      </c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96"/>
    </row>
    <row r="34" spans="1:36" ht="15.75" customHeight="1" x14ac:dyDescent="0.25">
      <c r="A34" s="96"/>
      <c r="B34" s="83"/>
      <c r="C34" s="12"/>
      <c r="D34" s="106"/>
      <c r="E34" s="107">
        <f t="shared" ref="E34:X34" si="7">E5</f>
        <v>43647</v>
      </c>
      <c r="F34" s="107">
        <f t="shared" si="7"/>
        <v>43648</v>
      </c>
      <c r="G34" s="107">
        <f t="shared" si="7"/>
        <v>43649</v>
      </c>
      <c r="H34" s="107">
        <f t="shared" si="7"/>
        <v>43650</v>
      </c>
      <c r="I34" s="107">
        <f t="shared" si="7"/>
        <v>43651</v>
      </c>
      <c r="J34" s="107">
        <f t="shared" si="7"/>
        <v>43652</v>
      </c>
      <c r="K34" s="107">
        <f t="shared" si="7"/>
        <v>43653</v>
      </c>
      <c r="L34" s="107">
        <f t="shared" si="7"/>
        <v>43654</v>
      </c>
      <c r="M34" s="107">
        <f t="shared" si="7"/>
        <v>43655</v>
      </c>
      <c r="N34" s="107">
        <f t="shared" si="7"/>
        <v>43656</v>
      </c>
      <c r="O34" s="107">
        <f t="shared" si="7"/>
        <v>43657</v>
      </c>
      <c r="P34" s="107">
        <f t="shared" si="7"/>
        <v>43658</v>
      </c>
      <c r="Q34" s="107">
        <f t="shared" si="7"/>
        <v>43659</v>
      </c>
      <c r="R34" s="107">
        <f t="shared" si="7"/>
        <v>43660</v>
      </c>
      <c r="S34" s="107">
        <f t="shared" si="7"/>
        <v>43661</v>
      </c>
      <c r="T34" s="107">
        <f t="shared" si="7"/>
        <v>43662</v>
      </c>
      <c r="U34" s="107">
        <f t="shared" si="7"/>
        <v>43663</v>
      </c>
      <c r="V34" s="107">
        <f t="shared" si="7"/>
        <v>43664</v>
      </c>
      <c r="W34" s="107">
        <f t="shared" si="7"/>
        <v>43665</v>
      </c>
      <c r="X34" s="107">
        <f t="shared" si="7"/>
        <v>43666</v>
      </c>
      <c r="Y34" s="107" t="s">
        <v>98</v>
      </c>
      <c r="Z34" s="107">
        <f t="shared" ref="Z34:AI34" si="8">Z5</f>
        <v>43668</v>
      </c>
      <c r="AA34" s="107">
        <f t="shared" si="8"/>
        <v>43669</v>
      </c>
      <c r="AB34" s="107">
        <f t="shared" si="8"/>
        <v>43670</v>
      </c>
      <c r="AC34" s="107">
        <f t="shared" si="8"/>
        <v>43671</v>
      </c>
      <c r="AD34" s="107">
        <f t="shared" si="8"/>
        <v>43672</v>
      </c>
      <c r="AE34" s="107">
        <f t="shared" si="8"/>
        <v>43673</v>
      </c>
      <c r="AF34" s="107">
        <f t="shared" si="8"/>
        <v>43674</v>
      </c>
      <c r="AG34" s="107">
        <f t="shared" si="8"/>
        <v>43675</v>
      </c>
      <c r="AH34" s="107">
        <f t="shared" si="8"/>
        <v>43676</v>
      </c>
      <c r="AI34" s="107">
        <f t="shared" si="8"/>
        <v>43677</v>
      </c>
      <c r="AJ34" s="97"/>
    </row>
    <row r="35" spans="1:36" ht="15.75" customHeight="1" x14ac:dyDescent="0.25">
      <c r="A35" s="96"/>
      <c r="B35" s="110" t="s">
        <v>79</v>
      </c>
      <c r="C35" s="58"/>
      <c r="D35" s="66"/>
      <c r="E35" s="112">
        <f t="shared" ref="E35:AI35" si="9">SUM($E$6:E6)</f>
        <v>-22.55</v>
      </c>
      <c r="F35" s="112">
        <f t="shared" si="9"/>
        <v>-28.55</v>
      </c>
      <c r="G35" s="112">
        <f t="shared" si="9"/>
        <v>-215.75</v>
      </c>
      <c r="H35" s="112">
        <f t="shared" si="9"/>
        <v>-299.90999999999997</v>
      </c>
      <c r="I35" s="112">
        <f t="shared" si="9"/>
        <v>-849.91</v>
      </c>
      <c r="J35" s="112">
        <f t="shared" si="9"/>
        <v>-904.11</v>
      </c>
      <c r="K35" s="112">
        <f t="shared" si="9"/>
        <v>-923.81000000000006</v>
      </c>
      <c r="L35" s="112">
        <f t="shared" si="9"/>
        <v>-962.71</v>
      </c>
      <c r="M35" s="112">
        <f t="shared" si="9"/>
        <v>-993.25</v>
      </c>
      <c r="N35" s="112">
        <f t="shared" si="9"/>
        <v>-1013.16</v>
      </c>
      <c r="O35" s="112">
        <f t="shared" si="9"/>
        <v>-1033.06</v>
      </c>
      <c r="P35" s="112">
        <f t="shared" si="9"/>
        <v>-1033.06</v>
      </c>
      <c r="Q35" s="112">
        <f t="shared" si="9"/>
        <v>-1056.72</v>
      </c>
      <c r="R35" s="112">
        <f t="shared" si="9"/>
        <v>-1155.95</v>
      </c>
      <c r="S35" s="112">
        <f t="shared" si="9"/>
        <v>-1175.8600000000001</v>
      </c>
      <c r="T35" s="112">
        <f t="shared" si="9"/>
        <v>-1193.42</v>
      </c>
      <c r="U35" s="112">
        <f t="shared" si="9"/>
        <v>-1199.3100000000002</v>
      </c>
      <c r="V35" s="112">
        <f t="shared" si="9"/>
        <v>-1199.3100000000002</v>
      </c>
      <c r="W35" s="112">
        <f t="shared" si="9"/>
        <v>-1199.3100000000002</v>
      </c>
      <c r="X35" s="112">
        <f t="shared" si="9"/>
        <v>-1211.1100000000001</v>
      </c>
      <c r="Y35" s="112">
        <f t="shared" si="9"/>
        <v>-1296.3200000000002</v>
      </c>
      <c r="Z35" s="112">
        <f t="shared" si="9"/>
        <v>-1368.2300000000002</v>
      </c>
      <c r="AA35" s="112">
        <f t="shared" si="9"/>
        <v>-1368.2300000000002</v>
      </c>
      <c r="AB35" s="112">
        <f t="shared" si="9"/>
        <v>-1368.2300000000002</v>
      </c>
      <c r="AC35" s="112">
        <f t="shared" si="9"/>
        <v>-1385.7600000000002</v>
      </c>
      <c r="AD35" s="112">
        <f t="shared" si="9"/>
        <v>-1415.8100000000002</v>
      </c>
      <c r="AE35" s="112">
        <f t="shared" si="9"/>
        <v>-1433.1100000000001</v>
      </c>
      <c r="AF35" s="112">
        <f t="shared" si="9"/>
        <v>-1494.96</v>
      </c>
      <c r="AG35" s="112">
        <f t="shared" si="9"/>
        <v>-1544.95</v>
      </c>
      <c r="AH35" s="112">
        <f t="shared" si="9"/>
        <v>-1583.83</v>
      </c>
      <c r="AI35" s="112">
        <f t="shared" si="9"/>
        <v>-1583.83</v>
      </c>
      <c r="AJ35" s="97"/>
    </row>
    <row r="36" spans="1:36" ht="15.75" customHeight="1" x14ac:dyDescent="0.25">
      <c r="A36" s="96"/>
      <c r="B36" s="99" t="s">
        <v>69</v>
      </c>
      <c r="C36" s="44"/>
      <c r="D36" s="115">
        <f>'Jun2019'!AH36</f>
        <v>4927.4500000000035</v>
      </c>
      <c r="E36" s="73">
        <f t="shared" ref="E36:AG36" si="10">D45+E6+E33</f>
        <v>4904.9000000000033</v>
      </c>
      <c r="F36" s="73">
        <f t="shared" si="10"/>
        <v>4898.9000000000033</v>
      </c>
      <c r="G36" s="73">
        <f t="shared" si="10"/>
        <v>4711.7000000000035</v>
      </c>
      <c r="H36" s="73">
        <f t="shared" si="10"/>
        <v>4627.5400000000036</v>
      </c>
      <c r="I36" s="73">
        <f t="shared" si="10"/>
        <v>6134.0900000000038</v>
      </c>
      <c r="J36" s="73">
        <f t="shared" si="10"/>
        <v>6079.890000000004</v>
      </c>
      <c r="K36" s="73">
        <f t="shared" si="10"/>
        <v>6060.1900000000041</v>
      </c>
      <c r="L36" s="73">
        <f t="shared" si="10"/>
        <v>6021.2900000000045</v>
      </c>
      <c r="M36" s="73">
        <f t="shared" si="10"/>
        <v>5990.7500000000045</v>
      </c>
      <c r="N36" s="73">
        <f t="shared" si="10"/>
        <v>5970.8400000000047</v>
      </c>
      <c r="O36" s="73">
        <f t="shared" si="10"/>
        <v>5950.9400000000051</v>
      </c>
      <c r="P36" s="73">
        <f t="shared" si="10"/>
        <v>5950.9400000000051</v>
      </c>
      <c r="Q36" s="73">
        <f t="shared" si="10"/>
        <v>5927.2800000000052</v>
      </c>
      <c r="R36" s="73">
        <f t="shared" si="10"/>
        <v>5828.0500000000056</v>
      </c>
      <c r="S36" s="73">
        <f t="shared" si="10"/>
        <v>5808.1400000000058</v>
      </c>
      <c r="T36" s="73">
        <f t="shared" si="10"/>
        <v>5790.5800000000054</v>
      </c>
      <c r="U36" s="73">
        <f t="shared" si="10"/>
        <v>5784.6900000000051</v>
      </c>
      <c r="V36" s="73">
        <f t="shared" si="10"/>
        <v>5784.6900000000051</v>
      </c>
      <c r="W36" s="73">
        <f t="shared" si="10"/>
        <v>5784.6900000000051</v>
      </c>
      <c r="X36" s="73">
        <f t="shared" si="10"/>
        <v>5772.8900000000049</v>
      </c>
      <c r="Y36" s="73">
        <f t="shared" si="10"/>
        <v>5687.6800000000048</v>
      </c>
      <c r="Z36" s="73">
        <f t="shared" si="10"/>
        <v>5615.770000000005</v>
      </c>
      <c r="AA36" s="73">
        <f t="shared" si="10"/>
        <v>5615.770000000005</v>
      </c>
      <c r="AB36" s="73">
        <f t="shared" si="10"/>
        <v>5615.770000000005</v>
      </c>
      <c r="AC36" s="73">
        <f t="shared" si="10"/>
        <v>5598.2400000000052</v>
      </c>
      <c r="AD36" s="73">
        <f t="shared" si="10"/>
        <v>5568.1900000000051</v>
      </c>
      <c r="AE36" s="73">
        <f t="shared" si="10"/>
        <v>5550.8900000000049</v>
      </c>
      <c r="AF36" s="73">
        <f t="shared" si="10"/>
        <v>5489.0400000000045</v>
      </c>
      <c r="AG36" s="73">
        <f t="shared" si="10"/>
        <v>5439.0500000000047</v>
      </c>
      <c r="AH36" s="73">
        <f t="shared" ref="AH36:AI36" si="11">AF45+AH6+AH33</f>
        <v>5450.1600000000044</v>
      </c>
      <c r="AI36" s="73">
        <f t="shared" si="11"/>
        <v>5439.0500000000047</v>
      </c>
      <c r="AJ36" s="97"/>
    </row>
    <row r="37" spans="1:36" ht="15.75" customHeight="1" x14ac:dyDescent="0.25">
      <c r="A37" s="96"/>
      <c r="B37" s="83" t="s">
        <v>61</v>
      </c>
      <c r="C37" s="12"/>
      <c r="D37" s="12"/>
      <c r="L37" s="1">
        <v>40</v>
      </c>
      <c r="M37" s="1"/>
      <c r="N37" s="1"/>
      <c r="O37" s="1"/>
      <c r="P37" s="1"/>
      <c r="Q37" s="1"/>
      <c r="R37" s="1"/>
      <c r="S37" s="1"/>
      <c r="T37" s="1"/>
      <c r="U37" s="1">
        <v>40</v>
      </c>
      <c r="V37" s="1"/>
      <c r="W37" s="1"/>
      <c r="X37" s="1"/>
      <c r="Y37" s="1"/>
      <c r="Z37" s="1"/>
      <c r="AA37" s="1"/>
      <c r="AB37" s="1">
        <v>30</v>
      </c>
      <c r="AC37" s="1"/>
      <c r="AD37" s="1"/>
      <c r="AE37" s="1"/>
      <c r="AF37" s="1"/>
      <c r="AG37" s="1"/>
      <c r="AH37" s="1"/>
      <c r="AI37" s="1"/>
      <c r="AJ37" s="97"/>
    </row>
    <row r="38" spans="1:36" ht="15.75" customHeight="1" x14ac:dyDescent="0.25">
      <c r="A38" s="96"/>
      <c r="B38" s="83" t="s">
        <v>70</v>
      </c>
      <c r="C38" s="12"/>
      <c r="D38" s="12"/>
      <c r="L38" s="1">
        <v>-324.29000000000002</v>
      </c>
      <c r="M38" s="1"/>
      <c r="N38" s="1"/>
      <c r="O38" s="1"/>
      <c r="P38" s="1"/>
      <c r="Q38" s="1"/>
      <c r="R38" s="1"/>
      <c r="S38" s="1"/>
      <c r="T38" s="1"/>
      <c r="U38" s="1">
        <v>-1670.37</v>
      </c>
      <c r="V38" s="1"/>
      <c r="W38" s="1"/>
      <c r="X38" s="1"/>
      <c r="Y38" s="1"/>
      <c r="Z38" s="1"/>
      <c r="AA38" s="1"/>
      <c r="AB38" s="1">
        <v>-1855.59</v>
      </c>
      <c r="AC38" s="1"/>
      <c r="AD38" s="1"/>
      <c r="AE38" s="1"/>
      <c r="AF38" s="1"/>
      <c r="AG38" s="1"/>
      <c r="AH38" s="1"/>
      <c r="AI38" s="1"/>
      <c r="AJ38" s="97"/>
    </row>
    <row r="39" spans="1:36" ht="15.75" customHeight="1" x14ac:dyDescent="0.25">
      <c r="A39" s="96"/>
      <c r="B39" s="83" t="s">
        <v>71</v>
      </c>
      <c r="C39" s="12"/>
      <c r="D39" s="12"/>
      <c r="L39" s="1">
        <v>131.05000000000001</v>
      </c>
      <c r="M39" s="1"/>
      <c r="N39" s="1"/>
      <c r="O39" s="1"/>
      <c r="P39" s="1"/>
      <c r="Q39" s="1"/>
      <c r="R39" s="1"/>
      <c r="S39" s="1"/>
      <c r="T39" s="1"/>
      <c r="U39" s="1">
        <v>131.05000000000001</v>
      </c>
      <c r="V39" s="1"/>
      <c r="W39" s="1"/>
      <c r="X39" s="1"/>
      <c r="Y39" s="1"/>
      <c r="Z39" s="1"/>
      <c r="AA39" s="1"/>
      <c r="AB39" s="1">
        <v>131.05000000000001</v>
      </c>
      <c r="AC39" s="1"/>
      <c r="AD39" s="1"/>
      <c r="AE39" s="1"/>
      <c r="AF39" s="1"/>
      <c r="AG39" s="1"/>
      <c r="AH39" s="1"/>
      <c r="AI39" s="1"/>
      <c r="AJ39" s="97"/>
    </row>
    <row r="40" spans="1:36" ht="15.75" customHeight="1" x14ac:dyDescent="0.25">
      <c r="A40" s="96"/>
      <c r="B40" s="83" t="s">
        <v>85</v>
      </c>
      <c r="C40" s="12"/>
      <c r="D40" s="12"/>
      <c r="L40" s="1">
        <v>0</v>
      </c>
      <c r="M40" s="1"/>
      <c r="N40" s="1"/>
      <c r="O40" s="1"/>
      <c r="P40" s="1"/>
      <c r="Q40" s="1"/>
      <c r="R40" s="1"/>
      <c r="S40" s="1"/>
      <c r="T40" s="1"/>
      <c r="U40" s="1">
        <v>0</v>
      </c>
      <c r="V40" s="1"/>
      <c r="W40" s="1"/>
      <c r="X40" s="1"/>
      <c r="Y40" s="1"/>
      <c r="Z40" s="1"/>
      <c r="AA40" s="1"/>
      <c r="AB40" s="1">
        <v>0</v>
      </c>
      <c r="AC40" s="1"/>
      <c r="AD40" s="1"/>
      <c r="AE40" s="1"/>
      <c r="AF40" s="1"/>
      <c r="AG40" s="1"/>
      <c r="AH40" s="1"/>
      <c r="AI40" s="1"/>
      <c r="AJ40" s="97"/>
    </row>
    <row r="41" spans="1:36" ht="15.75" customHeight="1" x14ac:dyDescent="0.25">
      <c r="A41" s="96"/>
      <c r="B41" s="83" t="s">
        <v>95</v>
      </c>
      <c r="C41" s="12"/>
      <c r="D41" s="12"/>
      <c r="L41" s="1">
        <f>7430.32+200.73</f>
        <v>7631.0499999999993</v>
      </c>
      <c r="M41" s="1"/>
      <c r="N41" s="1"/>
      <c r="O41" s="1"/>
      <c r="P41" s="1"/>
      <c r="Q41" s="1"/>
      <c r="R41" s="1"/>
      <c r="S41" s="1"/>
      <c r="T41" s="1"/>
      <c r="U41" s="1">
        <f>8589.06+168.26</f>
        <v>8757.32</v>
      </c>
      <c r="V41" s="1"/>
      <c r="W41" s="1"/>
      <c r="X41" s="143"/>
      <c r="Y41" s="1"/>
      <c r="Z41" s="1"/>
      <c r="AA41" s="1"/>
      <c r="AB41" s="1">
        <f>8595.5+168.38</f>
        <v>8763.8799999999992</v>
      </c>
      <c r="AC41" s="1"/>
      <c r="AD41" s="1"/>
      <c r="AE41" s="1"/>
      <c r="AF41" s="1"/>
      <c r="AG41" s="1"/>
      <c r="AH41" s="1"/>
      <c r="AI41" s="1"/>
      <c r="AJ41" s="97"/>
    </row>
    <row r="42" spans="1:36" ht="15.75" customHeight="1" x14ac:dyDescent="0.25">
      <c r="A42" s="96"/>
      <c r="B42" s="83" t="s">
        <v>99</v>
      </c>
      <c r="C42" s="12"/>
      <c r="D42" s="12"/>
      <c r="L42" s="1">
        <v>0</v>
      </c>
      <c r="M42" s="1"/>
      <c r="N42" s="1"/>
      <c r="O42" s="1"/>
      <c r="P42" s="1"/>
      <c r="Q42" s="1"/>
      <c r="R42" s="1"/>
      <c r="S42" s="1"/>
      <c r="T42" s="1"/>
      <c r="U42" s="1">
        <v>0</v>
      </c>
      <c r="V42" s="1"/>
      <c r="W42" s="1"/>
      <c r="X42" s="1"/>
      <c r="Y42" s="1"/>
      <c r="Z42" s="1"/>
      <c r="AA42" s="1"/>
      <c r="AB42" s="1">
        <v>0</v>
      </c>
      <c r="AC42" s="1"/>
      <c r="AD42" s="1"/>
      <c r="AE42" s="1"/>
      <c r="AF42" s="1"/>
      <c r="AG42" s="1"/>
      <c r="AH42" s="1"/>
      <c r="AI42" s="1"/>
      <c r="AJ42" s="97"/>
    </row>
    <row r="43" spans="1:36" ht="15.75" customHeight="1" x14ac:dyDescent="0.25">
      <c r="A43" s="96"/>
      <c r="B43" s="83" t="s">
        <v>73</v>
      </c>
      <c r="C43" s="12"/>
      <c r="D43" s="12"/>
      <c r="L43" s="1">
        <v>1861</v>
      </c>
      <c r="M43" s="1"/>
      <c r="N43" s="134"/>
      <c r="O43" s="1"/>
      <c r="P43" s="1"/>
      <c r="Q43" s="1"/>
      <c r="R43" s="1"/>
      <c r="S43" s="1"/>
      <c r="T43" s="1"/>
      <c r="U43" s="1">
        <v>1861</v>
      </c>
      <c r="V43" s="1"/>
      <c r="W43" s="1"/>
      <c r="X43" s="1"/>
      <c r="Y43" s="1"/>
      <c r="Z43" s="1"/>
      <c r="AA43" s="1"/>
      <c r="AB43" s="1">
        <v>1861</v>
      </c>
      <c r="AC43" s="1"/>
      <c r="AD43" s="1"/>
      <c r="AE43" s="1"/>
      <c r="AF43" s="1"/>
      <c r="AG43" s="1"/>
      <c r="AH43" s="1"/>
      <c r="AI43" s="1"/>
      <c r="AJ43" s="97"/>
    </row>
    <row r="44" spans="1:36" ht="15.75" customHeight="1" x14ac:dyDescent="0.25">
      <c r="A44" s="96"/>
      <c r="B44" s="116" t="s">
        <v>63</v>
      </c>
      <c r="C44" s="68"/>
      <c r="D44" s="68"/>
      <c r="E44" s="63"/>
      <c r="F44" s="63"/>
      <c r="G44" s="63"/>
      <c r="H44" s="63"/>
      <c r="I44" s="63"/>
      <c r="J44" s="63"/>
      <c r="K44" s="63"/>
      <c r="L44" s="44">
        <v>0</v>
      </c>
      <c r="M44" s="44"/>
      <c r="N44" s="44"/>
      <c r="O44" s="44"/>
      <c r="P44" s="44"/>
      <c r="Q44" s="44"/>
      <c r="R44" s="44"/>
      <c r="S44" s="44"/>
      <c r="T44" s="44"/>
      <c r="U44" s="44">
        <v>0</v>
      </c>
      <c r="V44" s="44"/>
      <c r="W44" s="44"/>
      <c r="X44" s="44"/>
      <c r="Y44" s="44"/>
      <c r="Z44" s="44"/>
      <c r="AA44" s="44"/>
      <c r="AB44" s="44">
        <v>0</v>
      </c>
      <c r="AC44" s="44"/>
      <c r="AD44" s="44"/>
      <c r="AE44" s="44"/>
      <c r="AF44" s="44"/>
      <c r="AG44" s="44"/>
      <c r="AH44" s="44"/>
      <c r="AI44" s="44"/>
      <c r="AJ44" s="97"/>
    </row>
    <row r="45" spans="1:36" ht="15.75" customHeight="1" x14ac:dyDescent="0.25">
      <c r="A45" s="96"/>
      <c r="B45" s="86" t="s">
        <v>80</v>
      </c>
      <c r="C45" s="12"/>
      <c r="D45" s="50">
        <f t="shared" ref="D45:AI45" si="12">D36</f>
        <v>4927.4500000000035</v>
      </c>
      <c r="E45" s="50">
        <f t="shared" si="12"/>
        <v>4904.9000000000033</v>
      </c>
      <c r="F45" s="50">
        <f t="shared" si="12"/>
        <v>4898.9000000000033</v>
      </c>
      <c r="G45" s="50">
        <f t="shared" si="12"/>
        <v>4711.7000000000035</v>
      </c>
      <c r="H45" s="50">
        <f t="shared" si="12"/>
        <v>4627.5400000000036</v>
      </c>
      <c r="I45" s="50">
        <f t="shared" si="12"/>
        <v>6134.0900000000038</v>
      </c>
      <c r="J45" s="50">
        <f t="shared" si="12"/>
        <v>6079.890000000004</v>
      </c>
      <c r="K45" s="50">
        <f t="shared" si="12"/>
        <v>6060.1900000000041</v>
      </c>
      <c r="L45" s="50">
        <f t="shared" si="12"/>
        <v>6021.2900000000045</v>
      </c>
      <c r="M45" s="50">
        <f t="shared" si="12"/>
        <v>5990.7500000000045</v>
      </c>
      <c r="N45" s="50">
        <f t="shared" si="12"/>
        <v>5970.8400000000047</v>
      </c>
      <c r="O45" s="50">
        <f t="shared" si="12"/>
        <v>5950.9400000000051</v>
      </c>
      <c r="P45" s="50">
        <f t="shared" si="12"/>
        <v>5950.9400000000051</v>
      </c>
      <c r="Q45" s="50">
        <f t="shared" si="12"/>
        <v>5927.2800000000052</v>
      </c>
      <c r="R45" s="50">
        <f t="shared" si="12"/>
        <v>5828.0500000000056</v>
      </c>
      <c r="S45" s="50">
        <f t="shared" si="12"/>
        <v>5808.1400000000058</v>
      </c>
      <c r="T45" s="50">
        <f t="shared" si="12"/>
        <v>5790.5800000000054</v>
      </c>
      <c r="U45" s="50">
        <f t="shared" si="12"/>
        <v>5784.6900000000051</v>
      </c>
      <c r="V45" s="50">
        <f t="shared" si="12"/>
        <v>5784.6900000000051</v>
      </c>
      <c r="W45" s="50">
        <f t="shared" si="12"/>
        <v>5784.6900000000051</v>
      </c>
      <c r="X45" s="50">
        <f t="shared" si="12"/>
        <v>5772.8900000000049</v>
      </c>
      <c r="Y45" s="50">
        <f t="shared" si="12"/>
        <v>5687.6800000000048</v>
      </c>
      <c r="Z45" s="50">
        <f t="shared" si="12"/>
        <v>5615.770000000005</v>
      </c>
      <c r="AA45" s="73">
        <f t="shared" si="12"/>
        <v>5615.770000000005</v>
      </c>
      <c r="AB45" s="50">
        <f t="shared" si="12"/>
        <v>5615.770000000005</v>
      </c>
      <c r="AC45" s="50">
        <f t="shared" si="12"/>
        <v>5598.2400000000052</v>
      </c>
      <c r="AD45" s="50">
        <f t="shared" si="12"/>
        <v>5568.1900000000051</v>
      </c>
      <c r="AE45" s="50">
        <f t="shared" si="12"/>
        <v>5550.8900000000049</v>
      </c>
      <c r="AF45" s="50">
        <f t="shared" si="12"/>
        <v>5489.0400000000045</v>
      </c>
      <c r="AG45" s="50">
        <f t="shared" si="12"/>
        <v>5439.0500000000047</v>
      </c>
      <c r="AH45" s="50">
        <f t="shared" si="12"/>
        <v>5450.1600000000044</v>
      </c>
      <c r="AI45" s="50">
        <f t="shared" si="12"/>
        <v>5439.0500000000047</v>
      </c>
      <c r="AJ45" s="97"/>
    </row>
    <row r="46" spans="1:36" ht="15.75" customHeight="1" x14ac:dyDescent="0.25">
      <c r="A46" s="96"/>
      <c r="B46" s="117" t="s">
        <v>74</v>
      </c>
      <c r="C46" s="70"/>
      <c r="D46" s="70"/>
      <c r="E46" s="138"/>
      <c r="F46" s="138"/>
      <c r="G46" s="138"/>
      <c r="H46" s="138"/>
      <c r="I46" s="138"/>
      <c r="J46" s="138"/>
      <c r="K46" s="138"/>
      <c r="L46" s="69">
        <f>SUM(L37:L44)</f>
        <v>9338.81</v>
      </c>
      <c r="M46" s="69"/>
      <c r="N46" s="69"/>
      <c r="O46" s="69"/>
      <c r="P46" s="71"/>
      <c r="Q46" s="71"/>
      <c r="R46" s="71"/>
      <c r="S46" s="71"/>
      <c r="T46" s="71"/>
      <c r="U46" s="69">
        <f>SUM(U37:U44)</f>
        <v>9119</v>
      </c>
      <c r="V46" s="71"/>
      <c r="W46" s="71"/>
      <c r="X46" s="71"/>
      <c r="Y46" s="71"/>
      <c r="Z46" s="71"/>
      <c r="AA46" s="1"/>
      <c r="AB46" s="71">
        <f>SUM(AB37:AB44)</f>
        <v>8930.34</v>
      </c>
      <c r="AC46" s="71"/>
      <c r="AD46" s="71"/>
      <c r="AE46" s="71"/>
      <c r="AF46" s="71"/>
      <c r="AG46" s="71"/>
      <c r="AH46" s="71"/>
      <c r="AI46" s="71"/>
      <c r="AJ46" s="97"/>
    </row>
    <row r="47" spans="1:36" ht="9" customHeight="1" x14ac:dyDescent="0.25">
      <c r="A47" s="96"/>
      <c r="B47" s="97"/>
      <c r="C47" s="127"/>
      <c r="D47" s="12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6"/>
    </row>
    <row r="48" spans="1:36" ht="15.7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2:37" ht="15.75" customHeight="1" x14ac:dyDescent="0.25">
      <c r="B49" s="1"/>
      <c r="C49" s="1"/>
      <c r="D49" s="1"/>
      <c r="K49" s="5"/>
      <c r="L49" s="5"/>
      <c r="M49" s="5"/>
      <c r="N49" s="128"/>
      <c r="O49" s="5"/>
      <c r="P49" s="5"/>
      <c r="Q49" s="5"/>
      <c r="R49" s="128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2:37" ht="15.75" customHeight="1" x14ac:dyDescent="0.25">
      <c r="B50" s="1"/>
      <c r="C50" s="1"/>
      <c r="D50" s="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2:37" ht="15.75" customHeight="1" x14ac:dyDescent="0.25">
      <c r="B51" s="1"/>
      <c r="C51" s="1"/>
      <c r="D51" s="1"/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K51" s="128"/>
    </row>
    <row r="52" spans="2:37" ht="15.75" customHeight="1" x14ac:dyDescent="0.25">
      <c r="B52" s="1"/>
      <c r="C52" s="1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</row>
    <row r="53" spans="2:37" ht="15.75" customHeight="1" x14ac:dyDescent="0.25">
      <c r="B53" s="1"/>
      <c r="C53" s="1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</row>
    <row r="54" spans="2:37" ht="15.75" customHeight="1" x14ac:dyDescent="0.25"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2:37" ht="15.75" customHeight="1" x14ac:dyDescent="0.25">
      <c r="I55" s="1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</row>
    <row r="56" spans="2:37" ht="15.75" customHeight="1" x14ac:dyDescent="0.25"/>
    <row r="57" spans="2:37" ht="15.75" customHeight="1" x14ac:dyDescent="0.25"/>
    <row r="58" spans="2:37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2:37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7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2:37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2:37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2:37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2:37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2:35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2:35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2:35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2:35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2:35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2:35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2:35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2:35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2:35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2:35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2:35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2:35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2:35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2:35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2:35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2:35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2:35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2:35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2:35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2:35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2:35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2:35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2:35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2:35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2:35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2:35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2:35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2:35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2:35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2:35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2:35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2:35" ht="15.75" customHeight="1" x14ac:dyDescent="0.25"/>
    <row r="248" spans="2:35" ht="15.75" customHeight="1" x14ac:dyDescent="0.25"/>
    <row r="249" spans="2:35" ht="15.75" customHeight="1" x14ac:dyDescent="0.25"/>
    <row r="250" spans="2:35" ht="15.75" customHeight="1" x14ac:dyDescent="0.25"/>
    <row r="251" spans="2:35" ht="15.75" customHeight="1" x14ac:dyDescent="0.25"/>
    <row r="252" spans="2:35" ht="15.75" customHeight="1" x14ac:dyDescent="0.25"/>
    <row r="253" spans="2:35" ht="15.75" customHeight="1" x14ac:dyDescent="0.25"/>
    <row r="254" spans="2:35" ht="15.75" customHeight="1" x14ac:dyDescent="0.25"/>
    <row r="255" spans="2:35" ht="15.75" customHeight="1" x14ac:dyDescent="0.25"/>
    <row r="256" spans="2:3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20" priority="1" operator="lessThan">
      <formula>0</formula>
    </cfRule>
  </conditionalFormatting>
  <conditionalFormatting sqref="C4">
    <cfRule type="cellIs" dxfId="119" priority="2" operator="greaterThan">
      <formula>0</formula>
    </cfRule>
  </conditionalFormatting>
  <conditionalFormatting sqref="C4">
    <cfRule type="cellIs" dxfId="118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1001"/>
  <sheetViews>
    <sheetView showGridLines="0" workbookViewId="0">
      <selection activeCell="B29" sqref="B29:D29"/>
    </sheetView>
  </sheetViews>
  <sheetFormatPr defaultColWidth="14.42578125" defaultRowHeight="15" customHeight="1" x14ac:dyDescent="0.25"/>
  <cols>
    <col min="1" max="1" width="1.7109375" customWidth="1"/>
    <col min="2" max="2" width="18.42578125" customWidth="1"/>
    <col min="3" max="3" width="10.42578125" customWidth="1"/>
    <col min="4" max="4" width="7.5703125" customWidth="1"/>
    <col min="5" max="5" width="8.7109375" customWidth="1"/>
    <col min="6" max="35" width="10.42578125" customWidth="1"/>
    <col min="36" max="36" width="1.85546875" customWidth="1"/>
    <col min="37" max="37" width="14.42578125" customWidth="1"/>
    <col min="38" max="38" width="5.5703125" customWidth="1"/>
    <col min="39" max="39" width="5.7109375" customWidth="1"/>
  </cols>
  <sheetData>
    <row r="1" spans="1:39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</row>
    <row r="2" spans="1:39" x14ac:dyDescent="0.25">
      <c r="A2" s="96"/>
      <c r="B2" s="74" t="s">
        <v>45</v>
      </c>
      <c r="C2" s="75">
        <f>SUM(C8:C31)</f>
        <v>-2107.251666666667</v>
      </c>
      <c r="D2" s="12"/>
      <c r="E2" s="48">
        <f t="shared" ref="E2:AI2" si="0">E6/$C$2</f>
        <v>0.10497559617542912</v>
      </c>
      <c r="F2" s="48">
        <f t="shared" si="0"/>
        <v>6.4064488421332361E-2</v>
      </c>
      <c r="G2" s="48">
        <f t="shared" si="0"/>
        <v>1.9551532762658468E-2</v>
      </c>
      <c r="H2" s="48">
        <f t="shared" si="0"/>
        <v>3.585713144530276E-2</v>
      </c>
      <c r="I2" s="48">
        <f t="shared" si="0"/>
        <v>5.2817611565142896E-3</v>
      </c>
      <c r="J2" s="48">
        <f t="shared" si="0"/>
        <v>0</v>
      </c>
      <c r="K2" s="48">
        <f t="shared" si="0"/>
        <v>0.26100347134616886</v>
      </c>
      <c r="L2" s="48">
        <f t="shared" si="0"/>
        <v>1.7748236051539482E-2</v>
      </c>
      <c r="M2" s="48">
        <f t="shared" si="0"/>
        <v>0</v>
      </c>
      <c r="N2" s="48">
        <f t="shared" si="0"/>
        <v>1.8127877464406639E-2</v>
      </c>
      <c r="O2" s="48">
        <f t="shared" si="0"/>
        <v>1.9504077586050075E-2</v>
      </c>
      <c r="P2" s="48">
        <f t="shared" si="0"/>
        <v>1.8982070643357735E-2</v>
      </c>
      <c r="Q2" s="48">
        <f t="shared" si="0"/>
        <v>0</v>
      </c>
      <c r="R2" s="48">
        <f t="shared" si="0"/>
        <v>8.0517198151462688E-2</v>
      </c>
      <c r="S2" s="48">
        <f t="shared" si="0"/>
        <v>2.8378195611819816E-3</v>
      </c>
      <c r="T2" s="48">
        <f t="shared" si="0"/>
        <v>1.1341787209406247E-2</v>
      </c>
      <c r="U2" s="48">
        <f t="shared" si="0"/>
        <v>3.6303210105421667E-2</v>
      </c>
      <c r="V2" s="48">
        <f t="shared" si="0"/>
        <v>1.6884551837266705E-2</v>
      </c>
      <c r="W2" s="48">
        <f t="shared" si="0"/>
        <v>9.448325662731313E-3</v>
      </c>
      <c r="X2" s="48">
        <f t="shared" si="0"/>
        <v>0</v>
      </c>
      <c r="Y2" s="48">
        <f t="shared" si="0"/>
        <v>5.4715818629478673E-3</v>
      </c>
      <c r="Z2" s="48">
        <f t="shared" si="0"/>
        <v>4.2709658947554909E-3</v>
      </c>
      <c r="AA2" s="48">
        <f t="shared" si="0"/>
        <v>1.6504910424399551E-2</v>
      </c>
      <c r="AB2" s="48">
        <f t="shared" si="0"/>
        <v>4.2016813369072342E-2</v>
      </c>
      <c r="AC2" s="48">
        <f t="shared" si="0"/>
        <v>2.0567073542078106E-2</v>
      </c>
      <c r="AD2" s="48">
        <f t="shared" si="0"/>
        <v>9.448325662731313E-3</v>
      </c>
      <c r="AE2" s="48">
        <f t="shared" si="0"/>
        <v>4.7455176608394338E-3</v>
      </c>
      <c r="AF2" s="48">
        <f t="shared" si="0"/>
        <v>3.8006850945663029E-2</v>
      </c>
      <c r="AG2" s="48">
        <f t="shared" si="0"/>
        <v>4.7455176608394338E-3</v>
      </c>
      <c r="AH2" s="48">
        <f t="shared" si="0"/>
        <v>9.2537594386368962E-3</v>
      </c>
      <c r="AI2" s="48">
        <f t="shared" si="0"/>
        <v>1.7795691228147878E-2</v>
      </c>
      <c r="AJ2" s="97"/>
    </row>
    <row r="3" spans="1:39" hidden="1" x14ac:dyDescent="0.25">
      <c r="A3" s="96"/>
      <c r="B3" s="76"/>
      <c r="C3" s="77"/>
      <c r="D3" s="1"/>
      <c r="E3" s="55" t="str">
        <f t="shared" ref="E3:AI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96"/>
      <c r="AL3" s="78" t="s">
        <v>0</v>
      </c>
      <c r="AM3" s="1" t="s">
        <v>64</v>
      </c>
    </row>
    <row r="4" spans="1:39" x14ac:dyDescent="0.25">
      <c r="A4" s="96"/>
      <c r="B4" s="79" t="s">
        <v>47</v>
      </c>
      <c r="C4" s="102">
        <f>C33+C2</f>
        <v>189.29833333333318</v>
      </c>
      <c r="D4" s="104" t="s">
        <v>7</v>
      </c>
      <c r="E4" s="105" t="str">
        <f t="shared" ref="E4:AI4" si="2">TEXT(E5,"ddd")</f>
        <v>Thu</v>
      </c>
      <c r="F4" s="105" t="str">
        <f t="shared" si="2"/>
        <v>Fri</v>
      </c>
      <c r="G4" s="105" t="str">
        <f t="shared" si="2"/>
        <v>Sat</v>
      </c>
      <c r="H4" s="105" t="str">
        <f t="shared" si="2"/>
        <v>Sun</v>
      </c>
      <c r="I4" s="105" t="str">
        <f t="shared" si="2"/>
        <v>Mon</v>
      </c>
      <c r="J4" s="105" t="str">
        <f t="shared" si="2"/>
        <v>Tue</v>
      </c>
      <c r="K4" s="105" t="str">
        <f t="shared" si="2"/>
        <v>Wed</v>
      </c>
      <c r="L4" s="105" t="str">
        <f t="shared" si="2"/>
        <v>Thu</v>
      </c>
      <c r="M4" s="105" t="str">
        <f t="shared" si="2"/>
        <v>Fri</v>
      </c>
      <c r="N4" s="105" t="str">
        <f t="shared" si="2"/>
        <v>Sat</v>
      </c>
      <c r="O4" s="105" t="str">
        <f t="shared" si="2"/>
        <v>Sun</v>
      </c>
      <c r="P4" s="105" t="str">
        <f t="shared" si="2"/>
        <v>Mon</v>
      </c>
      <c r="Q4" s="105" t="str">
        <f t="shared" si="2"/>
        <v>Tue</v>
      </c>
      <c r="R4" s="105" t="str">
        <f t="shared" si="2"/>
        <v>Wed</v>
      </c>
      <c r="S4" s="105" t="str">
        <f t="shared" si="2"/>
        <v>Thu</v>
      </c>
      <c r="T4" s="105" t="str">
        <f t="shared" si="2"/>
        <v>Fri</v>
      </c>
      <c r="U4" s="105" t="str">
        <f t="shared" si="2"/>
        <v>Sat</v>
      </c>
      <c r="V4" s="105" t="str">
        <f t="shared" si="2"/>
        <v>Sun</v>
      </c>
      <c r="W4" s="105" t="str">
        <f t="shared" si="2"/>
        <v>Mon</v>
      </c>
      <c r="X4" s="105" t="str">
        <f t="shared" si="2"/>
        <v>Tue</v>
      </c>
      <c r="Y4" s="105" t="str">
        <f t="shared" si="2"/>
        <v>Wed</v>
      </c>
      <c r="Z4" s="105" t="str">
        <f t="shared" si="2"/>
        <v>Thu</v>
      </c>
      <c r="AA4" s="105" t="str">
        <f t="shared" si="2"/>
        <v>Fri</v>
      </c>
      <c r="AB4" s="105" t="str">
        <f t="shared" si="2"/>
        <v>Sat</v>
      </c>
      <c r="AC4" s="105" t="str">
        <f t="shared" si="2"/>
        <v>Sun</v>
      </c>
      <c r="AD4" s="105" t="str">
        <f t="shared" si="2"/>
        <v>Mon</v>
      </c>
      <c r="AE4" s="105" t="str">
        <f t="shared" si="2"/>
        <v>Tue</v>
      </c>
      <c r="AF4" s="105" t="str">
        <f t="shared" si="2"/>
        <v>Wed</v>
      </c>
      <c r="AG4" s="105" t="str">
        <f t="shared" si="2"/>
        <v>Thu</v>
      </c>
      <c r="AH4" s="105" t="str">
        <f t="shared" si="2"/>
        <v>Fri</v>
      </c>
      <c r="AI4" s="105" t="str">
        <f t="shared" si="2"/>
        <v>Sat</v>
      </c>
      <c r="AJ4" s="96"/>
      <c r="AL4" s="78">
        <v>2019</v>
      </c>
      <c r="AM4" s="56">
        <f ca="1">TODAY()</f>
        <v>43926</v>
      </c>
    </row>
    <row r="5" spans="1:39" x14ac:dyDescent="0.25">
      <c r="A5" s="96"/>
      <c r="B5" s="81" t="s">
        <v>51</v>
      </c>
      <c r="C5" s="108">
        <f>C4/C33</f>
        <v>8.242726408453252E-2</v>
      </c>
      <c r="D5" s="109"/>
      <c r="E5" s="111">
        <f>DATE($AL$4,$AL$6,1)</f>
        <v>43678</v>
      </c>
      <c r="F5" s="111">
        <f t="shared" ref="F5:AI5" si="3">E5+1</f>
        <v>43679</v>
      </c>
      <c r="G5" s="111">
        <f t="shared" si="3"/>
        <v>43680</v>
      </c>
      <c r="H5" s="111">
        <f t="shared" si="3"/>
        <v>43681</v>
      </c>
      <c r="I5" s="111">
        <f t="shared" si="3"/>
        <v>43682</v>
      </c>
      <c r="J5" s="111">
        <f t="shared" si="3"/>
        <v>43683</v>
      </c>
      <c r="K5" s="111">
        <f t="shared" si="3"/>
        <v>43684</v>
      </c>
      <c r="L5" s="111">
        <f t="shared" si="3"/>
        <v>43685</v>
      </c>
      <c r="M5" s="111">
        <f t="shared" si="3"/>
        <v>43686</v>
      </c>
      <c r="N5" s="111">
        <f t="shared" si="3"/>
        <v>43687</v>
      </c>
      <c r="O5" s="111">
        <f t="shared" si="3"/>
        <v>43688</v>
      </c>
      <c r="P5" s="111">
        <f t="shared" si="3"/>
        <v>43689</v>
      </c>
      <c r="Q5" s="111">
        <f t="shared" si="3"/>
        <v>43690</v>
      </c>
      <c r="R5" s="111">
        <f t="shared" si="3"/>
        <v>43691</v>
      </c>
      <c r="S5" s="111">
        <f t="shared" si="3"/>
        <v>43692</v>
      </c>
      <c r="T5" s="111">
        <f t="shared" si="3"/>
        <v>43693</v>
      </c>
      <c r="U5" s="111">
        <f t="shared" si="3"/>
        <v>43694</v>
      </c>
      <c r="V5" s="111">
        <f t="shared" si="3"/>
        <v>43695</v>
      </c>
      <c r="W5" s="111">
        <f t="shared" si="3"/>
        <v>43696</v>
      </c>
      <c r="X5" s="111">
        <f t="shared" si="3"/>
        <v>43697</v>
      </c>
      <c r="Y5" s="111">
        <f t="shared" si="3"/>
        <v>43698</v>
      </c>
      <c r="Z5" s="111">
        <f t="shared" si="3"/>
        <v>43699</v>
      </c>
      <c r="AA5" s="111">
        <f t="shared" si="3"/>
        <v>43700</v>
      </c>
      <c r="AB5" s="111">
        <f t="shared" si="3"/>
        <v>43701</v>
      </c>
      <c r="AC5" s="111">
        <f t="shared" si="3"/>
        <v>43702</v>
      </c>
      <c r="AD5" s="111">
        <f t="shared" si="3"/>
        <v>43703</v>
      </c>
      <c r="AE5" s="111">
        <f t="shared" si="3"/>
        <v>43704</v>
      </c>
      <c r="AF5" s="111">
        <f t="shared" si="3"/>
        <v>43705</v>
      </c>
      <c r="AG5" s="111">
        <f t="shared" si="3"/>
        <v>43706</v>
      </c>
      <c r="AH5" s="111">
        <f t="shared" si="3"/>
        <v>43707</v>
      </c>
      <c r="AI5" s="111">
        <f t="shared" si="3"/>
        <v>43708</v>
      </c>
      <c r="AJ5" s="96"/>
      <c r="AL5" s="78" t="s">
        <v>1</v>
      </c>
      <c r="AM5" s="1" t="str">
        <f ca="1">IF(V5=AM4,"sim","não")</f>
        <v>não</v>
      </c>
    </row>
    <row r="6" spans="1:39" x14ac:dyDescent="0.25">
      <c r="A6" s="96"/>
      <c r="B6" s="83"/>
      <c r="C6" s="15" t="s">
        <v>62</v>
      </c>
      <c r="D6" s="113">
        <f>SUM(D8:D31)</f>
        <v>0.99999999999999978</v>
      </c>
      <c r="E6" s="114">
        <f t="shared" ref="E6:AI6" si="4">SUM(E7:E31)</f>
        <v>-221.21</v>
      </c>
      <c r="F6" s="114">
        <f t="shared" si="4"/>
        <v>-135</v>
      </c>
      <c r="G6" s="114">
        <f t="shared" si="4"/>
        <v>-41.2</v>
      </c>
      <c r="H6" s="114">
        <f t="shared" si="4"/>
        <v>-75.56</v>
      </c>
      <c r="I6" s="114">
        <f t="shared" si="4"/>
        <v>-11.129999999999999</v>
      </c>
      <c r="J6" s="114">
        <f t="shared" si="4"/>
        <v>0</v>
      </c>
      <c r="K6" s="114">
        <f t="shared" si="4"/>
        <v>-550</v>
      </c>
      <c r="L6" s="114">
        <f t="shared" si="4"/>
        <v>-37.4</v>
      </c>
      <c r="M6" s="114">
        <f t="shared" si="4"/>
        <v>0</v>
      </c>
      <c r="N6" s="114">
        <f t="shared" si="4"/>
        <v>-38.200000000000003</v>
      </c>
      <c r="O6" s="114">
        <f t="shared" si="4"/>
        <v>-41.1</v>
      </c>
      <c r="P6" s="114">
        <f t="shared" si="4"/>
        <v>-40</v>
      </c>
      <c r="Q6" s="114">
        <f t="shared" si="4"/>
        <v>0</v>
      </c>
      <c r="R6" s="114">
        <f t="shared" si="4"/>
        <v>-169.67000000000002</v>
      </c>
      <c r="S6" s="114">
        <f t="shared" si="4"/>
        <v>-5.98</v>
      </c>
      <c r="T6" s="114">
        <f t="shared" si="4"/>
        <v>-23.9</v>
      </c>
      <c r="U6" s="114">
        <f t="shared" si="4"/>
        <v>-76.5</v>
      </c>
      <c r="V6" s="114">
        <f t="shared" si="4"/>
        <v>-35.58</v>
      </c>
      <c r="W6" s="114">
        <f t="shared" si="4"/>
        <v>-19.91</v>
      </c>
      <c r="X6" s="114">
        <f t="shared" si="4"/>
        <v>0</v>
      </c>
      <c r="Y6" s="114">
        <f t="shared" si="4"/>
        <v>-11.530000000000001</v>
      </c>
      <c r="Z6" s="114">
        <f t="shared" si="4"/>
        <v>-9</v>
      </c>
      <c r="AA6" s="114">
        <f t="shared" si="4"/>
        <v>-34.78</v>
      </c>
      <c r="AB6" s="114">
        <f t="shared" si="4"/>
        <v>-88.539999999999992</v>
      </c>
      <c r="AC6" s="114">
        <f t="shared" si="4"/>
        <v>-43.34</v>
      </c>
      <c r="AD6" s="114">
        <f t="shared" si="4"/>
        <v>-19.91</v>
      </c>
      <c r="AE6" s="114">
        <f t="shared" si="4"/>
        <v>-10</v>
      </c>
      <c r="AF6" s="114">
        <f t="shared" si="4"/>
        <v>-80.09</v>
      </c>
      <c r="AG6" s="114">
        <f t="shared" si="4"/>
        <v>-10</v>
      </c>
      <c r="AH6" s="114">
        <f t="shared" si="4"/>
        <v>-19.5</v>
      </c>
      <c r="AI6" s="114">
        <f t="shared" si="4"/>
        <v>-37.5</v>
      </c>
      <c r="AJ6" s="96"/>
      <c r="AL6" s="78">
        <v>8</v>
      </c>
      <c r="AM6" s="1"/>
    </row>
    <row r="7" spans="1:39" x14ac:dyDescent="0.25">
      <c r="A7" s="96"/>
      <c r="B7" s="86" t="s">
        <v>90</v>
      </c>
      <c r="C7" s="87">
        <f t="shared" ref="C7:C32" si="5">SUM(E7:AH7)</f>
        <v>0</v>
      </c>
      <c r="D7" s="91" t="s">
        <v>66</v>
      </c>
      <c r="E7" s="92" t="s">
        <v>66</v>
      </c>
      <c r="F7" s="92" t="s">
        <v>66</v>
      </c>
      <c r="G7" s="92" t="s">
        <v>66</v>
      </c>
      <c r="H7" s="92" t="s">
        <v>66</v>
      </c>
      <c r="I7" s="92" t="s">
        <v>66</v>
      </c>
      <c r="J7" s="92" t="s">
        <v>66</v>
      </c>
      <c r="K7" s="92" t="s">
        <v>66</v>
      </c>
      <c r="L7" s="92" t="s">
        <v>66</v>
      </c>
      <c r="M7" s="92" t="s">
        <v>66</v>
      </c>
      <c r="N7" s="92" t="s">
        <v>66</v>
      </c>
      <c r="O7" s="92" t="s">
        <v>66</v>
      </c>
      <c r="P7" s="92" t="s">
        <v>66</v>
      </c>
      <c r="Q7" s="92" t="s">
        <v>66</v>
      </c>
      <c r="R7" s="92" t="s">
        <v>66</v>
      </c>
      <c r="S7" s="92" t="s">
        <v>66</v>
      </c>
      <c r="T7" s="92" t="s">
        <v>66</v>
      </c>
      <c r="U7" s="92" t="s">
        <v>66</v>
      </c>
      <c r="V7" s="92" t="s">
        <v>66</v>
      </c>
      <c r="W7" s="92" t="s">
        <v>66</v>
      </c>
      <c r="X7" s="92" t="s">
        <v>66</v>
      </c>
      <c r="Y7" s="92" t="s">
        <v>66</v>
      </c>
      <c r="Z7" s="92" t="s">
        <v>66</v>
      </c>
      <c r="AA7" s="92" t="s">
        <v>66</v>
      </c>
      <c r="AB7" s="92" t="s">
        <v>66</v>
      </c>
      <c r="AC7" s="92" t="s">
        <v>66</v>
      </c>
      <c r="AD7" s="92" t="s">
        <v>66</v>
      </c>
      <c r="AE7" s="92" t="s">
        <v>66</v>
      </c>
      <c r="AF7" s="92" t="s">
        <v>66</v>
      </c>
      <c r="AG7" s="92" t="s">
        <v>66</v>
      </c>
      <c r="AH7" s="92" t="s">
        <v>66</v>
      </c>
      <c r="AI7" s="92" t="s">
        <v>66</v>
      </c>
      <c r="AJ7" s="96" t="s">
        <v>66</v>
      </c>
      <c r="AL7" s="78"/>
      <c r="AM7" s="1"/>
    </row>
    <row r="8" spans="1:39" x14ac:dyDescent="0.25">
      <c r="A8" s="96"/>
      <c r="B8" s="86" t="s">
        <v>20</v>
      </c>
      <c r="C8" s="87">
        <f t="shared" si="5"/>
        <v>-305.8</v>
      </c>
      <c r="D8" s="88">
        <f t="shared" ref="D8:D32" si="6">C8/$C$2</f>
        <v>0.1451179300684699</v>
      </c>
      <c r="E8" s="89" t="s">
        <v>66</v>
      </c>
      <c r="F8" s="89" t="s">
        <v>66</v>
      </c>
      <c r="G8" s="89">
        <v>-20</v>
      </c>
      <c r="H8" s="89" t="s">
        <v>66</v>
      </c>
      <c r="I8" s="89">
        <v>-6</v>
      </c>
      <c r="J8" s="89" t="s">
        <v>66</v>
      </c>
      <c r="K8" s="89" t="s">
        <v>66</v>
      </c>
      <c r="L8" s="89" t="s">
        <v>66</v>
      </c>
      <c r="M8" s="89" t="s">
        <v>66</v>
      </c>
      <c r="N8" s="89">
        <f>-4-6-7.8</f>
        <v>-17.8</v>
      </c>
      <c r="O8" s="89" t="s">
        <v>66</v>
      </c>
      <c r="P8" s="89">
        <f>-20-20</f>
        <v>-40</v>
      </c>
      <c r="Q8" s="89" t="s">
        <v>66</v>
      </c>
      <c r="R8" s="89">
        <v>-6</v>
      </c>
      <c r="S8" s="89" t="s">
        <v>66</v>
      </c>
      <c r="T8" s="89">
        <v>-23.9</v>
      </c>
      <c r="U8" s="89">
        <v>-55</v>
      </c>
      <c r="V8" s="89" t="s">
        <v>66</v>
      </c>
      <c r="W8" s="89">
        <v>-19.91</v>
      </c>
      <c r="X8" s="89" t="s">
        <v>66</v>
      </c>
      <c r="Y8" s="89" t="s">
        <v>66</v>
      </c>
      <c r="Z8" s="89" t="s">
        <v>66</v>
      </c>
      <c r="AA8" s="89">
        <v>-16.28</v>
      </c>
      <c r="AB8" s="89">
        <v>-53.9</v>
      </c>
      <c r="AC8" s="89" t="s">
        <v>66</v>
      </c>
      <c r="AD8" s="89">
        <v>-19.91</v>
      </c>
      <c r="AE8" s="89" t="s">
        <v>66</v>
      </c>
      <c r="AF8" s="89">
        <v>-22.6</v>
      </c>
      <c r="AG8" s="89" t="s">
        <v>66</v>
      </c>
      <c r="AH8" s="89">
        <v>-4.5</v>
      </c>
      <c r="AI8" s="89" t="s">
        <v>66</v>
      </c>
      <c r="AJ8" s="96" t="s">
        <v>66</v>
      </c>
    </row>
    <row r="9" spans="1:39" x14ac:dyDescent="0.25">
      <c r="A9" s="96"/>
      <c r="B9" s="86" t="s">
        <v>21</v>
      </c>
      <c r="C9" s="87">
        <f t="shared" si="5"/>
        <v>0</v>
      </c>
      <c r="D9" s="91">
        <f t="shared" si="6"/>
        <v>0</v>
      </c>
      <c r="E9" s="92" t="s">
        <v>66</v>
      </c>
      <c r="F9" s="92" t="s">
        <v>66</v>
      </c>
      <c r="G9" s="92" t="s">
        <v>66</v>
      </c>
      <c r="H9" s="92" t="s">
        <v>66</v>
      </c>
      <c r="I9" s="92" t="s">
        <v>66</v>
      </c>
      <c r="J9" s="92" t="s">
        <v>66</v>
      </c>
      <c r="K9" s="92" t="s">
        <v>66</v>
      </c>
      <c r="L9" s="92" t="s">
        <v>66</v>
      </c>
      <c r="M9" s="92" t="s">
        <v>66</v>
      </c>
      <c r="N9" s="92" t="s">
        <v>66</v>
      </c>
      <c r="O9" s="92" t="s">
        <v>66</v>
      </c>
      <c r="P9" s="92" t="s">
        <v>66</v>
      </c>
      <c r="Q9" s="92" t="s">
        <v>66</v>
      </c>
      <c r="R9" s="92" t="s">
        <v>66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 t="s">
        <v>66</v>
      </c>
      <c r="Z9" s="92" t="s">
        <v>66</v>
      </c>
      <c r="AA9" s="92" t="s">
        <v>66</v>
      </c>
      <c r="AB9" s="92" t="s">
        <v>66</v>
      </c>
      <c r="AC9" s="92" t="s">
        <v>66</v>
      </c>
      <c r="AD9" s="92" t="s">
        <v>66</v>
      </c>
      <c r="AE9" s="92" t="s">
        <v>66</v>
      </c>
      <c r="AF9" s="92" t="s">
        <v>66</v>
      </c>
      <c r="AG9" s="92" t="s">
        <v>66</v>
      </c>
      <c r="AH9" s="92" t="s">
        <v>66</v>
      </c>
      <c r="AI9" s="92" t="s">
        <v>66</v>
      </c>
      <c r="AJ9" s="96" t="s">
        <v>66</v>
      </c>
      <c r="AL9" s="54"/>
    </row>
    <row r="10" spans="1:39" x14ac:dyDescent="0.25">
      <c r="A10" s="96"/>
      <c r="B10" s="86" t="s">
        <v>91</v>
      </c>
      <c r="C10" s="87">
        <f t="shared" si="5"/>
        <v>-9</v>
      </c>
      <c r="D10" s="93">
        <f t="shared" si="6"/>
        <v>4.2709658947554909E-3</v>
      </c>
      <c r="E10" s="94">
        <v>-3</v>
      </c>
      <c r="F10" s="94" t="s">
        <v>66</v>
      </c>
      <c r="G10" s="94" t="s">
        <v>66</v>
      </c>
      <c r="H10" s="94" t="s">
        <v>66</v>
      </c>
      <c r="I10" s="94" t="s">
        <v>66</v>
      </c>
      <c r="J10" s="94" t="s">
        <v>66</v>
      </c>
      <c r="K10" s="94" t="s">
        <v>66</v>
      </c>
      <c r="L10" s="94" t="s">
        <v>66</v>
      </c>
      <c r="M10" s="94" t="s">
        <v>66</v>
      </c>
      <c r="N10" s="94" t="s">
        <v>66</v>
      </c>
      <c r="O10" s="94" t="s">
        <v>66</v>
      </c>
      <c r="P10" s="94" t="s">
        <v>66</v>
      </c>
      <c r="Q10" s="94" t="s">
        <v>66</v>
      </c>
      <c r="R10" s="94" t="s">
        <v>66</v>
      </c>
      <c r="S10" s="94" t="s">
        <v>66</v>
      </c>
      <c r="T10" s="94" t="s">
        <v>66</v>
      </c>
      <c r="U10" s="94">
        <v>-1.5</v>
      </c>
      <c r="V10" s="94" t="s">
        <v>66</v>
      </c>
      <c r="W10" s="94" t="s">
        <v>66</v>
      </c>
      <c r="X10" s="94" t="s">
        <v>66</v>
      </c>
      <c r="Y10" s="94" t="s">
        <v>66</v>
      </c>
      <c r="Z10" s="94" t="s">
        <v>66</v>
      </c>
      <c r="AA10" s="94" t="s">
        <v>66</v>
      </c>
      <c r="AB10" s="94">
        <v>-2</v>
      </c>
      <c r="AC10" s="94" t="s">
        <v>66</v>
      </c>
      <c r="AD10" s="94" t="s">
        <v>66</v>
      </c>
      <c r="AE10" s="94" t="s">
        <v>66</v>
      </c>
      <c r="AF10" s="94">
        <v>-2.5</v>
      </c>
      <c r="AG10" s="94" t="s">
        <v>66</v>
      </c>
      <c r="AH10" s="94" t="s">
        <v>66</v>
      </c>
      <c r="AI10" s="94">
        <v>-5</v>
      </c>
      <c r="AJ10" s="96" t="s">
        <v>66</v>
      </c>
      <c r="AL10" s="54"/>
    </row>
    <row r="11" spans="1:39" x14ac:dyDescent="0.25">
      <c r="A11" s="96"/>
      <c r="B11" s="86" t="s">
        <v>22</v>
      </c>
      <c r="C11" s="87">
        <f t="shared" si="5"/>
        <v>-58.379999999999995</v>
      </c>
      <c r="D11" s="91">
        <f t="shared" si="6"/>
        <v>2.7704332103980614E-2</v>
      </c>
      <c r="E11" s="92">
        <v>-5</v>
      </c>
      <c r="F11" s="92" t="s">
        <v>66</v>
      </c>
      <c r="G11" s="92">
        <v>-6.9</v>
      </c>
      <c r="H11" s="92" t="s">
        <v>66</v>
      </c>
      <c r="I11" s="92" t="s">
        <v>66</v>
      </c>
      <c r="J11" s="92" t="s">
        <v>66</v>
      </c>
      <c r="K11" s="92" t="s">
        <v>66</v>
      </c>
      <c r="L11" s="92">
        <v>-6</v>
      </c>
      <c r="M11" s="92" t="s">
        <v>66</v>
      </c>
      <c r="N11" s="92" t="s">
        <v>66</v>
      </c>
      <c r="O11" s="92" t="s">
        <v>66</v>
      </c>
      <c r="P11" s="92" t="s">
        <v>66</v>
      </c>
      <c r="Q11" s="92" t="s">
        <v>66</v>
      </c>
      <c r="R11" s="92" t="s">
        <v>66</v>
      </c>
      <c r="S11" s="92">
        <v>-5.98</v>
      </c>
      <c r="T11" s="92" t="s">
        <v>66</v>
      </c>
      <c r="U11" s="92" t="s">
        <v>66</v>
      </c>
      <c r="V11" s="92" t="s">
        <v>66</v>
      </c>
      <c r="W11" s="92" t="s">
        <v>66</v>
      </c>
      <c r="X11" s="92" t="s">
        <v>66</v>
      </c>
      <c r="Y11" s="92" t="s">
        <v>66</v>
      </c>
      <c r="Z11" s="92">
        <v>-6</v>
      </c>
      <c r="AA11" s="92">
        <f>-7-6.5</f>
        <v>-13.5</v>
      </c>
      <c r="AB11" s="92" t="s">
        <v>66</v>
      </c>
      <c r="AC11" s="92" t="s">
        <v>66</v>
      </c>
      <c r="AD11" s="92" t="s">
        <v>66</v>
      </c>
      <c r="AE11" s="92" t="s">
        <v>66</v>
      </c>
      <c r="AF11" s="92" t="s">
        <v>66</v>
      </c>
      <c r="AG11" s="92">
        <f>-4-6</f>
        <v>-10</v>
      </c>
      <c r="AH11" s="92">
        <v>-5</v>
      </c>
      <c r="AI11" s="92" t="s">
        <v>66</v>
      </c>
      <c r="AJ11" s="96" t="s">
        <v>66</v>
      </c>
      <c r="AL11" s="54"/>
    </row>
    <row r="12" spans="1:39" x14ac:dyDescent="0.25">
      <c r="A12" s="96"/>
      <c r="B12" s="86" t="s">
        <v>23</v>
      </c>
      <c r="C12" s="87">
        <f t="shared" si="5"/>
        <v>-26.99</v>
      </c>
      <c r="D12" s="93">
        <f t="shared" si="6"/>
        <v>1.2808152166605632E-2</v>
      </c>
      <c r="E12" s="94" t="s">
        <v>66</v>
      </c>
      <c r="F12" s="94" t="s">
        <v>66</v>
      </c>
      <c r="G12" s="94" t="s">
        <v>66</v>
      </c>
      <c r="H12" s="94" t="s">
        <v>66</v>
      </c>
      <c r="I12" s="94" t="s">
        <v>66</v>
      </c>
      <c r="J12" s="94" t="s">
        <v>66</v>
      </c>
      <c r="K12" s="94" t="s">
        <v>66</v>
      </c>
      <c r="L12" s="94" t="s">
        <v>66</v>
      </c>
      <c r="M12" s="94" t="s">
        <v>66</v>
      </c>
      <c r="N12" s="94" t="s">
        <v>66</v>
      </c>
      <c r="O12" s="94" t="s">
        <v>66</v>
      </c>
      <c r="P12" s="94" t="s">
        <v>66</v>
      </c>
      <c r="Q12" s="94" t="s">
        <v>66</v>
      </c>
      <c r="R12" s="94" t="s">
        <v>66</v>
      </c>
      <c r="S12" s="94" t="s">
        <v>66</v>
      </c>
      <c r="T12" s="94" t="s">
        <v>66</v>
      </c>
      <c r="U12" s="94" t="s">
        <v>66</v>
      </c>
      <c r="V12" s="94" t="s">
        <v>66</v>
      </c>
      <c r="W12" s="94" t="s">
        <v>66</v>
      </c>
      <c r="X12" s="94" t="s">
        <v>66</v>
      </c>
      <c r="Y12" s="94" t="s">
        <v>66</v>
      </c>
      <c r="Z12" s="94" t="s">
        <v>66</v>
      </c>
      <c r="AA12" s="94">
        <v>-5</v>
      </c>
      <c r="AB12" s="94">
        <f>-4.5-25.99+4.25+4.25</f>
        <v>-21.99</v>
      </c>
      <c r="AC12" s="94" t="s">
        <v>66</v>
      </c>
      <c r="AD12" s="94" t="s">
        <v>66</v>
      </c>
      <c r="AE12" s="94" t="s">
        <v>66</v>
      </c>
      <c r="AF12" s="94" t="s">
        <v>66</v>
      </c>
      <c r="AG12" s="94" t="s">
        <v>66</v>
      </c>
      <c r="AH12" s="94" t="s">
        <v>66</v>
      </c>
      <c r="AI12" s="94" t="s">
        <v>66</v>
      </c>
      <c r="AJ12" s="96" t="s">
        <v>66</v>
      </c>
    </row>
    <row r="13" spans="1:39" x14ac:dyDescent="0.25">
      <c r="A13" s="96"/>
      <c r="B13" s="86" t="s">
        <v>81</v>
      </c>
      <c r="C13" s="87">
        <f t="shared" si="5"/>
        <v>-50</v>
      </c>
      <c r="D13" s="91">
        <f t="shared" si="6"/>
        <v>2.3727588304197168E-2</v>
      </c>
      <c r="E13" s="92" t="s">
        <v>66</v>
      </c>
      <c r="F13" s="92" t="s">
        <v>66</v>
      </c>
      <c r="G13" s="92" t="s">
        <v>66</v>
      </c>
      <c r="H13" s="92" t="s">
        <v>66</v>
      </c>
      <c r="I13" s="92" t="s">
        <v>66</v>
      </c>
      <c r="J13" s="92" t="s">
        <v>66</v>
      </c>
      <c r="K13" s="92" t="s">
        <v>66</v>
      </c>
      <c r="L13" s="92" t="s">
        <v>66</v>
      </c>
      <c r="M13" s="92" t="s">
        <v>66</v>
      </c>
      <c r="N13" s="92" t="s">
        <v>66</v>
      </c>
      <c r="O13" s="92" t="s">
        <v>66</v>
      </c>
      <c r="P13" s="92" t="s">
        <v>66</v>
      </c>
      <c r="Q13" s="92" t="s">
        <v>66</v>
      </c>
      <c r="R13" s="92">
        <v>-10</v>
      </c>
      <c r="S13" s="92" t="s">
        <v>66</v>
      </c>
      <c r="T13" s="92" t="s">
        <v>66</v>
      </c>
      <c r="U13" s="92">
        <v>-20</v>
      </c>
      <c r="V13" s="92" t="s">
        <v>66</v>
      </c>
      <c r="W13" s="92" t="s">
        <v>66</v>
      </c>
      <c r="X13" s="92" t="s">
        <v>66</v>
      </c>
      <c r="Y13" s="92" t="s">
        <v>66</v>
      </c>
      <c r="Z13" s="92" t="s">
        <v>66</v>
      </c>
      <c r="AA13" s="92" t="s">
        <v>66</v>
      </c>
      <c r="AB13" s="92" t="s">
        <v>66</v>
      </c>
      <c r="AC13" s="92" t="s">
        <v>66</v>
      </c>
      <c r="AD13" s="92" t="s">
        <v>66</v>
      </c>
      <c r="AE13" s="92">
        <v>-10</v>
      </c>
      <c r="AF13" s="92" t="s">
        <v>66</v>
      </c>
      <c r="AG13" s="92" t="s">
        <v>66</v>
      </c>
      <c r="AH13" s="92">
        <v>-10</v>
      </c>
      <c r="AI13" s="92" t="s">
        <v>66</v>
      </c>
      <c r="AJ13" s="96" t="s">
        <v>66</v>
      </c>
    </row>
    <row r="14" spans="1:39" x14ac:dyDescent="0.25">
      <c r="A14" s="96"/>
      <c r="B14" s="86" t="s">
        <v>24</v>
      </c>
      <c r="C14" s="87">
        <f t="shared" si="5"/>
        <v>-101.65</v>
      </c>
      <c r="D14" s="93">
        <f t="shared" si="6"/>
        <v>4.8238187022432849E-2</v>
      </c>
      <c r="E14" s="94">
        <v>-6.81</v>
      </c>
      <c r="F14" s="94" t="s">
        <v>66</v>
      </c>
      <c r="G14" s="94" t="s">
        <v>66</v>
      </c>
      <c r="H14" s="94">
        <v>-14.56</v>
      </c>
      <c r="I14" s="94">
        <v>-5.13</v>
      </c>
      <c r="J14" s="94" t="s">
        <v>66</v>
      </c>
      <c r="K14" s="94" t="s">
        <v>66</v>
      </c>
      <c r="L14" s="94">
        <v>-1.8</v>
      </c>
      <c r="M14" s="94" t="s">
        <v>66</v>
      </c>
      <c r="N14" s="94" t="s">
        <v>66</v>
      </c>
      <c r="O14" s="94">
        <v>-19.350000000000001</v>
      </c>
      <c r="P14" s="94" t="s">
        <v>66</v>
      </c>
      <c r="Q14" s="94" t="s">
        <v>66</v>
      </c>
      <c r="R14" s="94">
        <v>-3.67</v>
      </c>
      <c r="S14" s="94" t="s">
        <v>66</v>
      </c>
      <c r="T14" s="94" t="s">
        <v>66</v>
      </c>
      <c r="U14" s="94" t="s">
        <v>66</v>
      </c>
      <c r="V14" s="133">
        <v>-18.86</v>
      </c>
      <c r="W14" s="94" t="s">
        <v>66</v>
      </c>
      <c r="X14" s="94" t="s">
        <v>66</v>
      </c>
      <c r="Y14" s="94">
        <v>-6.53</v>
      </c>
      <c r="Z14" s="94">
        <v>-3</v>
      </c>
      <c r="AA14" s="94" t="s">
        <v>66</v>
      </c>
      <c r="AB14" s="94" t="s">
        <v>66</v>
      </c>
      <c r="AC14" s="94">
        <v>-21.94</v>
      </c>
      <c r="AD14" s="94" t="s">
        <v>66</v>
      </c>
      <c r="AE14" s="94" t="s">
        <v>66</v>
      </c>
      <c r="AF14" s="94" t="s">
        <v>66</v>
      </c>
      <c r="AG14" s="94" t="s">
        <v>66</v>
      </c>
      <c r="AH14" s="94" t="s">
        <v>66</v>
      </c>
      <c r="AI14" s="94" t="s">
        <v>66</v>
      </c>
      <c r="AJ14" s="96" t="s">
        <v>66</v>
      </c>
    </row>
    <row r="15" spans="1:39" x14ac:dyDescent="0.25">
      <c r="A15" s="96"/>
      <c r="B15" s="86" t="s">
        <v>27</v>
      </c>
      <c r="C15" s="87">
        <f t="shared" si="5"/>
        <v>-150</v>
      </c>
      <c r="D15" s="91">
        <f t="shared" si="6"/>
        <v>7.1182764912591512E-2</v>
      </c>
      <c r="E15" s="92" t="s">
        <v>77</v>
      </c>
      <c r="F15" s="92" t="s">
        <v>66</v>
      </c>
      <c r="G15" s="92" t="s">
        <v>66</v>
      </c>
      <c r="H15" s="92" t="s">
        <v>66</v>
      </c>
      <c r="I15" s="92" t="s">
        <v>66</v>
      </c>
      <c r="J15" s="92" t="s">
        <v>66</v>
      </c>
      <c r="K15" s="92" t="s">
        <v>66</v>
      </c>
      <c r="L15" s="92" t="s">
        <v>67</v>
      </c>
      <c r="M15" s="92" t="s">
        <v>66</v>
      </c>
      <c r="N15" s="92" t="s">
        <v>66</v>
      </c>
      <c r="O15" s="92" t="s">
        <v>66</v>
      </c>
      <c r="P15" s="92" t="s">
        <v>66</v>
      </c>
      <c r="Q15" s="92" t="s">
        <v>66</v>
      </c>
      <c r="R15" s="92">
        <v>-150</v>
      </c>
      <c r="S15" s="92" t="s">
        <v>66</v>
      </c>
      <c r="T15" s="92" t="s">
        <v>66</v>
      </c>
      <c r="U15" s="92" t="s">
        <v>66</v>
      </c>
      <c r="V15" s="92" t="s">
        <v>66</v>
      </c>
      <c r="W15" s="92" t="s">
        <v>66</v>
      </c>
      <c r="X15" s="92" t="s">
        <v>66</v>
      </c>
      <c r="Y15" s="92" t="s">
        <v>66</v>
      </c>
      <c r="Z15" s="92" t="s">
        <v>67</v>
      </c>
      <c r="AA15" s="92" t="s">
        <v>66</v>
      </c>
      <c r="AB15" s="92" t="s">
        <v>66</v>
      </c>
      <c r="AC15" s="92" t="s">
        <v>66</v>
      </c>
      <c r="AD15" s="92" t="s">
        <v>66</v>
      </c>
      <c r="AE15" s="92" t="s">
        <v>66</v>
      </c>
      <c r="AF15" s="92" t="s">
        <v>66</v>
      </c>
      <c r="AG15" s="92" t="s">
        <v>67</v>
      </c>
      <c r="AH15" s="92" t="s">
        <v>66</v>
      </c>
      <c r="AI15" s="92" t="s">
        <v>66</v>
      </c>
      <c r="AJ15" s="96" t="s">
        <v>66</v>
      </c>
    </row>
    <row r="16" spans="1:39" x14ac:dyDescent="0.25">
      <c r="A16" s="96"/>
      <c r="B16" s="86" t="s">
        <v>28</v>
      </c>
      <c r="C16" s="87">
        <f t="shared" si="5"/>
        <v>0</v>
      </c>
      <c r="D16" s="93">
        <f t="shared" si="6"/>
        <v>0</v>
      </c>
      <c r="E16" s="94" t="s">
        <v>66</v>
      </c>
      <c r="F16" s="94" t="s">
        <v>66</v>
      </c>
      <c r="G16" s="94" t="s">
        <v>66</v>
      </c>
      <c r="H16" s="94" t="s">
        <v>66</v>
      </c>
      <c r="I16" s="94" t="s">
        <v>66</v>
      </c>
      <c r="J16" s="94" t="s">
        <v>66</v>
      </c>
      <c r="K16" s="94" t="s">
        <v>66</v>
      </c>
      <c r="L16" s="94" t="s">
        <v>66</v>
      </c>
      <c r="M16" s="94" t="s">
        <v>66</v>
      </c>
      <c r="N16" s="94" t="s">
        <v>66</v>
      </c>
      <c r="O16" s="94" t="s">
        <v>66</v>
      </c>
      <c r="P16" s="94" t="s">
        <v>66</v>
      </c>
      <c r="Q16" s="94" t="s">
        <v>66</v>
      </c>
      <c r="R16" s="94" t="s">
        <v>66</v>
      </c>
      <c r="S16" s="94" t="s">
        <v>66</v>
      </c>
      <c r="T16" s="94" t="s">
        <v>66</v>
      </c>
      <c r="U16" s="94" t="s">
        <v>66</v>
      </c>
      <c r="V16" s="94" t="s">
        <v>66</v>
      </c>
      <c r="W16" s="94" t="s">
        <v>66</v>
      </c>
      <c r="X16" s="94" t="s">
        <v>66</v>
      </c>
      <c r="Y16" s="94" t="s">
        <v>66</v>
      </c>
      <c r="Z16" s="94" t="s">
        <v>66</v>
      </c>
      <c r="AA16" s="94" t="s">
        <v>66</v>
      </c>
      <c r="AB16" s="94" t="s">
        <v>66</v>
      </c>
      <c r="AC16" s="94" t="s">
        <v>66</v>
      </c>
      <c r="AD16" s="94" t="s">
        <v>66</v>
      </c>
      <c r="AE16" s="94" t="s">
        <v>66</v>
      </c>
      <c r="AF16" s="94" t="s">
        <v>66</v>
      </c>
      <c r="AG16" s="94" t="s">
        <v>66</v>
      </c>
      <c r="AH16" s="94" t="s">
        <v>66</v>
      </c>
      <c r="AI16" s="94" t="s">
        <v>66</v>
      </c>
      <c r="AJ16" s="96" t="s">
        <v>66</v>
      </c>
    </row>
    <row r="17" spans="1:39" x14ac:dyDescent="0.25">
      <c r="A17" s="96"/>
      <c r="B17" s="86" t="s">
        <v>89</v>
      </c>
      <c r="C17" s="87">
        <f t="shared" si="5"/>
        <v>-10</v>
      </c>
      <c r="D17" s="91">
        <f t="shared" si="6"/>
        <v>4.7455176608394338E-3</v>
      </c>
      <c r="E17" s="92" t="s">
        <v>66</v>
      </c>
      <c r="F17" s="92" t="s">
        <v>66</v>
      </c>
      <c r="G17" s="92" t="s">
        <v>66</v>
      </c>
      <c r="H17" s="92" t="s">
        <v>66</v>
      </c>
      <c r="I17" s="92" t="s">
        <v>66</v>
      </c>
      <c r="J17" s="92" t="s">
        <v>66</v>
      </c>
      <c r="K17" s="92" t="s">
        <v>66</v>
      </c>
      <c r="L17" s="92" t="s">
        <v>66</v>
      </c>
      <c r="M17" s="92" t="s">
        <v>66</v>
      </c>
      <c r="N17" s="92" t="s">
        <v>66</v>
      </c>
      <c r="O17" s="92" t="s">
        <v>66</v>
      </c>
      <c r="P17" s="92" t="s">
        <v>66</v>
      </c>
      <c r="Q17" s="92" t="s">
        <v>66</v>
      </c>
      <c r="R17" s="92" t="s">
        <v>66</v>
      </c>
      <c r="S17" s="92" t="s">
        <v>66</v>
      </c>
      <c r="T17" s="92" t="s">
        <v>66</v>
      </c>
      <c r="U17" s="92" t="s">
        <v>66</v>
      </c>
      <c r="V17" s="92" t="s">
        <v>66</v>
      </c>
      <c r="W17" s="92" t="s">
        <v>66</v>
      </c>
      <c r="X17" s="92" t="s">
        <v>66</v>
      </c>
      <c r="Y17" s="92">
        <v>-5</v>
      </c>
      <c r="Z17" s="92" t="s">
        <v>66</v>
      </c>
      <c r="AA17" s="92" t="s">
        <v>66</v>
      </c>
      <c r="AB17" s="92" t="s">
        <v>66</v>
      </c>
      <c r="AC17" s="92" t="s">
        <v>66</v>
      </c>
      <c r="AD17" s="92" t="s">
        <v>66</v>
      </c>
      <c r="AE17" s="92" t="s">
        <v>66</v>
      </c>
      <c r="AF17" s="92">
        <v>-5</v>
      </c>
      <c r="AG17" s="92" t="s">
        <v>66</v>
      </c>
      <c r="AH17" s="92" t="s">
        <v>66</v>
      </c>
      <c r="AI17" s="92" t="s">
        <v>66</v>
      </c>
      <c r="AJ17" s="96" t="s">
        <v>66</v>
      </c>
    </row>
    <row r="18" spans="1:39" x14ac:dyDescent="0.25">
      <c r="A18" s="96"/>
      <c r="B18" s="86" t="s">
        <v>29</v>
      </c>
      <c r="C18" s="87">
        <f t="shared" si="5"/>
        <v>-76.89</v>
      </c>
      <c r="D18" s="93">
        <f t="shared" si="6"/>
        <v>3.6488285294194407E-2</v>
      </c>
      <c r="E18" s="94" t="s">
        <v>66</v>
      </c>
      <c r="F18" s="94" t="s">
        <v>66</v>
      </c>
      <c r="G18" s="94" t="s">
        <v>66</v>
      </c>
      <c r="H18" s="94" t="s">
        <v>66</v>
      </c>
      <c r="I18" s="94" t="s">
        <v>66</v>
      </c>
      <c r="J18" s="94" t="s">
        <v>66</v>
      </c>
      <c r="K18" s="94" t="s">
        <v>66</v>
      </c>
      <c r="L18" s="94">
        <v>-26.9</v>
      </c>
      <c r="M18" s="94" t="s">
        <v>66</v>
      </c>
      <c r="N18" s="94" t="s">
        <v>66</v>
      </c>
      <c r="O18" s="94" t="s">
        <v>66</v>
      </c>
      <c r="P18" s="94"/>
      <c r="Q18" s="94" t="s">
        <v>66</v>
      </c>
      <c r="R18" s="94" t="s">
        <v>66</v>
      </c>
      <c r="S18" s="94" t="s">
        <v>66</v>
      </c>
      <c r="T18" s="94" t="s">
        <v>66</v>
      </c>
      <c r="U18" s="94" t="s">
        <v>66</v>
      </c>
      <c r="V18" s="94" t="s">
        <v>66</v>
      </c>
      <c r="W18" s="94" t="s">
        <v>66</v>
      </c>
      <c r="X18" s="94" t="s">
        <v>66</v>
      </c>
      <c r="Y18" s="94" t="s">
        <v>66</v>
      </c>
      <c r="Z18" s="94" t="s">
        <v>66</v>
      </c>
      <c r="AA18" s="94" t="s">
        <v>66</v>
      </c>
      <c r="AB18" s="94" t="s">
        <v>66</v>
      </c>
      <c r="AC18" s="94" t="s">
        <v>66</v>
      </c>
      <c r="AD18" s="94" t="s">
        <v>66</v>
      </c>
      <c r="AE18" s="94" t="s">
        <v>66</v>
      </c>
      <c r="AF18" s="94">
        <v>-49.99</v>
      </c>
      <c r="AG18" s="94" t="s">
        <v>66</v>
      </c>
      <c r="AH18" s="94" t="s">
        <v>66</v>
      </c>
      <c r="AI18" s="94" t="s">
        <v>66</v>
      </c>
      <c r="AJ18" s="96" t="s">
        <v>66</v>
      </c>
    </row>
    <row r="19" spans="1:39" x14ac:dyDescent="0.25">
      <c r="A19" s="96"/>
      <c r="B19" s="86" t="s">
        <v>31</v>
      </c>
      <c r="C19" s="87">
        <f t="shared" si="5"/>
        <v>-206.4</v>
      </c>
      <c r="D19" s="91">
        <f t="shared" si="6"/>
        <v>9.7947484519725916E-2</v>
      </c>
      <c r="E19" s="92">
        <v>-206.4</v>
      </c>
      <c r="F19" s="92" t="s">
        <v>66</v>
      </c>
      <c r="G19" s="92" t="s">
        <v>66</v>
      </c>
      <c r="H19" s="92" t="s">
        <v>66</v>
      </c>
      <c r="I19" s="92" t="s">
        <v>66</v>
      </c>
      <c r="J19" s="92" t="s">
        <v>66</v>
      </c>
      <c r="K19" s="92" t="s">
        <v>66</v>
      </c>
      <c r="L19" s="92" t="s">
        <v>66</v>
      </c>
      <c r="M19" s="92" t="s">
        <v>66</v>
      </c>
      <c r="N19" s="92" t="s">
        <v>66</v>
      </c>
      <c r="O19" s="92" t="s">
        <v>66</v>
      </c>
      <c r="P19" s="92" t="s">
        <v>66</v>
      </c>
      <c r="Q19" s="92" t="s">
        <v>66</v>
      </c>
      <c r="R19" s="92" t="s">
        <v>66</v>
      </c>
      <c r="S19" s="92" t="s">
        <v>66</v>
      </c>
      <c r="T19" s="92" t="s">
        <v>66</v>
      </c>
      <c r="U19" s="92" t="s">
        <v>66</v>
      </c>
      <c r="V19" s="92" t="s">
        <v>66</v>
      </c>
      <c r="W19" s="92" t="s">
        <v>66</v>
      </c>
      <c r="X19" s="92" t="s">
        <v>66</v>
      </c>
      <c r="Y19" s="92" t="s">
        <v>66</v>
      </c>
      <c r="Z19" s="92" t="s">
        <v>66</v>
      </c>
      <c r="AA19" s="92" t="s">
        <v>66</v>
      </c>
      <c r="AB19" s="92" t="s">
        <v>66</v>
      </c>
      <c r="AC19" s="92" t="s">
        <v>66</v>
      </c>
      <c r="AD19" s="92" t="s">
        <v>66</v>
      </c>
      <c r="AE19" s="92" t="s">
        <v>66</v>
      </c>
      <c r="AF19" s="92" t="s">
        <v>66</v>
      </c>
      <c r="AG19" s="92" t="s">
        <v>66</v>
      </c>
      <c r="AH19" s="92" t="s">
        <v>66</v>
      </c>
      <c r="AI19" s="92" t="s">
        <v>66</v>
      </c>
      <c r="AJ19" s="96" t="s">
        <v>66</v>
      </c>
    </row>
    <row r="20" spans="1:39" x14ac:dyDescent="0.25">
      <c r="A20" s="96"/>
      <c r="B20" s="86" t="s">
        <v>32</v>
      </c>
      <c r="C20" s="87">
        <f t="shared" si="5"/>
        <v>-135</v>
      </c>
      <c r="D20" s="93">
        <f t="shared" si="6"/>
        <v>6.4064488421332361E-2</v>
      </c>
      <c r="E20" s="94" t="s">
        <v>66</v>
      </c>
      <c r="F20" s="94">
        <v>-135</v>
      </c>
      <c r="G20" s="94" t="s">
        <v>66</v>
      </c>
      <c r="H20" s="94" t="s">
        <v>66</v>
      </c>
      <c r="I20" s="94" t="s">
        <v>66</v>
      </c>
      <c r="J20" s="94" t="s">
        <v>66</v>
      </c>
      <c r="K20" s="94" t="s">
        <v>66</v>
      </c>
      <c r="L20" s="94" t="s">
        <v>66</v>
      </c>
      <c r="M20" s="94" t="s">
        <v>66</v>
      </c>
      <c r="N20" s="94" t="s">
        <v>66</v>
      </c>
      <c r="O20" s="94" t="s">
        <v>66</v>
      </c>
      <c r="P20" s="94" t="s">
        <v>66</v>
      </c>
      <c r="Q20" s="94" t="s">
        <v>66</v>
      </c>
      <c r="R20" s="94" t="s">
        <v>66</v>
      </c>
      <c r="S20" s="94" t="s">
        <v>66</v>
      </c>
      <c r="T20" s="94" t="s">
        <v>66</v>
      </c>
      <c r="U20" s="94" t="s">
        <v>66</v>
      </c>
      <c r="V20" s="94" t="s">
        <v>66</v>
      </c>
      <c r="W20" s="94" t="s">
        <v>66</v>
      </c>
      <c r="X20" s="94" t="s">
        <v>66</v>
      </c>
      <c r="Y20" s="94" t="s">
        <v>66</v>
      </c>
      <c r="Z20" s="94" t="s">
        <v>66</v>
      </c>
      <c r="AA20" s="94" t="s">
        <v>66</v>
      </c>
      <c r="AB20" s="94" t="s">
        <v>66</v>
      </c>
      <c r="AC20" s="94" t="s">
        <v>66</v>
      </c>
      <c r="AD20" s="94" t="s">
        <v>66</v>
      </c>
      <c r="AE20" s="94" t="s">
        <v>66</v>
      </c>
      <c r="AF20" s="94" t="s">
        <v>66</v>
      </c>
      <c r="AG20" s="94" t="s">
        <v>66</v>
      </c>
      <c r="AH20" s="94" t="s">
        <v>66</v>
      </c>
      <c r="AI20" s="94" t="s">
        <v>66</v>
      </c>
      <c r="AJ20" s="96" t="s">
        <v>66</v>
      </c>
    </row>
    <row r="21" spans="1:39" ht="15.75" customHeight="1" x14ac:dyDescent="0.25">
      <c r="A21" s="96"/>
      <c r="B21" s="86" t="s">
        <v>33</v>
      </c>
      <c r="C21" s="87">
        <f t="shared" si="5"/>
        <v>-145.82</v>
      </c>
      <c r="D21" s="91">
        <f t="shared" si="6"/>
        <v>6.9199138530360624E-2</v>
      </c>
      <c r="E21" s="92" t="s">
        <v>66</v>
      </c>
      <c r="F21" s="92" t="s">
        <v>66</v>
      </c>
      <c r="G21" s="92">
        <v>-14.3</v>
      </c>
      <c r="H21" s="92">
        <v>-61</v>
      </c>
      <c r="I21" s="92" t="s">
        <v>66</v>
      </c>
      <c r="J21" s="92" t="s">
        <v>66</v>
      </c>
      <c r="K21" s="92" t="s">
        <v>66</v>
      </c>
      <c r="L21" s="92" t="s">
        <v>66</v>
      </c>
      <c r="M21" s="92" t="s">
        <v>66</v>
      </c>
      <c r="N21" s="92" t="s">
        <v>66</v>
      </c>
      <c r="O21" s="92">
        <v>-21.75</v>
      </c>
      <c r="P21" s="92" t="s">
        <v>66</v>
      </c>
      <c r="Q21" s="92" t="s">
        <v>66</v>
      </c>
      <c r="R21" s="92" t="s">
        <v>66</v>
      </c>
      <c r="S21" s="92" t="s">
        <v>66</v>
      </c>
      <c r="T21" s="92" t="s">
        <v>66</v>
      </c>
      <c r="U21" s="92" t="s">
        <v>66</v>
      </c>
      <c r="V21" s="92">
        <v>-16.72</v>
      </c>
      <c r="W21" s="92" t="s">
        <v>66</v>
      </c>
      <c r="X21" s="92" t="s">
        <v>66</v>
      </c>
      <c r="Y21" s="92" t="s">
        <v>66</v>
      </c>
      <c r="Z21" s="92" t="s">
        <v>66</v>
      </c>
      <c r="AA21" s="92" t="s">
        <v>66</v>
      </c>
      <c r="AB21" s="92">
        <f>-9.66+3+3-12.99+3+3</f>
        <v>-10.649999999999999</v>
      </c>
      <c r="AC21" s="92">
        <v>-21.4</v>
      </c>
      <c r="AD21" s="92" t="s">
        <v>66</v>
      </c>
      <c r="AE21" s="92" t="s">
        <v>66</v>
      </c>
      <c r="AF21" s="92" t="s">
        <v>66</v>
      </c>
      <c r="AG21" s="92" t="s">
        <v>66</v>
      </c>
      <c r="AH21" s="92" t="s">
        <v>66</v>
      </c>
      <c r="AI21" s="92">
        <v>-32.5</v>
      </c>
      <c r="AJ21" s="96" t="s">
        <v>66</v>
      </c>
    </row>
    <row r="22" spans="1:39" ht="15.75" customHeight="1" x14ac:dyDescent="0.25">
      <c r="A22" s="96"/>
      <c r="B22" s="86" t="s">
        <v>94</v>
      </c>
      <c r="C22" s="87">
        <f t="shared" si="5"/>
        <v>0</v>
      </c>
      <c r="D22" s="93">
        <f t="shared" si="6"/>
        <v>0</v>
      </c>
      <c r="E22" s="94" t="s">
        <v>66</v>
      </c>
      <c r="F22" s="94" t="s">
        <v>66</v>
      </c>
      <c r="G22" s="94" t="s">
        <v>66</v>
      </c>
      <c r="H22" s="94" t="s">
        <v>66</v>
      </c>
      <c r="I22" s="94" t="s">
        <v>66</v>
      </c>
      <c r="J22" s="94" t="s">
        <v>66</v>
      </c>
      <c r="K22" s="94" t="s">
        <v>66</v>
      </c>
      <c r="L22" s="94" t="s">
        <v>66</v>
      </c>
      <c r="M22" s="94" t="s">
        <v>66</v>
      </c>
      <c r="N22" s="94" t="s">
        <v>66</v>
      </c>
      <c r="O22" s="94" t="s">
        <v>66</v>
      </c>
      <c r="P22" s="94" t="s">
        <v>66</v>
      </c>
      <c r="Q22" s="94" t="s">
        <v>66</v>
      </c>
      <c r="R22" s="94" t="s">
        <v>66</v>
      </c>
      <c r="S22" s="94" t="s">
        <v>66</v>
      </c>
      <c r="T22" s="94" t="s">
        <v>66</v>
      </c>
      <c r="U22" s="94" t="s">
        <v>66</v>
      </c>
      <c r="V22" s="94" t="s">
        <v>66</v>
      </c>
      <c r="W22" s="94" t="s">
        <v>66</v>
      </c>
      <c r="X22" s="94" t="s">
        <v>66</v>
      </c>
      <c r="Y22" s="94" t="s">
        <v>66</v>
      </c>
      <c r="Z22" s="94" t="s">
        <v>66</v>
      </c>
      <c r="AA22" s="94" t="s">
        <v>66</v>
      </c>
      <c r="AB22" s="94" t="s">
        <v>66</v>
      </c>
      <c r="AC22" s="94" t="s">
        <v>66</v>
      </c>
      <c r="AD22" s="94" t="s">
        <v>66</v>
      </c>
      <c r="AE22" s="94" t="s">
        <v>66</v>
      </c>
      <c r="AF22" s="94" t="s">
        <v>66</v>
      </c>
      <c r="AG22" s="94" t="s">
        <v>66</v>
      </c>
      <c r="AH22" s="94" t="s">
        <v>66</v>
      </c>
      <c r="AI22" s="94" t="s">
        <v>66</v>
      </c>
      <c r="AJ22" s="96" t="s">
        <v>66</v>
      </c>
    </row>
    <row r="23" spans="1:39" ht="15.75" customHeight="1" x14ac:dyDescent="0.25">
      <c r="A23" s="96"/>
      <c r="B23" s="86" t="s">
        <v>34</v>
      </c>
      <c r="C23" s="87">
        <f t="shared" si="5"/>
        <v>-2.7</v>
      </c>
      <c r="D23" s="91">
        <f t="shared" si="6"/>
        <v>1.2812897684266473E-3</v>
      </c>
      <c r="E23" s="92" t="s">
        <v>66</v>
      </c>
      <c r="F23" s="92" t="s">
        <v>66</v>
      </c>
      <c r="G23" s="92" t="s">
        <v>66</v>
      </c>
      <c r="H23" s="92" t="s">
        <v>66</v>
      </c>
      <c r="I23" s="92" t="s">
        <v>66</v>
      </c>
      <c r="J23" s="92" t="s">
        <v>66</v>
      </c>
      <c r="K23" s="92" t="s">
        <v>66</v>
      </c>
      <c r="L23" s="92">
        <v>-2.7</v>
      </c>
      <c r="M23" s="92" t="s">
        <v>66</v>
      </c>
      <c r="N23" s="92" t="s">
        <v>66</v>
      </c>
      <c r="O23" s="92" t="s">
        <v>66</v>
      </c>
      <c r="P23" s="92" t="s">
        <v>66</v>
      </c>
      <c r="Q23" s="92" t="s">
        <v>66</v>
      </c>
      <c r="R23" s="92" t="s">
        <v>66</v>
      </c>
      <c r="S23" s="92" t="s">
        <v>66</v>
      </c>
      <c r="T23" s="92" t="s">
        <v>66</v>
      </c>
      <c r="U23" s="92" t="s">
        <v>66</v>
      </c>
      <c r="V23" s="92" t="s">
        <v>66</v>
      </c>
      <c r="W23" s="92" t="s">
        <v>66</v>
      </c>
      <c r="X23" s="92" t="s">
        <v>66</v>
      </c>
      <c r="Y23" s="92" t="s">
        <v>66</v>
      </c>
      <c r="Z23" s="92" t="s">
        <v>66</v>
      </c>
      <c r="AA23" s="92" t="s">
        <v>66</v>
      </c>
      <c r="AB23" s="92" t="s">
        <v>66</v>
      </c>
      <c r="AC23" s="92" t="s">
        <v>66</v>
      </c>
      <c r="AD23" s="92" t="s">
        <v>66</v>
      </c>
      <c r="AE23" s="92" t="s">
        <v>66</v>
      </c>
      <c r="AF23" s="92" t="s">
        <v>66</v>
      </c>
      <c r="AG23" s="92" t="s">
        <v>66</v>
      </c>
      <c r="AH23" s="92" t="s">
        <v>66</v>
      </c>
      <c r="AI23" s="92" t="s">
        <v>66</v>
      </c>
      <c r="AJ23" s="96" t="s">
        <v>66</v>
      </c>
      <c r="AL23" s="86"/>
      <c r="AM23" s="95"/>
    </row>
    <row r="24" spans="1:39" ht="15.75" customHeight="1" x14ac:dyDescent="0.25">
      <c r="A24" s="96"/>
      <c r="B24" s="86" t="s">
        <v>35</v>
      </c>
      <c r="C24" s="87">
        <f t="shared" si="5"/>
        <v>0</v>
      </c>
      <c r="D24" s="93">
        <f t="shared" si="6"/>
        <v>0</v>
      </c>
      <c r="E24" s="94" t="s">
        <v>66</v>
      </c>
      <c r="F24" s="94" t="s">
        <v>66</v>
      </c>
      <c r="G24" s="94" t="s">
        <v>66</v>
      </c>
      <c r="H24" s="94" t="s">
        <v>66</v>
      </c>
      <c r="I24" s="94" t="s">
        <v>66</v>
      </c>
      <c r="J24" s="94" t="s">
        <v>66</v>
      </c>
      <c r="K24" s="94" t="s">
        <v>66</v>
      </c>
      <c r="L24" s="94" t="s">
        <v>66</v>
      </c>
      <c r="M24" s="94" t="s">
        <v>66</v>
      </c>
      <c r="N24" s="94" t="s">
        <v>66</v>
      </c>
      <c r="O24" s="94" t="s">
        <v>66</v>
      </c>
      <c r="P24" s="94" t="s">
        <v>66</v>
      </c>
      <c r="Q24" s="94" t="s">
        <v>66</v>
      </c>
      <c r="R24" s="94" t="s">
        <v>66</v>
      </c>
      <c r="S24" s="94" t="s">
        <v>66</v>
      </c>
      <c r="T24" s="94" t="s">
        <v>66</v>
      </c>
      <c r="U24" s="94" t="s">
        <v>66</v>
      </c>
      <c r="V24" s="94" t="s">
        <v>66</v>
      </c>
      <c r="W24" s="94" t="s">
        <v>66</v>
      </c>
      <c r="X24" s="94" t="s">
        <v>66</v>
      </c>
      <c r="Y24" s="94" t="s">
        <v>66</v>
      </c>
      <c r="Z24" s="94" t="s">
        <v>66</v>
      </c>
      <c r="AA24" s="94" t="s">
        <v>66</v>
      </c>
      <c r="AB24" s="94" t="s">
        <v>66</v>
      </c>
      <c r="AC24" s="94" t="s">
        <v>66</v>
      </c>
      <c r="AD24" s="94" t="s">
        <v>66</v>
      </c>
      <c r="AE24" s="94" t="s">
        <v>66</v>
      </c>
      <c r="AF24" s="94" t="s">
        <v>66</v>
      </c>
      <c r="AG24" s="94" t="s">
        <v>66</v>
      </c>
      <c r="AH24" s="94" t="s">
        <v>66</v>
      </c>
      <c r="AI24" s="94" t="s">
        <v>66</v>
      </c>
      <c r="AJ24" s="96" t="s">
        <v>66</v>
      </c>
    </row>
    <row r="25" spans="1:39" ht="15.75" customHeight="1" x14ac:dyDescent="0.25">
      <c r="A25" s="96"/>
      <c r="B25" s="86" t="s">
        <v>36</v>
      </c>
      <c r="C25" s="87">
        <f t="shared" si="5"/>
        <v>0</v>
      </c>
      <c r="D25" s="91">
        <f t="shared" si="6"/>
        <v>0</v>
      </c>
      <c r="E25" s="92" t="s">
        <v>66</v>
      </c>
      <c r="F25" s="92" t="s">
        <v>66</v>
      </c>
      <c r="G25" s="92" t="s">
        <v>66</v>
      </c>
      <c r="H25" s="92" t="s">
        <v>66</v>
      </c>
      <c r="I25" s="92" t="s">
        <v>66</v>
      </c>
      <c r="J25" s="92" t="s">
        <v>66</v>
      </c>
      <c r="K25" s="92" t="s">
        <v>66</v>
      </c>
      <c r="L25" s="92" t="s">
        <v>66</v>
      </c>
      <c r="M25" s="92" t="s">
        <v>66</v>
      </c>
      <c r="N25" s="92" t="s">
        <v>66</v>
      </c>
      <c r="O25" s="92" t="s">
        <v>66</v>
      </c>
      <c r="P25" s="92" t="s">
        <v>66</v>
      </c>
      <c r="Q25" s="92" t="s">
        <v>66</v>
      </c>
      <c r="R25" s="92" t="s">
        <v>66</v>
      </c>
      <c r="S25" s="92" t="s">
        <v>66</v>
      </c>
      <c r="T25" s="92" t="s">
        <v>66</v>
      </c>
      <c r="U25" s="92" t="s">
        <v>66</v>
      </c>
      <c r="V25" s="92" t="s">
        <v>66</v>
      </c>
      <c r="W25" s="92" t="s">
        <v>66</v>
      </c>
      <c r="X25" s="92" t="s">
        <v>66</v>
      </c>
      <c r="Y25" s="92" t="s">
        <v>66</v>
      </c>
      <c r="Z25" s="92" t="s">
        <v>66</v>
      </c>
      <c r="AA25" s="92" t="s">
        <v>66</v>
      </c>
      <c r="AB25" s="92" t="s">
        <v>66</v>
      </c>
      <c r="AC25" s="92" t="s">
        <v>66</v>
      </c>
      <c r="AD25" s="92" t="s">
        <v>66</v>
      </c>
      <c r="AE25" s="92" t="s">
        <v>66</v>
      </c>
      <c r="AF25" s="92" t="s">
        <v>66</v>
      </c>
      <c r="AG25" s="92" t="s">
        <v>66</v>
      </c>
      <c r="AH25" s="92" t="s">
        <v>66</v>
      </c>
      <c r="AI25" s="92" t="s">
        <v>66</v>
      </c>
      <c r="AJ25" s="96" t="s">
        <v>66</v>
      </c>
    </row>
    <row r="26" spans="1:39" ht="15.75" customHeight="1" x14ac:dyDescent="0.25">
      <c r="A26" s="96"/>
      <c r="B26" s="86" t="s">
        <v>39</v>
      </c>
      <c r="C26" s="87">
        <f t="shared" si="5"/>
        <v>-20.399999999999999</v>
      </c>
      <c r="D26" s="93">
        <f t="shared" si="6"/>
        <v>9.6808560281124445E-3</v>
      </c>
      <c r="E26" s="94" t="s">
        <v>66</v>
      </c>
      <c r="F26" s="94" t="s">
        <v>66</v>
      </c>
      <c r="G26" s="94" t="s">
        <v>66</v>
      </c>
      <c r="H26" s="94" t="s">
        <v>66</v>
      </c>
      <c r="I26" s="94" t="s">
        <v>66</v>
      </c>
      <c r="J26" s="94" t="s">
        <v>66</v>
      </c>
      <c r="K26" s="94" t="s">
        <v>66</v>
      </c>
      <c r="L26" s="94" t="s">
        <v>66</v>
      </c>
      <c r="M26" s="94" t="s">
        <v>66</v>
      </c>
      <c r="N26" s="94">
        <v>-20.399999999999999</v>
      </c>
      <c r="O26" s="94" t="s">
        <v>66</v>
      </c>
      <c r="P26" s="94" t="s">
        <v>66</v>
      </c>
      <c r="Q26" s="94" t="s">
        <v>66</v>
      </c>
      <c r="R26" s="94" t="s">
        <v>66</v>
      </c>
      <c r="S26" s="94" t="s">
        <v>66</v>
      </c>
      <c r="T26" s="94" t="s">
        <v>66</v>
      </c>
      <c r="U26" s="94" t="s">
        <v>66</v>
      </c>
      <c r="V26" s="94" t="s">
        <v>66</v>
      </c>
      <c r="W26" s="94" t="s">
        <v>66</v>
      </c>
      <c r="X26" s="94" t="s">
        <v>66</v>
      </c>
      <c r="Y26" s="94" t="s">
        <v>66</v>
      </c>
      <c r="Z26" s="94" t="s">
        <v>66</v>
      </c>
      <c r="AA26" s="94" t="s">
        <v>66</v>
      </c>
      <c r="AB26" s="94" t="s">
        <v>66</v>
      </c>
      <c r="AC26" s="94" t="s">
        <v>66</v>
      </c>
      <c r="AD26" s="94" t="s">
        <v>66</v>
      </c>
      <c r="AE26" s="94" t="s">
        <v>66</v>
      </c>
      <c r="AF26" s="94" t="s">
        <v>66</v>
      </c>
      <c r="AG26" s="94" t="s">
        <v>66</v>
      </c>
      <c r="AH26" s="94" t="s">
        <v>66</v>
      </c>
      <c r="AI26" s="94" t="s">
        <v>66</v>
      </c>
      <c r="AJ26" s="96" t="s">
        <v>66</v>
      </c>
    </row>
    <row r="27" spans="1:39" ht="15.75" customHeight="1" x14ac:dyDescent="0.25">
      <c r="A27" s="96"/>
      <c r="B27" s="86" t="s">
        <v>40</v>
      </c>
      <c r="C27" s="87">
        <f t="shared" si="5"/>
        <v>0</v>
      </c>
      <c r="D27" s="91">
        <f t="shared" si="6"/>
        <v>0</v>
      </c>
      <c r="E27" s="92" t="s">
        <v>66</v>
      </c>
      <c r="F27" s="92" t="s">
        <v>66</v>
      </c>
      <c r="G27" s="92" t="s">
        <v>66</v>
      </c>
      <c r="H27" s="92" t="s">
        <v>66</v>
      </c>
      <c r="I27" s="92" t="s">
        <v>66</v>
      </c>
      <c r="J27" s="92" t="s">
        <v>66</v>
      </c>
      <c r="K27" s="92" t="s">
        <v>66</v>
      </c>
      <c r="L27" s="92" t="s">
        <v>66</v>
      </c>
      <c r="M27" s="92" t="s">
        <v>66</v>
      </c>
      <c r="N27" s="92" t="s">
        <v>66</v>
      </c>
      <c r="O27" s="92" t="s">
        <v>66</v>
      </c>
      <c r="P27" s="92" t="s">
        <v>66</v>
      </c>
      <c r="Q27" s="92" t="s">
        <v>66</v>
      </c>
      <c r="R27" s="92" t="s">
        <v>66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 t="s">
        <v>66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2" t="s">
        <v>66</v>
      </c>
      <c r="AJ27" s="96" t="s">
        <v>66</v>
      </c>
    </row>
    <row r="28" spans="1:39" ht="15.75" customHeight="1" x14ac:dyDescent="0.25">
      <c r="A28" s="96"/>
      <c r="B28" s="86" t="s">
        <v>41</v>
      </c>
      <c r="C28" s="87">
        <f t="shared" si="5"/>
        <v>0</v>
      </c>
      <c r="D28" s="93">
        <f t="shared" si="6"/>
        <v>0</v>
      </c>
      <c r="E28" s="94" t="s">
        <v>66</v>
      </c>
      <c r="F28" s="94" t="s">
        <v>66</v>
      </c>
      <c r="G28" s="94" t="s">
        <v>66</v>
      </c>
      <c r="H28" s="94" t="s">
        <v>66</v>
      </c>
      <c r="I28" s="94" t="s">
        <v>66</v>
      </c>
      <c r="J28" s="94" t="s">
        <v>66</v>
      </c>
      <c r="K28" s="94" t="s">
        <v>66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4" t="s">
        <v>66</v>
      </c>
      <c r="AJ28" s="96" t="s">
        <v>66</v>
      </c>
    </row>
    <row r="29" spans="1:39" ht="15.75" customHeight="1" x14ac:dyDescent="0.25">
      <c r="A29" s="246"/>
      <c r="B29" s="86" t="s">
        <v>207</v>
      </c>
      <c r="C29" s="87">
        <f>-(2587+511.66)/12</f>
        <v>-258.22166666666664</v>
      </c>
      <c r="D29" s="91">
        <f t="shared" si="6"/>
        <v>0.12253954795780599</v>
      </c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246"/>
    </row>
    <row r="30" spans="1:39" ht="15.75" customHeight="1" x14ac:dyDescent="0.25">
      <c r="A30" s="96"/>
      <c r="B30" s="86" t="s">
        <v>72</v>
      </c>
      <c r="C30" s="87">
        <f t="shared" si="5"/>
        <v>-550</v>
      </c>
      <c r="D30" s="91">
        <f t="shared" si="6"/>
        <v>0.26100347134616886</v>
      </c>
      <c r="E30" s="92" t="s">
        <v>66</v>
      </c>
      <c r="F30" s="92" t="s">
        <v>66</v>
      </c>
      <c r="G30" s="92" t="s">
        <v>66</v>
      </c>
      <c r="H30" s="92" t="s">
        <v>66</v>
      </c>
      <c r="I30" s="92" t="s">
        <v>66</v>
      </c>
      <c r="J30" s="92" t="s">
        <v>66</v>
      </c>
      <c r="K30" s="92">
        <v>-550</v>
      </c>
      <c r="L30" s="92" t="s">
        <v>66</v>
      </c>
      <c r="M30" s="92" t="s">
        <v>66</v>
      </c>
      <c r="N30" s="92" t="s">
        <v>66</v>
      </c>
      <c r="O30" s="92" t="s">
        <v>66</v>
      </c>
      <c r="P30" s="92" t="s">
        <v>66</v>
      </c>
      <c r="Q30" s="92" t="s">
        <v>66</v>
      </c>
      <c r="R30" s="92" t="s">
        <v>66</v>
      </c>
      <c r="S30" s="92" t="s">
        <v>66</v>
      </c>
      <c r="T30" s="92" t="s">
        <v>66</v>
      </c>
      <c r="U30" s="92" t="s">
        <v>66</v>
      </c>
      <c r="V30" s="92" t="s">
        <v>66</v>
      </c>
      <c r="W30" s="92" t="s">
        <v>66</v>
      </c>
      <c r="X30" s="92" t="s">
        <v>66</v>
      </c>
      <c r="Y30" s="92" t="s">
        <v>66</v>
      </c>
      <c r="Z30" s="92" t="s">
        <v>66</v>
      </c>
      <c r="AA30" s="92" t="s">
        <v>66</v>
      </c>
      <c r="AB30" s="92" t="s">
        <v>66</v>
      </c>
      <c r="AC30" s="92" t="s">
        <v>66</v>
      </c>
      <c r="AD30" s="92" t="s">
        <v>66</v>
      </c>
      <c r="AE30" s="92" t="s">
        <v>66</v>
      </c>
      <c r="AF30" s="92" t="s">
        <v>66</v>
      </c>
      <c r="AG30" s="92" t="s">
        <v>66</v>
      </c>
      <c r="AH30" s="92" t="s">
        <v>66</v>
      </c>
      <c r="AI30" s="92" t="s">
        <v>66</v>
      </c>
      <c r="AJ30" s="96" t="s">
        <v>66</v>
      </c>
    </row>
    <row r="31" spans="1:39" ht="15.75" customHeight="1" x14ac:dyDescent="0.25">
      <c r="A31" s="96"/>
      <c r="B31" s="86" t="s">
        <v>42</v>
      </c>
      <c r="C31" s="87">
        <f t="shared" si="5"/>
        <v>0</v>
      </c>
      <c r="D31" s="93">
        <f t="shared" si="6"/>
        <v>0</v>
      </c>
      <c r="E31" s="94" t="s">
        <v>66</v>
      </c>
      <c r="F31" s="94" t="s">
        <v>66</v>
      </c>
      <c r="G31" s="94" t="s">
        <v>66</v>
      </c>
      <c r="H31" s="94" t="s">
        <v>66</v>
      </c>
      <c r="I31" s="94" t="s">
        <v>66</v>
      </c>
      <c r="J31" s="94" t="s">
        <v>66</v>
      </c>
      <c r="K31" s="94" t="s">
        <v>66</v>
      </c>
      <c r="L31" s="94" t="s">
        <v>66</v>
      </c>
      <c r="M31" s="94" t="s">
        <v>66</v>
      </c>
      <c r="N31" s="94" t="s">
        <v>66</v>
      </c>
      <c r="O31" s="94" t="s">
        <v>66</v>
      </c>
      <c r="P31" s="94" t="s">
        <v>66</v>
      </c>
      <c r="Q31" s="94" t="s">
        <v>66</v>
      </c>
      <c r="R31" s="94" t="s">
        <v>66</v>
      </c>
      <c r="S31" s="94" t="s">
        <v>66</v>
      </c>
      <c r="T31" s="94" t="s">
        <v>66</v>
      </c>
      <c r="U31" s="94" t="s">
        <v>66</v>
      </c>
      <c r="V31" s="94" t="s">
        <v>66</v>
      </c>
      <c r="W31" s="94" t="s">
        <v>66</v>
      </c>
      <c r="X31" s="94" t="s">
        <v>66</v>
      </c>
      <c r="Y31" s="94" t="s">
        <v>66</v>
      </c>
      <c r="Z31" s="94" t="s">
        <v>66</v>
      </c>
      <c r="AA31" s="94" t="s">
        <v>66</v>
      </c>
      <c r="AB31" s="94" t="s">
        <v>66</v>
      </c>
      <c r="AC31" s="94" t="s">
        <v>66</v>
      </c>
      <c r="AD31" s="94" t="s">
        <v>66</v>
      </c>
      <c r="AE31" s="94" t="s">
        <v>66</v>
      </c>
      <c r="AF31" s="94" t="s">
        <v>66</v>
      </c>
      <c r="AG31" s="94" t="s">
        <v>66</v>
      </c>
      <c r="AH31" s="94" t="s">
        <v>66</v>
      </c>
      <c r="AI31" s="94" t="s">
        <v>66</v>
      </c>
      <c r="AJ31" s="96" t="s">
        <v>66</v>
      </c>
    </row>
    <row r="32" spans="1:39" ht="15.75" customHeight="1" x14ac:dyDescent="0.25">
      <c r="A32" s="96"/>
      <c r="B32" s="86" t="s">
        <v>96</v>
      </c>
      <c r="C32" s="87">
        <f t="shared" si="5"/>
        <v>-108</v>
      </c>
      <c r="D32" s="91">
        <f t="shared" si="6"/>
        <v>5.1251590737065887E-2</v>
      </c>
      <c r="E32" s="92" t="s">
        <v>66</v>
      </c>
      <c r="F32" s="92" t="s">
        <v>66</v>
      </c>
      <c r="G32" s="92" t="s">
        <v>66</v>
      </c>
      <c r="H32" s="92" t="s">
        <v>66</v>
      </c>
      <c r="I32" s="92" t="s">
        <v>66</v>
      </c>
      <c r="J32" s="92" t="s">
        <v>66</v>
      </c>
      <c r="K32" s="92" t="s">
        <v>66</v>
      </c>
      <c r="L32" s="92" t="s">
        <v>66</v>
      </c>
      <c r="M32" s="92" t="s">
        <v>66</v>
      </c>
      <c r="N32" s="92" t="s">
        <v>66</v>
      </c>
      <c r="O32" s="92" t="s">
        <v>66</v>
      </c>
      <c r="P32" s="92">
        <v>-20</v>
      </c>
      <c r="Q32" s="92" t="s">
        <v>66</v>
      </c>
      <c r="R32" s="92">
        <v>-80</v>
      </c>
      <c r="S32" s="92" t="s">
        <v>66</v>
      </c>
      <c r="T32" s="92" t="s">
        <v>66</v>
      </c>
      <c r="U32" s="92">
        <v>-8</v>
      </c>
      <c r="V32" s="92" t="s">
        <v>66</v>
      </c>
      <c r="W32" s="92" t="s">
        <v>66</v>
      </c>
      <c r="X32" s="92" t="s">
        <v>66</v>
      </c>
      <c r="Y32" s="92" t="s">
        <v>66</v>
      </c>
      <c r="Z32" s="92" t="s">
        <v>66</v>
      </c>
      <c r="AA32" s="92" t="s">
        <v>66</v>
      </c>
      <c r="AB32" s="92" t="s">
        <v>66</v>
      </c>
      <c r="AC32" s="92" t="s">
        <v>66</v>
      </c>
      <c r="AD32" s="92" t="s">
        <v>66</v>
      </c>
      <c r="AE32" s="92" t="s">
        <v>66</v>
      </c>
      <c r="AF32" s="92" t="s">
        <v>66</v>
      </c>
      <c r="AG32" s="92" t="s">
        <v>66</v>
      </c>
      <c r="AH32" s="92" t="s">
        <v>66</v>
      </c>
      <c r="AI32" s="92" t="s">
        <v>66</v>
      </c>
      <c r="AJ32" s="96" t="s">
        <v>66</v>
      </c>
    </row>
    <row r="33" spans="1:36" ht="15.75" customHeight="1" x14ac:dyDescent="0.25">
      <c r="A33" s="96"/>
      <c r="B33" s="99" t="s">
        <v>44</v>
      </c>
      <c r="C33" s="124">
        <f>SUM(E33:AF33)</f>
        <v>2296.5500000000002</v>
      </c>
      <c r="D33" s="125"/>
      <c r="E33" s="126"/>
      <c r="F33" s="126"/>
      <c r="G33" s="126"/>
      <c r="H33" s="126"/>
      <c r="I33" s="126">
        <v>2056.5500000000002</v>
      </c>
      <c r="J33" s="126"/>
      <c r="K33" s="126"/>
      <c r="L33" s="126"/>
      <c r="M33" s="126"/>
      <c r="N33" s="126"/>
      <c r="O33" s="126">
        <v>20</v>
      </c>
      <c r="P33" s="126"/>
      <c r="Q33" s="126"/>
      <c r="R33" s="126"/>
      <c r="S33" s="126"/>
      <c r="T33" s="126"/>
      <c r="U33" s="126"/>
      <c r="V33" s="126">
        <v>200</v>
      </c>
      <c r="W33" s="126"/>
      <c r="X33" s="126"/>
      <c r="Y33" s="126"/>
      <c r="Z33" s="126"/>
      <c r="AA33" s="126"/>
      <c r="AB33" s="126"/>
      <c r="AC33" s="126">
        <v>20</v>
      </c>
      <c r="AD33" s="126"/>
      <c r="AE33" s="126"/>
      <c r="AF33" s="126"/>
      <c r="AG33" s="126"/>
      <c r="AH33" s="126"/>
      <c r="AI33" s="126"/>
      <c r="AJ33" s="96"/>
    </row>
    <row r="34" spans="1:36" ht="15.75" customHeight="1" x14ac:dyDescent="0.25">
      <c r="A34" s="96"/>
      <c r="B34" s="83"/>
      <c r="C34" s="12"/>
      <c r="D34" s="106"/>
      <c r="E34" s="107">
        <f t="shared" ref="E34:X34" si="7">E5</f>
        <v>43678</v>
      </c>
      <c r="F34" s="107">
        <f t="shared" si="7"/>
        <v>43679</v>
      </c>
      <c r="G34" s="107">
        <f t="shared" si="7"/>
        <v>43680</v>
      </c>
      <c r="H34" s="107">
        <f t="shared" si="7"/>
        <v>43681</v>
      </c>
      <c r="I34" s="107">
        <f t="shared" si="7"/>
        <v>43682</v>
      </c>
      <c r="J34" s="107">
        <f t="shared" si="7"/>
        <v>43683</v>
      </c>
      <c r="K34" s="107">
        <f t="shared" si="7"/>
        <v>43684</v>
      </c>
      <c r="L34" s="107">
        <f t="shared" si="7"/>
        <v>43685</v>
      </c>
      <c r="M34" s="107">
        <f t="shared" si="7"/>
        <v>43686</v>
      </c>
      <c r="N34" s="107">
        <f t="shared" si="7"/>
        <v>43687</v>
      </c>
      <c r="O34" s="107">
        <f t="shared" si="7"/>
        <v>43688</v>
      </c>
      <c r="P34" s="107">
        <f t="shared" si="7"/>
        <v>43689</v>
      </c>
      <c r="Q34" s="107">
        <f t="shared" si="7"/>
        <v>43690</v>
      </c>
      <c r="R34" s="107">
        <f t="shared" si="7"/>
        <v>43691</v>
      </c>
      <c r="S34" s="107">
        <f t="shared" si="7"/>
        <v>43692</v>
      </c>
      <c r="T34" s="107">
        <f t="shared" si="7"/>
        <v>43693</v>
      </c>
      <c r="U34" s="107">
        <f t="shared" si="7"/>
        <v>43694</v>
      </c>
      <c r="V34" s="107">
        <f t="shared" si="7"/>
        <v>43695</v>
      </c>
      <c r="W34" s="107">
        <f t="shared" si="7"/>
        <v>43696</v>
      </c>
      <c r="X34" s="107">
        <f t="shared" si="7"/>
        <v>43697</v>
      </c>
      <c r="Y34" s="107" t="s">
        <v>98</v>
      </c>
      <c r="Z34" s="107">
        <f t="shared" ref="Z34:AI34" si="8">Z5</f>
        <v>43699</v>
      </c>
      <c r="AA34" s="107">
        <f t="shared" si="8"/>
        <v>43700</v>
      </c>
      <c r="AB34" s="107">
        <f t="shared" si="8"/>
        <v>43701</v>
      </c>
      <c r="AC34" s="107">
        <f t="shared" si="8"/>
        <v>43702</v>
      </c>
      <c r="AD34" s="107">
        <f t="shared" si="8"/>
        <v>43703</v>
      </c>
      <c r="AE34" s="107">
        <f t="shared" si="8"/>
        <v>43704</v>
      </c>
      <c r="AF34" s="107">
        <f t="shared" si="8"/>
        <v>43705</v>
      </c>
      <c r="AG34" s="107">
        <f t="shared" si="8"/>
        <v>43706</v>
      </c>
      <c r="AH34" s="107">
        <f t="shared" si="8"/>
        <v>43707</v>
      </c>
      <c r="AI34" s="107">
        <f t="shared" si="8"/>
        <v>43708</v>
      </c>
      <c r="AJ34" s="97"/>
    </row>
    <row r="35" spans="1:36" ht="15.75" customHeight="1" x14ac:dyDescent="0.25">
      <c r="A35" s="96"/>
      <c r="B35" s="110" t="s">
        <v>79</v>
      </c>
      <c r="C35" s="58"/>
      <c r="D35" s="66"/>
      <c r="E35" s="112">
        <f t="shared" ref="E35:AI35" si="9">SUM($E$6:E6)</f>
        <v>-221.21</v>
      </c>
      <c r="F35" s="112">
        <f t="shared" si="9"/>
        <v>-356.21000000000004</v>
      </c>
      <c r="G35" s="112">
        <f t="shared" si="9"/>
        <v>-397.41</v>
      </c>
      <c r="H35" s="112">
        <f t="shared" si="9"/>
        <v>-472.97</v>
      </c>
      <c r="I35" s="112">
        <f t="shared" si="9"/>
        <v>-484.1</v>
      </c>
      <c r="J35" s="112">
        <f t="shared" si="9"/>
        <v>-484.1</v>
      </c>
      <c r="K35" s="112">
        <f t="shared" si="9"/>
        <v>-1034.0999999999999</v>
      </c>
      <c r="L35" s="112">
        <f t="shared" si="9"/>
        <v>-1071.5</v>
      </c>
      <c r="M35" s="112">
        <f t="shared" si="9"/>
        <v>-1071.5</v>
      </c>
      <c r="N35" s="112">
        <f t="shared" si="9"/>
        <v>-1109.7</v>
      </c>
      <c r="O35" s="112">
        <f t="shared" si="9"/>
        <v>-1150.8</v>
      </c>
      <c r="P35" s="112">
        <f t="shared" si="9"/>
        <v>-1190.8</v>
      </c>
      <c r="Q35" s="112">
        <f t="shared" si="9"/>
        <v>-1190.8</v>
      </c>
      <c r="R35" s="112">
        <f t="shared" si="9"/>
        <v>-1360.47</v>
      </c>
      <c r="S35" s="112">
        <f t="shared" si="9"/>
        <v>-1366.45</v>
      </c>
      <c r="T35" s="112">
        <f t="shared" si="9"/>
        <v>-1390.3500000000001</v>
      </c>
      <c r="U35" s="112">
        <f t="shared" si="9"/>
        <v>-1466.8500000000001</v>
      </c>
      <c r="V35" s="112">
        <f t="shared" si="9"/>
        <v>-1502.43</v>
      </c>
      <c r="W35" s="112">
        <f t="shared" si="9"/>
        <v>-1522.3400000000001</v>
      </c>
      <c r="X35" s="112">
        <f t="shared" si="9"/>
        <v>-1522.3400000000001</v>
      </c>
      <c r="Y35" s="112">
        <f t="shared" si="9"/>
        <v>-1533.8700000000001</v>
      </c>
      <c r="Z35" s="112">
        <f t="shared" si="9"/>
        <v>-1542.8700000000001</v>
      </c>
      <c r="AA35" s="112">
        <f t="shared" si="9"/>
        <v>-1577.65</v>
      </c>
      <c r="AB35" s="112">
        <f t="shared" si="9"/>
        <v>-1666.19</v>
      </c>
      <c r="AC35" s="112">
        <f t="shared" si="9"/>
        <v>-1709.53</v>
      </c>
      <c r="AD35" s="112">
        <f t="shared" si="9"/>
        <v>-1729.44</v>
      </c>
      <c r="AE35" s="112">
        <f t="shared" si="9"/>
        <v>-1739.44</v>
      </c>
      <c r="AF35" s="112">
        <f t="shared" si="9"/>
        <v>-1819.53</v>
      </c>
      <c r="AG35" s="112">
        <f t="shared" si="9"/>
        <v>-1829.53</v>
      </c>
      <c r="AH35" s="112">
        <f t="shared" si="9"/>
        <v>-1849.03</v>
      </c>
      <c r="AI35" s="112">
        <f t="shared" si="9"/>
        <v>-1886.53</v>
      </c>
      <c r="AJ35" s="97"/>
    </row>
    <row r="36" spans="1:36" ht="15.75" customHeight="1" x14ac:dyDescent="0.25">
      <c r="A36" s="96"/>
      <c r="B36" s="99" t="s">
        <v>69</v>
      </c>
      <c r="C36" s="44"/>
      <c r="D36" s="115">
        <f>'Jul2019'!AI36</f>
        <v>5439.0500000000047</v>
      </c>
      <c r="E36" s="73">
        <f t="shared" ref="E36:AG36" si="10">D45+E6+E33</f>
        <v>5217.8400000000047</v>
      </c>
      <c r="F36" s="73">
        <f t="shared" si="10"/>
        <v>5082.8400000000047</v>
      </c>
      <c r="G36" s="73">
        <f t="shared" si="10"/>
        <v>5041.6400000000049</v>
      </c>
      <c r="H36" s="73">
        <f t="shared" si="10"/>
        <v>4966.0800000000045</v>
      </c>
      <c r="I36" s="73">
        <f t="shared" si="10"/>
        <v>7011.5000000000045</v>
      </c>
      <c r="J36" s="73">
        <f t="shared" si="10"/>
        <v>7011.5000000000045</v>
      </c>
      <c r="K36" s="73">
        <f t="shared" si="10"/>
        <v>6461.5000000000045</v>
      </c>
      <c r="L36" s="73">
        <f t="shared" si="10"/>
        <v>6424.1000000000049</v>
      </c>
      <c r="M36" s="73">
        <f t="shared" si="10"/>
        <v>6424.1000000000049</v>
      </c>
      <c r="N36" s="73">
        <f t="shared" si="10"/>
        <v>6385.9000000000051</v>
      </c>
      <c r="O36" s="73">
        <f t="shared" si="10"/>
        <v>6364.8000000000047</v>
      </c>
      <c r="P36" s="73">
        <f t="shared" si="10"/>
        <v>6324.8000000000047</v>
      </c>
      <c r="Q36" s="73">
        <f t="shared" si="10"/>
        <v>6324.8000000000047</v>
      </c>
      <c r="R36" s="73">
        <f t="shared" si="10"/>
        <v>6155.1300000000047</v>
      </c>
      <c r="S36" s="73">
        <f t="shared" si="10"/>
        <v>6149.1500000000051</v>
      </c>
      <c r="T36" s="73">
        <f t="shared" si="10"/>
        <v>6125.2500000000055</v>
      </c>
      <c r="U36" s="73">
        <f t="shared" si="10"/>
        <v>6048.7500000000055</v>
      </c>
      <c r="V36" s="73">
        <f t="shared" si="10"/>
        <v>6213.1700000000055</v>
      </c>
      <c r="W36" s="73">
        <f t="shared" si="10"/>
        <v>6193.2600000000057</v>
      </c>
      <c r="X36" s="73">
        <f t="shared" si="10"/>
        <v>6193.2600000000057</v>
      </c>
      <c r="Y36" s="73">
        <f t="shared" si="10"/>
        <v>6181.7300000000059</v>
      </c>
      <c r="Z36" s="73">
        <f t="shared" si="10"/>
        <v>6172.7300000000059</v>
      </c>
      <c r="AA36" s="73">
        <f t="shared" si="10"/>
        <v>6137.9500000000062</v>
      </c>
      <c r="AB36" s="73">
        <f t="shared" si="10"/>
        <v>6049.4100000000062</v>
      </c>
      <c r="AC36" s="73">
        <f t="shared" si="10"/>
        <v>6026.0700000000061</v>
      </c>
      <c r="AD36" s="73">
        <f t="shared" si="10"/>
        <v>6006.1600000000062</v>
      </c>
      <c r="AE36" s="73">
        <f t="shared" si="10"/>
        <v>5996.1600000000062</v>
      </c>
      <c r="AF36" s="73">
        <f t="shared" si="10"/>
        <v>5916.0700000000061</v>
      </c>
      <c r="AG36" s="73">
        <f t="shared" si="10"/>
        <v>5906.0700000000061</v>
      </c>
      <c r="AH36" s="73">
        <f t="shared" ref="AH36:AI36" si="11">AF45+AH6+AH33</f>
        <v>5896.5700000000061</v>
      </c>
      <c r="AI36" s="73">
        <f t="shared" si="11"/>
        <v>5868.5700000000061</v>
      </c>
      <c r="AJ36" s="97"/>
    </row>
    <row r="37" spans="1:36" ht="15.75" customHeight="1" x14ac:dyDescent="0.25">
      <c r="A37" s="96"/>
      <c r="B37" s="83" t="s">
        <v>61</v>
      </c>
      <c r="C37" s="12"/>
      <c r="D37" s="12"/>
      <c r="E37" s="7">
        <v>37</v>
      </c>
      <c r="L37" s="1"/>
      <c r="M37" s="1"/>
      <c r="N37" s="1"/>
      <c r="O37" s="1">
        <v>30</v>
      </c>
      <c r="P37" s="1"/>
      <c r="Q37" s="1"/>
      <c r="R37" s="1"/>
      <c r="S37" s="1"/>
      <c r="T37" s="1"/>
      <c r="U37" s="1"/>
      <c r="V37" s="1"/>
      <c r="W37" s="1"/>
      <c r="X37" s="1"/>
      <c r="Y37" s="1">
        <v>55</v>
      </c>
      <c r="Z37" s="1"/>
      <c r="AA37" s="1"/>
      <c r="AB37" s="1"/>
      <c r="AC37" s="1"/>
      <c r="AD37" s="1"/>
      <c r="AE37" s="1"/>
      <c r="AF37" s="1"/>
      <c r="AG37" s="1"/>
      <c r="AH37" s="1"/>
      <c r="AI37" s="1">
        <v>40</v>
      </c>
      <c r="AJ37" s="97"/>
    </row>
    <row r="38" spans="1:36" ht="15.75" customHeight="1" x14ac:dyDescent="0.25">
      <c r="A38" s="96"/>
      <c r="B38" s="83" t="s">
        <v>70</v>
      </c>
      <c r="C38" s="12"/>
      <c r="D38" s="12"/>
      <c r="E38" s="7">
        <v>-1950.32</v>
      </c>
      <c r="L38" s="1"/>
      <c r="M38" s="1"/>
      <c r="N38" s="1"/>
      <c r="O38" s="1">
        <v>-239.23</v>
      </c>
      <c r="P38" s="1"/>
      <c r="Q38" s="1"/>
      <c r="R38" s="1"/>
      <c r="S38" s="1"/>
      <c r="T38" s="1"/>
      <c r="U38" s="1"/>
      <c r="V38" s="1"/>
      <c r="W38" s="1"/>
      <c r="X38" s="1"/>
      <c r="Y38" s="1">
        <v>-525.62</v>
      </c>
      <c r="Z38" s="1"/>
      <c r="AA38" s="1"/>
      <c r="AB38" s="1"/>
      <c r="AC38" s="1"/>
      <c r="AD38" s="1"/>
      <c r="AE38" s="1"/>
      <c r="AF38" s="1"/>
      <c r="AG38" s="1"/>
      <c r="AH38" s="1"/>
      <c r="AI38" s="1">
        <v>-744.19</v>
      </c>
      <c r="AJ38" s="97"/>
    </row>
    <row r="39" spans="1:36" ht="15.75" customHeight="1" x14ac:dyDescent="0.25">
      <c r="A39" s="96"/>
      <c r="B39" s="83" t="s">
        <v>71</v>
      </c>
      <c r="C39" s="12"/>
      <c r="D39" s="12"/>
      <c r="E39" s="7">
        <v>83.05</v>
      </c>
      <c r="L39" s="1"/>
      <c r="M39" s="1"/>
      <c r="N39" s="1"/>
      <c r="O39" s="1">
        <v>189.63</v>
      </c>
      <c r="P39" s="1"/>
      <c r="Q39" s="1"/>
      <c r="R39" s="1"/>
      <c r="S39" s="1"/>
      <c r="T39" s="1"/>
      <c r="U39" s="1"/>
      <c r="V39" s="1"/>
      <c r="W39" s="1"/>
      <c r="X39" s="1"/>
      <c r="Y39" s="7">
        <v>449.63</v>
      </c>
      <c r="Z39" s="1"/>
      <c r="AA39" s="1"/>
      <c r="AB39" s="1"/>
      <c r="AC39" s="1"/>
      <c r="AD39" s="1"/>
      <c r="AE39" s="1"/>
      <c r="AF39" s="1"/>
      <c r="AG39" s="1"/>
      <c r="AH39" s="1"/>
      <c r="AI39" s="1">
        <v>49.64</v>
      </c>
      <c r="AJ39" s="97"/>
    </row>
    <row r="40" spans="1:36" ht="15.75" customHeight="1" x14ac:dyDescent="0.25">
      <c r="A40" s="96"/>
      <c r="B40" s="83" t="s">
        <v>85</v>
      </c>
      <c r="C40" s="12"/>
      <c r="D40" s="12"/>
      <c r="E40" s="7">
        <v>0</v>
      </c>
      <c r="L40" s="1"/>
      <c r="M40" s="1"/>
      <c r="N40" s="1"/>
      <c r="O40" s="1">
        <v>0</v>
      </c>
      <c r="P40" s="1"/>
      <c r="Q40" s="1"/>
      <c r="R40" s="1"/>
      <c r="S40" s="1"/>
      <c r="T40" s="1"/>
      <c r="U40" s="1"/>
      <c r="V40" s="1"/>
      <c r="W40" s="1"/>
      <c r="X40" s="1"/>
      <c r="Y40" s="1">
        <v>0</v>
      </c>
      <c r="Z40" s="1"/>
      <c r="AA40" s="1"/>
      <c r="AB40" s="1"/>
      <c r="AC40" s="1"/>
      <c r="AD40" s="1"/>
      <c r="AE40" s="1"/>
      <c r="AF40" s="1"/>
      <c r="AG40" s="1"/>
      <c r="AH40" s="1"/>
      <c r="AI40" s="1">
        <v>0</v>
      </c>
      <c r="AJ40" s="97"/>
    </row>
    <row r="41" spans="1:36" ht="15.75" customHeight="1" x14ac:dyDescent="0.25">
      <c r="A41" s="96"/>
      <c r="B41" s="83" t="s">
        <v>95</v>
      </c>
      <c r="C41" s="12"/>
      <c r="D41" s="12"/>
      <c r="E41" s="1">
        <f>8307.54+212.21</f>
        <v>8519.75</v>
      </c>
      <c r="L41" s="1"/>
      <c r="M41" s="1"/>
      <c r="N41" s="1"/>
      <c r="O41" s="1">
        <f>7617.81+227.44</f>
        <v>7845.25</v>
      </c>
      <c r="P41" s="1"/>
      <c r="Q41" s="1"/>
      <c r="R41" s="1"/>
      <c r="S41" s="1"/>
      <c r="T41" s="1"/>
      <c r="U41" s="1"/>
      <c r="V41" s="1"/>
      <c r="W41" s="1"/>
      <c r="X41" s="143"/>
      <c r="Y41" s="1">
        <f>122.61+7527.7</f>
        <v>7650.3099999999995</v>
      </c>
      <c r="Z41" s="1"/>
      <c r="AA41" s="1"/>
      <c r="AB41" s="1"/>
      <c r="AC41" s="1"/>
      <c r="AD41" s="1"/>
      <c r="AE41" s="1"/>
      <c r="AF41" s="1"/>
      <c r="AG41" s="1"/>
      <c r="AH41" s="1"/>
      <c r="AI41" s="1">
        <f>139.73+7885.14</f>
        <v>8024.87</v>
      </c>
      <c r="AJ41" s="97"/>
    </row>
    <row r="42" spans="1:36" ht="15.75" customHeight="1" x14ac:dyDescent="0.25">
      <c r="A42" s="96"/>
      <c r="B42" s="83" t="s">
        <v>99</v>
      </c>
      <c r="C42" s="12"/>
      <c r="D42" s="12"/>
      <c r="E42" s="7">
        <v>0</v>
      </c>
      <c r="L42" s="1"/>
      <c r="M42" s="1"/>
      <c r="N42" s="1"/>
      <c r="O42" s="1">
        <v>0</v>
      </c>
      <c r="P42" s="1"/>
      <c r="Q42" s="1"/>
      <c r="R42" s="1"/>
      <c r="S42" s="1"/>
      <c r="T42" s="1"/>
      <c r="U42" s="1"/>
      <c r="V42" s="1"/>
      <c r="W42" s="1"/>
      <c r="X42" s="1"/>
      <c r="Y42" s="1">
        <v>0</v>
      </c>
      <c r="Z42" s="1"/>
      <c r="AA42" s="1"/>
      <c r="AB42" s="1"/>
      <c r="AC42" s="1"/>
      <c r="AD42" s="1"/>
      <c r="AE42" s="1"/>
      <c r="AF42" s="1"/>
      <c r="AG42" s="1"/>
      <c r="AH42" s="1"/>
      <c r="AI42" s="1">
        <v>0</v>
      </c>
      <c r="AJ42" s="97"/>
    </row>
    <row r="43" spans="1:36" ht="15.75" customHeight="1" x14ac:dyDescent="0.25">
      <c r="A43" s="96"/>
      <c r="B43" s="83" t="s">
        <v>73</v>
      </c>
      <c r="C43" s="12"/>
      <c r="D43" s="12"/>
      <c r="E43" s="7">
        <v>1861</v>
      </c>
      <c r="L43" s="1"/>
      <c r="M43" s="1"/>
      <c r="N43" s="134"/>
      <c r="O43" s="1">
        <v>1861</v>
      </c>
      <c r="P43" s="1"/>
      <c r="Q43" s="1"/>
      <c r="R43" s="1"/>
      <c r="S43" s="1"/>
      <c r="T43" s="1"/>
      <c r="U43" s="1"/>
      <c r="V43" s="1"/>
      <c r="W43" s="1"/>
      <c r="X43" s="1"/>
      <c r="Y43" s="1">
        <v>1861</v>
      </c>
      <c r="Z43" s="1"/>
      <c r="AA43" s="1"/>
      <c r="AB43" s="1"/>
      <c r="AC43" s="1"/>
      <c r="AD43" s="1"/>
      <c r="AE43" s="1"/>
      <c r="AF43" s="1"/>
      <c r="AG43" s="1"/>
      <c r="AH43" s="1"/>
      <c r="AI43" s="1">
        <v>1861</v>
      </c>
      <c r="AJ43" s="97"/>
    </row>
    <row r="44" spans="1:36" ht="15.75" customHeight="1" x14ac:dyDescent="0.25">
      <c r="A44" s="96"/>
      <c r="B44" s="116" t="s">
        <v>63</v>
      </c>
      <c r="C44" s="68"/>
      <c r="D44" s="68"/>
      <c r="E44" s="63">
        <v>0</v>
      </c>
      <c r="F44" s="63"/>
      <c r="G44" s="63"/>
      <c r="H44" s="63"/>
      <c r="I44" s="63"/>
      <c r="J44" s="63"/>
      <c r="K44" s="63"/>
      <c r="L44" s="44"/>
      <c r="M44" s="44"/>
      <c r="N44" s="44"/>
      <c r="O44" s="44">
        <v>0</v>
      </c>
      <c r="P44" s="44"/>
      <c r="Q44" s="44"/>
      <c r="R44" s="44"/>
      <c r="S44" s="44"/>
      <c r="T44" s="44"/>
      <c r="U44" s="44"/>
      <c r="V44" s="44"/>
      <c r="W44" s="44"/>
      <c r="X44" s="44"/>
      <c r="Y44" s="44">
        <v>0</v>
      </c>
      <c r="Z44" s="44"/>
      <c r="AA44" s="44"/>
      <c r="AB44" s="44"/>
      <c r="AC44" s="44"/>
      <c r="AD44" s="44"/>
      <c r="AE44" s="44"/>
      <c r="AF44" s="44"/>
      <c r="AG44" s="44"/>
      <c r="AH44" s="44"/>
      <c r="AI44" s="44">
        <v>0</v>
      </c>
      <c r="AJ44" s="97"/>
    </row>
    <row r="45" spans="1:36" ht="15.75" customHeight="1" x14ac:dyDescent="0.25">
      <c r="A45" s="96"/>
      <c r="B45" s="86" t="s">
        <v>80</v>
      </c>
      <c r="C45" s="12"/>
      <c r="D45" s="50">
        <f t="shared" ref="D45:AI45" si="12">D36</f>
        <v>5439.0500000000047</v>
      </c>
      <c r="E45" s="50">
        <f t="shared" si="12"/>
        <v>5217.8400000000047</v>
      </c>
      <c r="F45" s="50">
        <f t="shared" si="12"/>
        <v>5082.8400000000047</v>
      </c>
      <c r="G45" s="50">
        <f t="shared" si="12"/>
        <v>5041.6400000000049</v>
      </c>
      <c r="H45" s="50">
        <f t="shared" si="12"/>
        <v>4966.0800000000045</v>
      </c>
      <c r="I45" s="50">
        <f t="shared" si="12"/>
        <v>7011.5000000000045</v>
      </c>
      <c r="J45" s="50">
        <f t="shared" si="12"/>
        <v>7011.5000000000045</v>
      </c>
      <c r="K45" s="50">
        <f t="shared" si="12"/>
        <v>6461.5000000000045</v>
      </c>
      <c r="L45" s="50">
        <f t="shared" si="12"/>
        <v>6424.1000000000049</v>
      </c>
      <c r="M45" s="50">
        <f t="shared" si="12"/>
        <v>6424.1000000000049</v>
      </c>
      <c r="N45" s="50">
        <f t="shared" si="12"/>
        <v>6385.9000000000051</v>
      </c>
      <c r="O45" s="50">
        <f t="shared" si="12"/>
        <v>6364.8000000000047</v>
      </c>
      <c r="P45" s="50">
        <f t="shared" si="12"/>
        <v>6324.8000000000047</v>
      </c>
      <c r="Q45" s="50">
        <f t="shared" si="12"/>
        <v>6324.8000000000047</v>
      </c>
      <c r="R45" s="50">
        <f t="shared" si="12"/>
        <v>6155.1300000000047</v>
      </c>
      <c r="S45" s="50">
        <f t="shared" si="12"/>
        <v>6149.1500000000051</v>
      </c>
      <c r="T45" s="50">
        <f t="shared" si="12"/>
        <v>6125.2500000000055</v>
      </c>
      <c r="U45" s="50">
        <f t="shared" si="12"/>
        <v>6048.7500000000055</v>
      </c>
      <c r="V45" s="50">
        <f t="shared" si="12"/>
        <v>6213.1700000000055</v>
      </c>
      <c r="W45" s="50">
        <f t="shared" si="12"/>
        <v>6193.2600000000057</v>
      </c>
      <c r="X45" s="50">
        <f t="shared" si="12"/>
        <v>6193.2600000000057</v>
      </c>
      <c r="Y45" s="50">
        <f t="shared" si="12"/>
        <v>6181.7300000000059</v>
      </c>
      <c r="Z45" s="50">
        <f t="shared" si="12"/>
        <v>6172.7300000000059</v>
      </c>
      <c r="AA45" s="73">
        <f t="shared" si="12"/>
        <v>6137.9500000000062</v>
      </c>
      <c r="AB45" s="50">
        <f t="shared" si="12"/>
        <v>6049.4100000000062</v>
      </c>
      <c r="AC45" s="50">
        <f t="shared" si="12"/>
        <v>6026.0700000000061</v>
      </c>
      <c r="AD45" s="50">
        <f t="shared" si="12"/>
        <v>6006.1600000000062</v>
      </c>
      <c r="AE45" s="50">
        <f t="shared" si="12"/>
        <v>5996.1600000000062</v>
      </c>
      <c r="AF45" s="50">
        <f t="shared" si="12"/>
        <v>5916.0700000000061</v>
      </c>
      <c r="AG45" s="50">
        <f t="shared" si="12"/>
        <v>5906.0700000000061</v>
      </c>
      <c r="AH45" s="50">
        <f t="shared" si="12"/>
        <v>5896.5700000000061</v>
      </c>
      <c r="AI45" s="50">
        <f t="shared" si="12"/>
        <v>5868.5700000000061</v>
      </c>
      <c r="AJ45" s="97"/>
    </row>
    <row r="46" spans="1:36" ht="15.75" customHeight="1" x14ac:dyDescent="0.25">
      <c r="A46" s="96"/>
      <c r="B46" s="117" t="s">
        <v>74</v>
      </c>
      <c r="C46" s="70"/>
      <c r="D46" s="70"/>
      <c r="E46" s="138">
        <f>SUM(E37:E44)</f>
        <v>8550.48</v>
      </c>
      <c r="F46" s="138"/>
      <c r="G46" s="138"/>
      <c r="H46" s="138"/>
      <c r="I46" s="138"/>
      <c r="J46" s="138"/>
      <c r="K46" s="138"/>
      <c r="L46" s="69"/>
      <c r="M46" s="69"/>
      <c r="N46" s="69"/>
      <c r="O46" s="69">
        <f>SUM(O37:O44)</f>
        <v>9686.65</v>
      </c>
      <c r="P46" s="71"/>
      <c r="Q46" s="71"/>
      <c r="R46" s="71"/>
      <c r="S46" s="71"/>
      <c r="T46" s="71"/>
      <c r="U46" s="69"/>
      <c r="V46" s="71"/>
      <c r="W46" s="71"/>
      <c r="X46" s="71"/>
      <c r="Y46" s="71">
        <f>SUM(Y37:Y44)</f>
        <v>9490.32</v>
      </c>
      <c r="Z46" s="71"/>
      <c r="AA46" s="1"/>
      <c r="AB46" s="71"/>
      <c r="AC46" s="71"/>
      <c r="AD46" s="71"/>
      <c r="AE46" s="71"/>
      <c r="AF46" s="71"/>
      <c r="AG46" s="71"/>
      <c r="AH46" s="71"/>
      <c r="AI46" s="71">
        <f>SUM(AI37:AI44)</f>
        <v>9231.32</v>
      </c>
      <c r="AJ46" s="97"/>
    </row>
    <row r="47" spans="1:36" ht="9" customHeight="1" x14ac:dyDescent="0.25">
      <c r="A47" s="96"/>
      <c r="B47" s="97"/>
      <c r="C47" s="127"/>
      <c r="D47" s="12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6"/>
    </row>
    <row r="48" spans="1:36" ht="15.7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2:37" ht="15.75" customHeight="1" x14ac:dyDescent="0.25">
      <c r="B49" s="1"/>
      <c r="C49" s="1"/>
      <c r="D49" s="1"/>
      <c r="K49" s="5"/>
      <c r="L49" s="5"/>
      <c r="M49" s="5"/>
      <c r="N49" s="128"/>
      <c r="O49" s="5"/>
      <c r="P49" s="5"/>
      <c r="Q49" s="5"/>
      <c r="R49" s="128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2:37" ht="15.75" customHeight="1" x14ac:dyDescent="0.25">
      <c r="B50" s="1"/>
      <c r="C50" s="1"/>
      <c r="D50" s="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2:37" ht="15.75" customHeight="1" x14ac:dyDescent="0.25">
      <c r="B51" s="1"/>
      <c r="C51" s="1"/>
      <c r="D51" s="1"/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K51" s="128"/>
    </row>
    <row r="52" spans="2:37" ht="15.75" customHeight="1" x14ac:dyDescent="0.25">
      <c r="B52" s="1"/>
      <c r="C52" s="1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</row>
    <row r="53" spans="2:37" ht="15.75" customHeight="1" x14ac:dyDescent="0.25">
      <c r="B53" s="1"/>
      <c r="C53" s="1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</row>
    <row r="54" spans="2:37" ht="15.75" customHeight="1" x14ac:dyDescent="0.25"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2:37" ht="15.75" customHeight="1" x14ac:dyDescent="0.25">
      <c r="I55" s="1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</row>
    <row r="56" spans="2:37" ht="15.75" customHeight="1" x14ac:dyDescent="0.25"/>
    <row r="57" spans="2:37" ht="15.75" customHeight="1" x14ac:dyDescent="0.25"/>
    <row r="58" spans="2:37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2:37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7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2:37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2:37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2:37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2:37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2:35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2:35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2:35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2:35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2:35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2:35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2:35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2:35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2:35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2:35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2:35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2:35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2:35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2:35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2:35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2:35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2:35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2:35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2:35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2:35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2:35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2:35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2:35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2:35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2:35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2:35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2:35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2:35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2:35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2:35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2:35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2:35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2:35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2:35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2:35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2:35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2:35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2:35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2:35" ht="15.7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2:35" ht="15.75" customHeight="1" x14ac:dyDescent="0.25"/>
    <row r="248" spans="2:35" ht="15.75" customHeight="1" x14ac:dyDescent="0.25"/>
    <row r="249" spans="2:35" ht="15.75" customHeight="1" x14ac:dyDescent="0.25"/>
    <row r="250" spans="2:35" ht="15.75" customHeight="1" x14ac:dyDescent="0.25"/>
    <row r="251" spans="2:35" ht="15.75" customHeight="1" x14ac:dyDescent="0.25"/>
    <row r="252" spans="2:35" ht="15.75" customHeight="1" x14ac:dyDescent="0.25"/>
    <row r="253" spans="2:35" ht="15.75" customHeight="1" x14ac:dyDescent="0.25"/>
    <row r="254" spans="2:35" ht="15.75" customHeight="1" x14ac:dyDescent="0.25"/>
    <row r="255" spans="2:35" ht="15.75" customHeight="1" x14ac:dyDescent="0.25"/>
    <row r="256" spans="2:3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17" priority="1" operator="lessThan">
      <formula>0</formula>
    </cfRule>
  </conditionalFormatting>
  <conditionalFormatting sqref="C4">
    <cfRule type="cellIs" dxfId="116" priority="2" operator="greaterThan">
      <formula>0</formula>
    </cfRule>
  </conditionalFormatting>
  <conditionalFormatting sqref="C4">
    <cfRule type="cellIs" dxfId="115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1001"/>
  <sheetViews>
    <sheetView showGridLines="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29" sqref="C29:D29"/>
    </sheetView>
  </sheetViews>
  <sheetFormatPr defaultColWidth="14.42578125" defaultRowHeight="15" customHeight="1" x14ac:dyDescent="0.25"/>
  <cols>
    <col min="1" max="1" width="1.7109375" customWidth="1"/>
    <col min="2" max="2" width="18.42578125" customWidth="1"/>
    <col min="3" max="3" width="10.42578125" customWidth="1"/>
    <col min="4" max="4" width="7.5703125" customWidth="1"/>
    <col min="5" max="5" width="8.7109375" customWidth="1"/>
    <col min="6" max="34" width="10.42578125" customWidth="1"/>
    <col min="35" max="35" width="1.85546875" customWidth="1"/>
    <col min="36" max="36" width="14.42578125" customWidth="1"/>
    <col min="37" max="37" width="5.5703125" customWidth="1"/>
    <col min="38" max="38" width="5.7109375" customWidth="1"/>
  </cols>
  <sheetData>
    <row r="1" spans="1:38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</row>
    <row r="2" spans="1:38" x14ac:dyDescent="0.25">
      <c r="A2" s="96"/>
      <c r="B2" s="74" t="s">
        <v>45</v>
      </c>
      <c r="C2" s="75">
        <f>SUM(C8:C31)</f>
        <v>-2153.8416666666667</v>
      </c>
      <c r="D2" s="12"/>
      <c r="E2" s="48">
        <f t="shared" ref="E2:AH2" si="0">E6/$C$2</f>
        <v>1.4453244396640112E-2</v>
      </c>
      <c r="F2" s="48">
        <f t="shared" si="0"/>
        <v>1.4713244938307907E-2</v>
      </c>
      <c r="G2" s="48">
        <f t="shared" si="0"/>
        <v>7.9346593876832485E-3</v>
      </c>
      <c r="H2" s="48">
        <f t="shared" si="0"/>
        <v>0</v>
      </c>
      <c r="I2" s="48">
        <f t="shared" si="0"/>
        <v>2.5048266469602766E-2</v>
      </c>
      <c r="J2" s="48">
        <f t="shared" si="0"/>
        <v>1.1361095097519548E-2</v>
      </c>
      <c r="K2" s="48">
        <f t="shared" si="0"/>
        <v>1.9212182882523861E-2</v>
      </c>
      <c r="L2" s="48">
        <f t="shared" si="0"/>
        <v>1.2489311733685159E-2</v>
      </c>
      <c r="M2" s="48">
        <f t="shared" si="0"/>
        <v>0.28496059366790344</v>
      </c>
      <c r="N2" s="48">
        <f t="shared" si="0"/>
        <v>1.1551452636954897E-2</v>
      </c>
      <c r="O2" s="48">
        <f t="shared" si="0"/>
        <v>1.6881463741144697E-2</v>
      </c>
      <c r="P2" s="48">
        <f t="shared" si="0"/>
        <v>9.1882334278672595E-3</v>
      </c>
      <c r="Q2" s="48">
        <f t="shared" si="0"/>
        <v>1.6946463876561647E-3</v>
      </c>
      <c r="R2" s="48">
        <f t="shared" si="0"/>
        <v>4.4107234747215243E-3</v>
      </c>
      <c r="S2" s="48">
        <f t="shared" si="0"/>
        <v>9.499305504505515E-3</v>
      </c>
      <c r="T2" s="48">
        <f t="shared" si="0"/>
        <v>2.9612204549235667E-2</v>
      </c>
      <c r="U2" s="48">
        <f t="shared" si="0"/>
        <v>4.9302602713755653E-2</v>
      </c>
      <c r="V2" s="48">
        <f t="shared" si="0"/>
        <v>8.5846607418527364E-3</v>
      </c>
      <c r="W2" s="48">
        <f t="shared" si="0"/>
        <v>1.3450385164492902E-2</v>
      </c>
      <c r="X2" s="48">
        <f t="shared" si="0"/>
        <v>7.1964435640193298E-3</v>
      </c>
      <c r="Y2" s="48">
        <f t="shared" si="0"/>
        <v>0</v>
      </c>
      <c r="Z2" s="48">
        <f t="shared" si="0"/>
        <v>0</v>
      </c>
      <c r="AA2" s="48">
        <f t="shared" si="0"/>
        <v>2.6566483918270066E-2</v>
      </c>
      <c r="AB2" s="48">
        <f t="shared" si="0"/>
        <v>2.7374342744166433E-2</v>
      </c>
      <c r="AC2" s="48">
        <f t="shared" si="0"/>
        <v>5.5714401785956101E-3</v>
      </c>
      <c r="AD2" s="48">
        <f t="shared" si="0"/>
        <v>0.11312344995956837</v>
      </c>
      <c r="AE2" s="48">
        <f t="shared" si="0"/>
        <v>6.2887631015897949E-2</v>
      </c>
      <c r="AF2" s="48">
        <f t="shared" si="0"/>
        <v>1.7039321212871574E-2</v>
      </c>
      <c r="AG2" s="48">
        <f t="shared" si="0"/>
        <v>1.1467881034275963E-2</v>
      </c>
      <c r="AH2" s="48">
        <f t="shared" si="0"/>
        <v>6.4535848735399151E-2</v>
      </c>
      <c r="AI2" s="97"/>
    </row>
    <row r="3" spans="1:38" hidden="1" x14ac:dyDescent="0.25">
      <c r="A3" s="96"/>
      <c r="B3" s="76"/>
      <c r="C3" s="77"/>
      <c r="D3" s="1"/>
      <c r="E3" s="55" t="str">
        <f t="shared" ref="E3:AH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96"/>
      <c r="AK3" s="78" t="s">
        <v>0</v>
      </c>
      <c r="AL3" s="1" t="s">
        <v>64</v>
      </c>
    </row>
    <row r="4" spans="1:38" x14ac:dyDescent="0.25">
      <c r="A4" s="96"/>
      <c r="B4" s="79" t="s">
        <v>47</v>
      </c>
      <c r="C4" s="102">
        <f>C33+C2</f>
        <v>63.158333333333303</v>
      </c>
      <c r="D4" s="104" t="s">
        <v>7</v>
      </c>
      <c r="E4" s="105" t="str">
        <f t="shared" ref="E4:AH4" si="2">TEXT(E5,"ddd")</f>
        <v>Sun</v>
      </c>
      <c r="F4" s="105" t="str">
        <f t="shared" si="2"/>
        <v>Mon</v>
      </c>
      <c r="G4" s="105" t="str">
        <f t="shared" si="2"/>
        <v>Tue</v>
      </c>
      <c r="H4" s="105" t="str">
        <f t="shared" si="2"/>
        <v>Wed</v>
      </c>
      <c r="I4" s="105" t="str">
        <f t="shared" si="2"/>
        <v>Thu</v>
      </c>
      <c r="J4" s="105" t="str">
        <f t="shared" si="2"/>
        <v>Fri</v>
      </c>
      <c r="K4" s="105" t="str">
        <f t="shared" si="2"/>
        <v>Sat</v>
      </c>
      <c r="L4" s="105" t="str">
        <f t="shared" si="2"/>
        <v>Sun</v>
      </c>
      <c r="M4" s="105" t="str">
        <f t="shared" si="2"/>
        <v>Mon</v>
      </c>
      <c r="N4" s="105" t="str">
        <f t="shared" si="2"/>
        <v>Tue</v>
      </c>
      <c r="O4" s="105" t="str">
        <f t="shared" si="2"/>
        <v>Wed</v>
      </c>
      <c r="P4" s="105" t="str">
        <f t="shared" si="2"/>
        <v>Thu</v>
      </c>
      <c r="Q4" s="105" t="str">
        <f t="shared" si="2"/>
        <v>Fri</v>
      </c>
      <c r="R4" s="105" t="str">
        <f t="shared" si="2"/>
        <v>Sat</v>
      </c>
      <c r="S4" s="105" t="str">
        <f t="shared" si="2"/>
        <v>Sun</v>
      </c>
      <c r="T4" s="105" t="str">
        <f t="shared" si="2"/>
        <v>Mon</v>
      </c>
      <c r="U4" s="105" t="str">
        <f t="shared" si="2"/>
        <v>Tue</v>
      </c>
      <c r="V4" s="105" t="str">
        <f t="shared" si="2"/>
        <v>Wed</v>
      </c>
      <c r="W4" s="105" t="str">
        <f t="shared" si="2"/>
        <v>Thu</v>
      </c>
      <c r="X4" s="105" t="str">
        <f t="shared" si="2"/>
        <v>Fri</v>
      </c>
      <c r="Y4" s="105" t="str">
        <f t="shared" si="2"/>
        <v>Sat</v>
      </c>
      <c r="Z4" s="105" t="str">
        <f t="shared" si="2"/>
        <v>Sun</v>
      </c>
      <c r="AA4" s="105" t="str">
        <f t="shared" si="2"/>
        <v>Mon</v>
      </c>
      <c r="AB4" s="105" t="str">
        <f t="shared" si="2"/>
        <v>Tue</v>
      </c>
      <c r="AC4" s="105" t="str">
        <f t="shared" si="2"/>
        <v>Wed</v>
      </c>
      <c r="AD4" s="105" t="str">
        <f t="shared" si="2"/>
        <v>Thu</v>
      </c>
      <c r="AE4" s="105" t="str">
        <f t="shared" si="2"/>
        <v>Fri</v>
      </c>
      <c r="AF4" s="105" t="str">
        <f t="shared" si="2"/>
        <v>Sat</v>
      </c>
      <c r="AG4" s="105" t="str">
        <f t="shared" si="2"/>
        <v>Sun</v>
      </c>
      <c r="AH4" s="105" t="str">
        <f t="shared" si="2"/>
        <v>Mon</v>
      </c>
      <c r="AI4" s="96"/>
      <c r="AK4" s="78">
        <v>2019</v>
      </c>
      <c r="AL4" s="56">
        <f ca="1">TODAY()</f>
        <v>43926</v>
      </c>
    </row>
    <row r="5" spans="1:38" x14ac:dyDescent="0.25">
      <c r="A5" s="96"/>
      <c r="B5" s="81" t="s">
        <v>51</v>
      </c>
      <c r="C5" s="108">
        <f>C4/C33</f>
        <v>2.8488197263569374E-2</v>
      </c>
      <c r="D5" s="109"/>
      <c r="E5" s="111">
        <f>DATE($AK$4,$AK$6,1)</f>
        <v>43709</v>
      </c>
      <c r="F5" s="111">
        <f t="shared" ref="F5:AH5" si="3">E5+1</f>
        <v>43710</v>
      </c>
      <c r="G5" s="111">
        <f t="shared" si="3"/>
        <v>43711</v>
      </c>
      <c r="H5" s="111">
        <f t="shared" si="3"/>
        <v>43712</v>
      </c>
      <c r="I5" s="111">
        <f t="shared" si="3"/>
        <v>43713</v>
      </c>
      <c r="J5" s="111">
        <f t="shared" si="3"/>
        <v>43714</v>
      </c>
      <c r="K5" s="111">
        <f t="shared" si="3"/>
        <v>43715</v>
      </c>
      <c r="L5" s="111">
        <f t="shared" si="3"/>
        <v>43716</v>
      </c>
      <c r="M5" s="111">
        <f t="shared" si="3"/>
        <v>43717</v>
      </c>
      <c r="N5" s="111">
        <f t="shared" si="3"/>
        <v>43718</v>
      </c>
      <c r="O5" s="111">
        <f t="shared" si="3"/>
        <v>43719</v>
      </c>
      <c r="P5" s="111">
        <f t="shared" si="3"/>
        <v>43720</v>
      </c>
      <c r="Q5" s="111">
        <f t="shared" si="3"/>
        <v>43721</v>
      </c>
      <c r="R5" s="111">
        <f t="shared" si="3"/>
        <v>43722</v>
      </c>
      <c r="S5" s="111">
        <f t="shared" si="3"/>
        <v>43723</v>
      </c>
      <c r="T5" s="111">
        <f t="shared" si="3"/>
        <v>43724</v>
      </c>
      <c r="U5" s="111">
        <f t="shared" si="3"/>
        <v>43725</v>
      </c>
      <c r="V5" s="111">
        <f t="shared" si="3"/>
        <v>43726</v>
      </c>
      <c r="W5" s="111">
        <f t="shared" si="3"/>
        <v>43727</v>
      </c>
      <c r="X5" s="111">
        <f t="shared" si="3"/>
        <v>43728</v>
      </c>
      <c r="Y5" s="111">
        <f t="shared" si="3"/>
        <v>43729</v>
      </c>
      <c r="Z5" s="111">
        <f t="shared" si="3"/>
        <v>43730</v>
      </c>
      <c r="AA5" s="111">
        <f t="shared" si="3"/>
        <v>43731</v>
      </c>
      <c r="AB5" s="111">
        <f t="shared" si="3"/>
        <v>43732</v>
      </c>
      <c r="AC5" s="111">
        <f t="shared" si="3"/>
        <v>43733</v>
      </c>
      <c r="AD5" s="111">
        <f t="shared" si="3"/>
        <v>43734</v>
      </c>
      <c r="AE5" s="111">
        <f t="shared" si="3"/>
        <v>43735</v>
      </c>
      <c r="AF5" s="111">
        <f t="shared" si="3"/>
        <v>43736</v>
      </c>
      <c r="AG5" s="111">
        <f t="shared" si="3"/>
        <v>43737</v>
      </c>
      <c r="AH5" s="111">
        <f t="shared" si="3"/>
        <v>43738</v>
      </c>
      <c r="AI5" s="96"/>
      <c r="AK5" s="78" t="s">
        <v>1</v>
      </c>
      <c r="AL5" s="1" t="str">
        <f ca="1">IF(V5=AL4,"sim","não")</f>
        <v>não</v>
      </c>
    </row>
    <row r="6" spans="1:38" x14ac:dyDescent="0.25">
      <c r="A6" s="96"/>
      <c r="B6" s="83"/>
      <c r="C6" s="15" t="s">
        <v>62</v>
      </c>
      <c r="D6" s="113">
        <f>SUM(D8:D31)</f>
        <v>1</v>
      </c>
      <c r="E6" s="114">
        <f t="shared" ref="E6:AH6" si="4">SUM(E7:E31)</f>
        <v>-31.13</v>
      </c>
      <c r="F6" s="114">
        <f t="shared" si="4"/>
        <v>-31.69</v>
      </c>
      <c r="G6" s="114">
        <f t="shared" si="4"/>
        <v>-17.09</v>
      </c>
      <c r="H6" s="114">
        <f t="shared" si="4"/>
        <v>0</v>
      </c>
      <c r="I6" s="114">
        <f t="shared" si="4"/>
        <v>-53.95</v>
      </c>
      <c r="J6" s="114">
        <f t="shared" si="4"/>
        <v>-24.47</v>
      </c>
      <c r="K6" s="114">
        <f t="shared" si="4"/>
        <v>-41.379999999999995</v>
      </c>
      <c r="L6" s="114">
        <f t="shared" si="4"/>
        <v>-26.9</v>
      </c>
      <c r="M6" s="114">
        <f t="shared" si="4"/>
        <v>-613.76</v>
      </c>
      <c r="N6" s="114">
        <f t="shared" si="4"/>
        <v>-24.88</v>
      </c>
      <c r="O6" s="114">
        <f t="shared" si="4"/>
        <v>-36.36</v>
      </c>
      <c r="P6" s="114">
        <f t="shared" si="4"/>
        <v>-19.79</v>
      </c>
      <c r="Q6" s="114">
        <f t="shared" si="4"/>
        <v>-3.65</v>
      </c>
      <c r="R6" s="114">
        <f t="shared" si="4"/>
        <v>-9.5</v>
      </c>
      <c r="S6" s="114">
        <f t="shared" si="4"/>
        <v>-20.46</v>
      </c>
      <c r="T6" s="114">
        <f t="shared" si="4"/>
        <v>-63.78</v>
      </c>
      <c r="U6" s="114">
        <f t="shared" si="4"/>
        <v>-106.19</v>
      </c>
      <c r="V6" s="114">
        <f t="shared" si="4"/>
        <v>-18.490000000000002</v>
      </c>
      <c r="W6" s="114">
        <f t="shared" si="4"/>
        <v>-28.970000000000002</v>
      </c>
      <c r="X6" s="114">
        <f t="shared" si="4"/>
        <v>-15.5</v>
      </c>
      <c r="Y6" s="114">
        <f t="shared" si="4"/>
        <v>0</v>
      </c>
      <c r="Z6" s="114">
        <f t="shared" si="4"/>
        <v>0</v>
      </c>
      <c r="AA6" s="114">
        <f t="shared" si="4"/>
        <v>-57.22</v>
      </c>
      <c r="AB6" s="114">
        <f t="shared" si="4"/>
        <v>-58.96</v>
      </c>
      <c r="AC6" s="114">
        <f t="shared" si="4"/>
        <v>-12</v>
      </c>
      <c r="AD6" s="114">
        <f t="shared" si="4"/>
        <v>-243.65</v>
      </c>
      <c r="AE6" s="114">
        <f t="shared" si="4"/>
        <v>-135.44999999999999</v>
      </c>
      <c r="AF6" s="114">
        <f t="shared" si="4"/>
        <v>-36.700000000000003</v>
      </c>
      <c r="AG6" s="114">
        <f t="shared" si="4"/>
        <v>-24.7</v>
      </c>
      <c r="AH6" s="114">
        <f t="shared" si="4"/>
        <v>-139</v>
      </c>
      <c r="AI6" s="96"/>
      <c r="AK6" s="78">
        <v>9</v>
      </c>
      <c r="AL6" s="1"/>
    </row>
    <row r="7" spans="1:38" x14ac:dyDescent="0.25">
      <c r="A7" s="96"/>
      <c r="B7" s="86" t="s">
        <v>90</v>
      </c>
      <c r="C7" s="87">
        <f t="shared" ref="C7:C32" si="5">SUM(E7:AH7)</f>
        <v>0</v>
      </c>
      <c r="D7" s="91" t="s">
        <v>66</v>
      </c>
      <c r="E7" s="92" t="s">
        <v>66</v>
      </c>
      <c r="F7" s="92" t="s">
        <v>66</v>
      </c>
      <c r="G7" s="92" t="s">
        <v>66</v>
      </c>
      <c r="H7" s="92" t="s">
        <v>66</v>
      </c>
      <c r="I7" s="92" t="s">
        <v>66</v>
      </c>
      <c r="J7" s="92" t="s">
        <v>66</v>
      </c>
      <c r="K7" s="92" t="s">
        <v>66</v>
      </c>
      <c r="L7" s="92" t="s">
        <v>66</v>
      </c>
      <c r="M7" s="92" t="s">
        <v>66</v>
      </c>
      <c r="N7" s="92" t="s">
        <v>66</v>
      </c>
      <c r="O7" s="92" t="s">
        <v>66</v>
      </c>
      <c r="P7" s="92" t="s">
        <v>66</v>
      </c>
      <c r="Q7" s="92" t="s">
        <v>66</v>
      </c>
      <c r="R7" s="92" t="s">
        <v>66</v>
      </c>
      <c r="S7" s="92" t="s">
        <v>66</v>
      </c>
      <c r="T7" s="92" t="s">
        <v>66</v>
      </c>
      <c r="U7" s="92" t="s">
        <v>66</v>
      </c>
      <c r="V7" s="92" t="s">
        <v>66</v>
      </c>
      <c r="W7" s="92" t="s">
        <v>66</v>
      </c>
      <c r="X7" s="92" t="s">
        <v>66</v>
      </c>
      <c r="Y7" s="92" t="s">
        <v>66</v>
      </c>
      <c r="Z7" s="92" t="s">
        <v>66</v>
      </c>
      <c r="AA7" s="92" t="s">
        <v>66</v>
      </c>
      <c r="AB7" s="92" t="s">
        <v>66</v>
      </c>
      <c r="AC7" s="92" t="s">
        <v>66</v>
      </c>
      <c r="AD7" s="92" t="s">
        <v>66</v>
      </c>
      <c r="AE7" s="92" t="s">
        <v>66</v>
      </c>
      <c r="AF7" s="92" t="s">
        <v>66</v>
      </c>
      <c r="AG7" s="92" t="s">
        <v>66</v>
      </c>
      <c r="AH7" s="92" t="s">
        <v>66</v>
      </c>
      <c r="AI7" s="96" t="s">
        <v>66</v>
      </c>
      <c r="AK7" s="78"/>
      <c r="AL7" s="1"/>
    </row>
    <row r="8" spans="1:38" x14ac:dyDescent="0.25">
      <c r="A8" s="96"/>
      <c r="B8" s="86" t="s">
        <v>20</v>
      </c>
      <c r="C8" s="87">
        <f t="shared" si="5"/>
        <v>-268.51000000000005</v>
      </c>
      <c r="D8" s="88">
        <f t="shared" ref="D8:D32" si="6">C8/$C$2</f>
        <v>0.12466561686289229</v>
      </c>
      <c r="E8" s="89" t="s">
        <v>66</v>
      </c>
      <c r="F8" s="89">
        <f>-14.98-9.9</f>
        <v>-24.880000000000003</v>
      </c>
      <c r="G8" s="89" t="s">
        <v>66</v>
      </c>
      <c r="H8" s="89" t="s">
        <v>66</v>
      </c>
      <c r="I8" s="89">
        <v>-13.45</v>
      </c>
      <c r="J8" s="89" t="s">
        <v>66</v>
      </c>
      <c r="K8" s="89" t="s">
        <v>66</v>
      </c>
      <c r="L8" s="89" t="s">
        <v>66</v>
      </c>
      <c r="M8" s="89">
        <v>-54.76</v>
      </c>
      <c r="N8" s="89" t="s">
        <v>66</v>
      </c>
      <c r="O8" s="89">
        <v>-7.9</v>
      </c>
      <c r="P8" s="89" t="s">
        <v>66</v>
      </c>
      <c r="Q8" s="89" t="s">
        <v>66</v>
      </c>
      <c r="R8" s="89" t="s">
        <v>66</v>
      </c>
      <c r="S8" s="89" t="s">
        <v>66</v>
      </c>
      <c r="T8" s="89">
        <f>-54.92+24</f>
        <v>-30.92</v>
      </c>
      <c r="U8" s="89">
        <v>-19.91</v>
      </c>
      <c r="V8" s="89">
        <v>-5</v>
      </c>
      <c r="W8" s="89">
        <v>-9.8000000000000007</v>
      </c>
      <c r="X8" s="89" t="s">
        <v>66</v>
      </c>
      <c r="Y8" s="89" t="s">
        <v>66</v>
      </c>
      <c r="Z8" s="89" t="s">
        <v>66</v>
      </c>
      <c r="AA8" s="89">
        <f>-16-13.9</f>
        <v>-29.9</v>
      </c>
      <c r="AB8" s="89" t="s">
        <v>66</v>
      </c>
      <c r="AC8" s="89" t="s">
        <v>66</v>
      </c>
      <c r="AD8" s="89" t="s">
        <v>66</v>
      </c>
      <c r="AE8" s="89">
        <f>-66-5.99</f>
        <v>-71.989999999999995</v>
      </c>
      <c r="AF8" s="89" t="s">
        <v>66</v>
      </c>
      <c r="AG8" s="89" t="s">
        <v>66</v>
      </c>
      <c r="AH8" s="89" t="s">
        <v>66</v>
      </c>
      <c r="AI8" s="96" t="s">
        <v>66</v>
      </c>
    </row>
    <row r="9" spans="1:38" x14ac:dyDescent="0.25">
      <c r="A9" s="96"/>
      <c r="B9" s="86" t="s">
        <v>21</v>
      </c>
      <c r="C9" s="87">
        <f t="shared" si="5"/>
        <v>-13.45</v>
      </c>
      <c r="D9" s="91">
        <f t="shared" si="6"/>
        <v>6.2446558668425795E-3</v>
      </c>
      <c r="E9" s="92" t="s">
        <v>66</v>
      </c>
      <c r="F9" s="92" t="s">
        <v>66</v>
      </c>
      <c r="G9" s="92" t="s">
        <v>66</v>
      </c>
      <c r="H9" s="92" t="s">
        <v>66</v>
      </c>
      <c r="I9" s="92" t="s">
        <v>66</v>
      </c>
      <c r="J9" s="92" t="s">
        <v>66</v>
      </c>
      <c r="K9" s="92">
        <v>-13.45</v>
      </c>
      <c r="L9" s="92" t="s">
        <v>66</v>
      </c>
      <c r="M9" s="92" t="s">
        <v>66</v>
      </c>
      <c r="N9" s="92" t="s">
        <v>66</v>
      </c>
      <c r="O9" s="92" t="s">
        <v>66</v>
      </c>
      <c r="P9" s="92" t="s">
        <v>66</v>
      </c>
      <c r="Q9" s="92" t="s">
        <v>66</v>
      </c>
      <c r="R9" s="92" t="s">
        <v>66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 t="s">
        <v>66</v>
      </c>
      <c r="Z9" s="92" t="s">
        <v>66</v>
      </c>
      <c r="AA9" s="92" t="s">
        <v>66</v>
      </c>
      <c r="AB9" s="92" t="s">
        <v>66</v>
      </c>
      <c r="AC9" s="92" t="s">
        <v>66</v>
      </c>
      <c r="AD9" s="92" t="s">
        <v>66</v>
      </c>
      <c r="AE9" s="92" t="s">
        <v>66</v>
      </c>
      <c r="AF9" s="92" t="s">
        <v>66</v>
      </c>
      <c r="AG9" s="92" t="s">
        <v>66</v>
      </c>
      <c r="AH9" s="92" t="s">
        <v>66</v>
      </c>
      <c r="AI9" s="96" t="s">
        <v>66</v>
      </c>
      <c r="AK9" s="54"/>
    </row>
    <row r="10" spans="1:38" x14ac:dyDescent="0.25">
      <c r="A10" s="96"/>
      <c r="B10" s="86" t="s">
        <v>91</v>
      </c>
      <c r="C10" s="87">
        <f t="shared" si="5"/>
        <v>-8.5</v>
      </c>
      <c r="D10" s="93">
        <f t="shared" si="6"/>
        <v>3.9464367931718904E-3</v>
      </c>
      <c r="E10" s="94" t="s">
        <v>66</v>
      </c>
      <c r="F10" s="94" t="s">
        <v>66</v>
      </c>
      <c r="G10" s="94" t="s">
        <v>66</v>
      </c>
      <c r="H10" s="94" t="s">
        <v>66</v>
      </c>
      <c r="I10" s="94" t="s">
        <v>66</v>
      </c>
      <c r="J10" s="94" t="s">
        <v>66</v>
      </c>
      <c r="K10" s="94" t="s">
        <v>66</v>
      </c>
      <c r="L10" s="94" t="s">
        <v>66</v>
      </c>
      <c r="M10" s="94" t="s">
        <v>66</v>
      </c>
      <c r="N10" s="94" t="s">
        <v>66</v>
      </c>
      <c r="O10" s="94" t="s">
        <v>66</v>
      </c>
      <c r="P10" s="94">
        <f>-1-2</f>
        <v>-3</v>
      </c>
      <c r="Q10" s="94" t="s">
        <v>66</v>
      </c>
      <c r="R10" s="94" t="s">
        <v>66</v>
      </c>
      <c r="S10" s="94" t="s">
        <v>66</v>
      </c>
      <c r="T10" s="94" t="s">
        <v>66</v>
      </c>
      <c r="U10" s="94" t="s">
        <v>66</v>
      </c>
      <c r="V10" s="94" t="s">
        <v>66</v>
      </c>
      <c r="W10" s="94" t="s">
        <v>66</v>
      </c>
      <c r="X10" s="94" t="s">
        <v>66</v>
      </c>
      <c r="Y10" s="94" t="s">
        <v>66</v>
      </c>
      <c r="Z10" s="94" t="s">
        <v>66</v>
      </c>
      <c r="AA10" s="94">
        <v>-1.5</v>
      </c>
      <c r="AB10" s="94" t="s">
        <v>66</v>
      </c>
      <c r="AC10" s="94" t="s">
        <v>66</v>
      </c>
      <c r="AD10" s="94" t="s">
        <v>66</v>
      </c>
      <c r="AE10" s="94" t="s">
        <v>66</v>
      </c>
      <c r="AF10" s="94" t="s">
        <v>66</v>
      </c>
      <c r="AG10" s="94">
        <v>-4</v>
      </c>
      <c r="AH10" s="94" t="s">
        <v>66</v>
      </c>
      <c r="AI10" s="96" t="s">
        <v>66</v>
      </c>
      <c r="AK10" s="54"/>
    </row>
    <row r="11" spans="1:38" x14ac:dyDescent="0.25">
      <c r="A11" s="96"/>
      <c r="B11" s="86" t="s">
        <v>22</v>
      </c>
      <c r="C11" s="87">
        <f t="shared" si="5"/>
        <v>-64.760000000000005</v>
      </c>
      <c r="D11" s="91">
        <f t="shared" si="6"/>
        <v>3.006720549715431E-2</v>
      </c>
      <c r="E11" s="92" t="s">
        <v>66</v>
      </c>
      <c r="F11" s="92" t="s">
        <v>66</v>
      </c>
      <c r="G11" s="92">
        <v>-5.5</v>
      </c>
      <c r="H11" s="92" t="s">
        <v>66</v>
      </c>
      <c r="I11" s="92" t="s">
        <v>66</v>
      </c>
      <c r="J11" s="92">
        <f>-5.5-5.98</f>
        <v>-11.48</v>
      </c>
      <c r="K11" s="92">
        <v>-5</v>
      </c>
      <c r="L11" s="92" t="s">
        <v>66</v>
      </c>
      <c r="M11" s="92" t="s">
        <v>66</v>
      </c>
      <c r="N11" s="92">
        <v>-5.98</v>
      </c>
      <c r="O11" s="92" t="s">
        <v>66</v>
      </c>
      <c r="P11" s="92">
        <v>-10.3</v>
      </c>
      <c r="Q11" s="92" t="s">
        <v>66</v>
      </c>
      <c r="R11" s="92" t="s">
        <v>66</v>
      </c>
      <c r="S11" s="92" t="s">
        <v>66</v>
      </c>
      <c r="T11" s="92">
        <v>-10.5</v>
      </c>
      <c r="U11" s="92" t="s">
        <v>66</v>
      </c>
      <c r="V11" s="92" t="s">
        <v>66</v>
      </c>
      <c r="W11" s="92" t="s">
        <v>66</v>
      </c>
      <c r="X11" s="92" t="s">
        <v>66</v>
      </c>
      <c r="Y11" s="92" t="s">
        <v>66</v>
      </c>
      <c r="Z11" s="92" t="s">
        <v>66</v>
      </c>
      <c r="AA11" s="92" t="s">
        <v>66</v>
      </c>
      <c r="AB11" s="92" t="s">
        <v>66</v>
      </c>
      <c r="AC11" s="92" t="s">
        <v>66</v>
      </c>
      <c r="AD11" s="92">
        <v>-5.5</v>
      </c>
      <c r="AE11" s="92">
        <v>-5</v>
      </c>
      <c r="AF11" s="92" t="s">
        <v>66</v>
      </c>
      <c r="AG11" s="92">
        <v>-1.5</v>
      </c>
      <c r="AH11" s="92">
        <v>-4</v>
      </c>
      <c r="AI11" s="96" t="s">
        <v>66</v>
      </c>
      <c r="AK11" s="54"/>
    </row>
    <row r="12" spans="1:38" x14ac:dyDescent="0.25">
      <c r="A12" s="96"/>
      <c r="B12" s="86" t="s">
        <v>23</v>
      </c>
      <c r="C12" s="87">
        <f t="shared" si="5"/>
        <v>-14.99</v>
      </c>
      <c r="D12" s="93">
        <f t="shared" si="6"/>
        <v>6.9596573564290167E-3</v>
      </c>
      <c r="E12" s="94" t="s">
        <v>66</v>
      </c>
      <c r="F12" s="94" t="s">
        <v>66</v>
      </c>
      <c r="G12" s="94" t="s">
        <v>66</v>
      </c>
      <c r="H12" s="94" t="s">
        <v>66</v>
      </c>
      <c r="I12" s="94" t="s">
        <v>66</v>
      </c>
      <c r="J12" s="94">
        <v>-5</v>
      </c>
      <c r="K12" s="94">
        <v>-1.99</v>
      </c>
      <c r="L12" s="94" t="s">
        <v>66</v>
      </c>
      <c r="M12" s="94" t="s">
        <v>66</v>
      </c>
      <c r="N12" s="94" t="s">
        <v>66</v>
      </c>
      <c r="O12" s="94" t="s">
        <v>66</v>
      </c>
      <c r="P12" s="94" t="s">
        <v>66</v>
      </c>
      <c r="Q12" s="94" t="s">
        <v>66</v>
      </c>
      <c r="R12" s="94" t="s">
        <v>66</v>
      </c>
      <c r="S12" s="94" t="s">
        <v>66</v>
      </c>
      <c r="T12" s="94" t="s">
        <v>66</v>
      </c>
      <c r="U12" s="94" t="s">
        <v>66</v>
      </c>
      <c r="V12" s="94">
        <v>-5</v>
      </c>
      <c r="W12" s="94" t="s">
        <v>66</v>
      </c>
      <c r="X12" s="94" t="s">
        <v>66</v>
      </c>
      <c r="Y12" s="94" t="s">
        <v>66</v>
      </c>
      <c r="Z12" s="94" t="s">
        <v>66</v>
      </c>
      <c r="AA12" s="94">
        <v>-2</v>
      </c>
      <c r="AB12" s="94" t="s">
        <v>66</v>
      </c>
      <c r="AC12" s="94" t="s">
        <v>66</v>
      </c>
      <c r="AD12" s="94">
        <v>-1</v>
      </c>
      <c r="AE12" s="94" t="s">
        <v>66</v>
      </c>
      <c r="AF12" s="94" t="s">
        <v>66</v>
      </c>
      <c r="AG12" s="94" t="s">
        <v>66</v>
      </c>
      <c r="AH12" s="94" t="s">
        <v>66</v>
      </c>
      <c r="AI12" s="96" t="s">
        <v>66</v>
      </c>
    </row>
    <row r="13" spans="1:38" x14ac:dyDescent="0.25">
      <c r="A13" s="96"/>
      <c r="B13" s="86" t="s">
        <v>81</v>
      </c>
      <c r="C13" s="87">
        <f t="shared" si="5"/>
        <v>-27.3</v>
      </c>
      <c r="D13" s="91">
        <f t="shared" si="6"/>
        <v>1.2675026406305013E-2</v>
      </c>
      <c r="E13" s="92" t="s">
        <v>66</v>
      </c>
      <c r="F13" s="92" t="s">
        <v>66</v>
      </c>
      <c r="G13" s="92" t="s">
        <v>66</v>
      </c>
      <c r="H13" s="92" t="s">
        <v>66</v>
      </c>
      <c r="I13" s="92">
        <f>-25-10-10+17.7</f>
        <v>-27.3</v>
      </c>
      <c r="J13" s="92" t="s">
        <v>66</v>
      </c>
      <c r="K13" s="92" t="s">
        <v>66</v>
      </c>
      <c r="L13" s="92" t="s">
        <v>66</v>
      </c>
      <c r="M13" s="92" t="s">
        <v>66</v>
      </c>
      <c r="N13" s="92" t="s">
        <v>66</v>
      </c>
      <c r="O13" s="92" t="s">
        <v>66</v>
      </c>
      <c r="P13" s="92" t="s">
        <v>66</v>
      </c>
      <c r="Q13" s="92" t="s">
        <v>66</v>
      </c>
      <c r="R13" s="92" t="s">
        <v>66</v>
      </c>
      <c r="S13" s="92" t="s">
        <v>66</v>
      </c>
      <c r="T13" s="92" t="s">
        <v>66</v>
      </c>
      <c r="U13" s="92" t="s">
        <v>66</v>
      </c>
      <c r="V13" s="92" t="s">
        <v>66</v>
      </c>
      <c r="W13" s="92" t="s">
        <v>66</v>
      </c>
      <c r="X13" s="92" t="s">
        <v>66</v>
      </c>
      <c r="Y13" s="92" t="s">
        <v>66</v>
      </c>
      <c r="Z13" s="92" t="s">
        <v>66</v>
      </c>
      <c r="AA13" s="92" t="s">
        <v>66</v>
      </c>
      <c r="AB13" s="92" t="s">
        <v>66</v>
      </c>
      <c r="AC13" s="92" t="s">
        <v>66</v>
      </c>
      <c r="AD13" s="92" t="s">
        <v>66</v>
      </c>
      <c r="AE13" s="92" t="s">
        <v>66</v>
      </c>
      <c r="AF13" s="92" t="s">
        <v>66</v>
      </c>
      <c r="AG13" s="92" t="s">
        <v>66</v>
      </c>
      <c r="AH13" s="92" t="s">
        <v>66</v>
      </c>
      <c r="AI13" s="96" t="s">
        <v>66</v>
      </c>
    </row>
    <row r="14" spans="1:38" x14ac:dyDescent="0.25">
      <c r="A14" s="96"/>
      <c r="B14" s="86" t="s">
        <v>24</v>
      </c>
      <c r="C14" s="87">
        <f t="shared" si="5"/>
        <v>-123.09</v>
      </c>
      <c r="D14" s="93">
        <f t="shared" si="6"/>
        <v>5.714904763194447E-2</v>
      </c>
      <c r="E14" s="94">
        <v>-31.13</v>
      </c>
      <c r="F14" s="94" t="s">
        <v>66</v>
      </c>
      <c r="G14" s="94" t="s">
        <v>66</v>
      </c>
      <c r="H14" s="94" t="s">
        <v>66</v>
      </c>
      <c r="I14" s="94" t="s">
        <v>66</v>
      </c>
      <c r="J14" s="94" t="s">
        <v>66</v>
      </c>
      <c r="K14" s="94">
        <v>-11.1</v>
      </c>
      <c r="L14" s="94" t="s">
        <v>66</v>
      </c>
      <c r="M14" s="94" t="s">
        <v>66</v>
      </c>
      <c r="N14" s="94" t="s">
        <v>66</v>
      </c>
      <c r="O14" s="94" t="s">
        <v>66</v>
      </c>
      <c r="P14" s="94">
        <f>-5-1.49</f>
        <v>-6.49</v>
      </c>
      <c r="Q14" s="94">
        <v>-3.65</v>
      </c>
      <c r="R14" s="94" t="s">
        <v>66</v>
      </c>
      <c r="S14" s="94" t="s">
        <v>66</v>
      </c>
      <c r="T14" s="94">
        <v>-6.81</v>
      </c>
      <c r="U14" s="94">
        <v>-12.41</v>
      </c>
      <c r="V14" s="133" t="s">
        <v>66</v>
      </c>
      <c r="W14" s="94" t="s">
        <v>66</v>
      </c>
      <c r="X14" s="94" t="s">
        <v>66</v>
      </c>
      <c r="Y14" s="94" t="s">
        <v>66</v>
      </c>
      <c r="Z14" s="94" t="s">
        <v>66</v>
      </c>
      <c r="AA14" s="94" t="s">
        <v>66</v>
      </c>
      <c r="AB14" s="94">
        <v>-50</v>
      </c>
      <c r="AC14" s="94" t="s">
        <v>66</v>
      </c>
      <c r="AD14" s="94" t="s">
        <v>66</v>
      </c>
      <c r="AE14" s="94">
        <v>-1.5</v>
      </c>
      <c r="AF14" s="94" t="s">
        <v>66</v>
      </c>
      <c r="AG14" s="94" t="s">
        <v>66</v>
      </c>
      <c r="AH14" s="94" t="s">
        <v>66</v>
      </c>
      <c r="AI14" s="96" t="s">
        <v>66</v>
      </c>
    </row>
    <row r="15" spans="1:38" x14ac:dyDescent="0.25">
      <c r="A15" s="96"/>
      <c r="B15" s="86" t="s">
        <v>27</v>
      </c>
      <c r="C15" s="87">
        <f t="shared" si="5"/>
        <v>-9.34</v>
      </c>
      <c r="D15" s="91">
        <f t="shared" si="6"/>
        <v>4.3364376056735827E-3</v>
      </c>
      <c r="E15" s="92" t="s">
        <v>66</v>
      </c>
      <c r="F15" s="92" t="s">
        <v>66</v>
      </c>
      <c r="G15" s="92" t="s">
        <v>66</v>
      </c>
      <c r="H15" s="92" t="s">
        <v>66</v>
      </c>
      <c r="I15" s="92" t="s">
        <v>68</v>
      </c>
      <c r="J15" s="92" t="s">
        <v>66</v>
      </c>
      <c r="K15" s="92" t="s">
        <v>66</v>
      </c>
      <c r="L15" s="92" t="s">
        <v>66</v>
      </c>
      <c r="M15" s="92" t="s">
        <v>66</v>
      </c>
      <c r="N15" s="92" t="s">
        <v>66</v>
      </c>
      <c r="O15" s="92" t="s">
        <v>66</v>
      </c>
      <c r="P15" s="92" t="s">
        <v>68</v>
      </c>
      <c r="Q15" s="92" t="s">
        <v>66</v>
      </c>
      <c r="R15" s="92" t="s">
        <v>66</v>
      </c>
      <c r="S15" s="92" t="s">
        <v>66</v>
      </c>
      <c r="T15" s="92" t="s">
        <v>66</v>
      </c>
      <c r="U15" s="92" t="s">
        <v>66</v>
      </c>
      <c r="V15" s="92">
        <v>-3.49</v>
      </c>
      <c r="W15" s="92" t="s">
        <v>68</v>
      </c>
      <c r="X15" s="92" t="s">
        <v>66</v>
      </c>
      <c r="Y15" s="92" t="s">
        <v>66</v>
      </c>
      <c r="Z15" s="92" t="s">
        <v>66</v>
      </c>
      <c r="AA15" s="92" t="s">
        <v>66</v>
      </c>
      <c r="AB15" s="92" t="s">
        <v>66</v>
      </c>
      <c r="AC15" s="92" t="s">
        <v>68</v>
      </c>
      <c r="AD15" s="92">
        <v>-5.85</v>
      </c>
      <c r="AE15" s="92" t="s">
        <v>66</v>
      </c>
      <c r="AF15" s="92" t="s">
        <v>66</v>
      </c>
      <c r="AG15" s="92" t="s">
        <v>66</v>
      </c>
      <c r="AH15" s="92" t="s">
        <v>66</v>
      </c>
      <c r="AI15" s="96" t="s">
        <v>66</v>
      </c>
    </row>
    <row r="16" spans="1:38" x14ac:dyDescent="0.25">
      <c r="A16" s="96"/>
      <c r="B16" s="86" t="s">
        <v>28</v>
      </c>
      <c r="C16" s="87">
        <f t="shared" si="5"/>
        <v>-46.5</v>
      </c>
      <c r="D16" s="93">
        <f t="shared" si="6"/>
        <v>2.1589330692057988E-2</v>
      </c>
      <c r="E16" s="94" t="s">
        <v>66</v>
      </c>
      <c r="F16" s="94" t="s">
        <v>66</v>
      </c>
      <c r="G16" s="94" t="s">
        <v>66</v>
      </c>
      <c r="H16" s="94" t="s">
        <v>66</v>
      </c>
      <c r="I16" s="94" t="s">
        <v>66</v>
      </c>
      <c r="J16" s="94" t="s">
        <v>66</v>
      </c>
      <c r="K16" s="94" t="s">
        <v>66</v>
      </c>
      <c r="L16" s="94" t="s">
        <v>66</v>
      </c>
      <c r="M16" s="94" t="s">
        <v>66</v>
      </c>
      <c r="N16" s="94" t="s">
        <v>66</v>
      </c>
      <c r="O16" s="94" t="s">
        <v>66</v>
      </c>
      <c r="P16" s="94" t="s">
        <v>66</v>
      </c>
      <c r="Q16" s="94" t="s">
        <v>66</v>
      </c>
      <c r="R16" s="94" t="s">
        <v>66</v>
      </c>
      <c r="S16" s="94" t="s">
        <v>66</v>
      </c>
      <c r="T16" s="94" t="s">
        <v>66</v>
      </c>
      <c r="U16" s="94" t="s">
        <v>66</v>
      </c>
      <c r="V16" s="94" t="s">
        <v>66</v>
      </c>
      <c r="W16" s="94" t="s">
        <v>66</v>
      </c>
      <c r="X16" s="94" t="s">
        <v>66</v>
      </c>
      <c r="Y16" s="94" t="s">
        <v>66</v>
      </c>
      <c r="Z16" s="94" t="s">
        <v>66</v>
      </c>
      <c r="AA16" s="94" t="s">
        <v>66</v>
      </c>
      <c r="AB16" s="94" t="s">
        <v>66</v>
      </c>
      <c r="AC16" s="94" t="s">
        <v>66</v>
      </c>
      <c r="AD16" s="94">
        <v>-16.5</v>
      </c>
      <c r="AE16" s="94" t="s">
        <v>66</v>
      </c>
      <c r="AF16" s="94">
        <v>-30</v>
      </c>
      <c r="AG16" s="94" t="s">
        <v>66</v>
      </c>
      <c r="AH16" s="94" t="s">
        <v>66</v>
      </c>
      <c r="AI16" s="96" t="s">
        <v>66</v>
      </c>
    </row>
    <row r="17" spans="1:38" x14ac:dyDescent="0.25">
      <c r="A17" s="96"/>
      <c r="B17" s="86" t="s">
        <v>89</v>
      </c>
      <c r="C17" s="87">
        <f t="shared" si="5"/>
        <v>-20</v>
      </c>
      <c r="D17" s="91">
        <f t="shared" si="6"/>
        <v>9.2857336309926843E-3</v>
      </c>
      <c r="E17" s="92" t="s">
        <v>66</v>
      </c>
      <c r="F17" s="92" t="s">
        <v>66</v>
      </c>
      <c r="G17" s="92">
        <v>-5</v>
      </c>
      <c r="H17" s="92" t="s">
        <v>66</v>
      </c>
      <c r="I17" s="92" t="s">
        <v>66</v>
      </c>
      <c r="J17" s="92" t="s">
        <v>66</v>
      </c>
      <c r="K17" s="92" t="s">
        <v>66</v>
      </c>
      <c r="L17" s="92" t="s">
        <v>66</v>
      </c>
      <c r="M17" s="92" t="s">
        <v>66</v>
      </c>
      <c r="N17" s="92" t="s">
        <v>66</v>
      </c>
      <c r="O17" s="92" t="s">
        <v>66</v>
      </c>
      <c r="P17" s="92" t="s">
        <v>66</v>
      </c>
      <c r="Q17" s="92" t="s">
        <v>66</v>
      </c>
      <c r="R17" s="92">
        <v>-5</v>
      </c>
      <c r="S17" s="92" t="s">
        <v>66</v>
      </c>
      <c r="T17" s="92">
        <v>-5</v>
      </c>
      <c r="U17" s="92" t="s">
        <v>66</v>
      </c>
      <c r="V17" s="92">
        <v>-5</v>
      </c>
      <c r="W17" s="92" t="s">
        <v>66</v>
      </c>
      <c r="X17" s="92" t="s">
        <v>66</v>
      </c>
      <c r="Y17" s="92" t="s">
        <v>66</v>
      </c>
      <c r="Z17" s="92" t="s">
        <v>66</v>
      </c>
      <c r="AA17" s="92" t="s">
        <v>66</v>
      </c>
      <c r="AB17" s="92" t="s">
        <v>66</v>
      </c>
      <c r="AC17" s="92" t="s">
        <v>66</v>
      </c>
      <c r="AD17" s="92" t="s">
        <v>66</v>
      </c>
      <c r="AE17" s="92" t="s">
        <v>66</v>
      </c>
      <c r="AF17" s="92" t="s">
        <v>66</v>
      </c>
      <c r="AG17" s="92" t="s">
        <v>66</v>
      </c>
      <c r="AH17" s="92" t="s">
        <v>66</v>
      </c>
      <c r="AI17" s="96" t="s">
        <v>66</v>
      </c>
    </row>
    <row r="18" spans="1:38" x14ac:dyDescent="0.25">
      <c r="A18" s="96"/>
      <c r="B18" s="86" t="s">
        <v>29</v>
      </c>
      <c r="C18" s="87">
        <f t="shared" si="5"/>
        <v>-76.89</v>
      </c>
      <c r="D18" s="93">
        <f t="shared" si="6"/>
        <v>3.5699002944351375E-2</v>
      </c>
      <c r="E18" s="94" t="s">
        <v>66</v>
      </c>
      <c r="F18" s="94" t="s">
        <v>66</v>
      </c>
      <c r="G18" s="94" t="s">
        <v>66</v>
      </c>
      <c r="H18" s="94" t="s">
        <v>66</v>
      </c>
      <c r="I18" s="94" t="s">
        <v>66</v>
      </c>
      <c r="J18" s="94" t="s">
        <v>66</v>
      </c>
      <c r="K18" s="94" t="s">
        <v>66</v>
      </c>
      <c r="L18" s="94">
        <v>-26.9</v>
      </c>
      <c r="M18" s="94" t="s">
        <v>66</v>
      </c>
      <c r="N18" s="94" t="s">
        <v>66</v>
      </c>
      <c r="O18" s="94" t="s">
        <v>66</v>
      </c>
      <c r="P18" s="94" t="s">
        <v>66</v>
      </c>
      <c r="Q18" s="94" t="s">
        <v>66</v>
      </c>
      <c r="R18" s="94" t="s">
        <v>66</v>
      </c>
      <c r="S18" s="94" t="s">
        <v>66</v>
      </c>
      <c r="T18" s="94" t="s">
        <v>66</v>
      </c>
      <c r="U18" s="94" t="s">
        <v>66</v>
      </c>
      <c r="V18" s="94" t="s">
        <v>66</v>
      </c>
      <c r="W18" s="94" t="s">
        <v>66</v>
      </c>
      <c r="X18" s="94" t="s">
        <v>66</v>
      </c>
      <c r="Y18" s="94" t="s">
        <v>66</v>
      </c>
      <c r="Z18" s="94" t="s">
        <v>66</v>
      </c>
      <c r="AA18" s="94" t="s">
        <v>66</v>
      </c>
      <c r="AB18" s="94" t="s">
        <v>66</v>
      </c>
      <c r="AC18" s="94" t="s">
        <v>66</v>
      </c>
      <c r="AD18" s="94" t="s">
        <v>66</v>
      </c>
      <c r="AE18" s="94">
        <v>-49.99</v>
      </c>
      <c r="AF18" s="94" t="s">
        <v>66</v>
      </c>
      <c r="AG18" s="94" t="s">
        <v>66</v>
      </c>
      <c r="AH18" s="94" t="s">
        <v>66</v>
      </c>
      <c r="AI18" s="96" t="s">
        <v>66</v>
      </c>
    </row>
    <row r="19" spans="1:38" x14ac:dyDescent="0.25">
      <c r="A19" s="96"/>
      <c r="B19" s="86" t="s">
        <v>31</v>
      </c>
      <c r="C19" s="87">
        <f t="shared" si="5"/>
        <v>-211.20000000000002</v>
      </c>
      <c r="D19" s="91">
        <f t="shared" si="6"/>
        <v>9.805734714328275E-2</v>
      </c>
      <c r="E19" s="92" t="s">
        <v>66</v>
      </c>
      <c r="F19" s="92" t="s">
        <v>66</v>
      </c>
      <c r="G19" s="92" t="s">
        <v>66</v>
      </c>
      <c r="H19" s="92" t="s">
        <v>66</v>
      </c>
      <c r="I19" s="92" t="s">
        <v>66</v>
      </c>
      <c r="J19" s="92" t="s">
        <v>66</v>
      </c>
      <c r="K19" s="92" t="s">
        <v>66</v>
      </c>
      <c r="L19" s="92" t="s">
        <v>66</v>
      </c>
      <c r="M19" s="92" t="s">
        <v>66</v>
      </c>
      <c r="N19" s="92" t="s">
        <v>66</v>
      </c>
      <c r="O19" s="92" t="s">
        <v>66</v>
      </c>
      <c r="P19" s="92" t="s">
        <v>66</v>
      </c>
      <c r="Q19" s="92" t="s">
        <v>66</v>
      </c>
      <c r="R19" s="92" t="s">
        <v>66</v>
      </c>
      <c r="S19" s="92" t="s">
        <v>66</v>
      </c>
      <c r="T19" s="92" t="s">
        <v>66</v>
      </c>
      <c r="U19" s="92" t="s">
        <v>66</v>
      </c>
      <c r="V19" s="92" t="s">
        <v>66</v>
      </c>
      <c r="W19" s="92" t="s">
        <v>66</v>
      </c>
      <c r="X19" s="92" t="s">
        <v>66</v>
      </c>
      <c r="Y19" s="92" t="s">
        <v>66</v>
      </c>
      <c r="Z19" s="92" t="s">
        <v>66</v>
      </c>
      <c r="AA19" s="92" t="s">
        <v>66</v>
      </c>
      <c r="AB19" s="92" t="s">
        <v>66</v>
      </c>
      <c r="AC19" s="92" t="s">
        <v>66</v>
      </c>
      <c r="AD19" s="92">
        <v>-206.9</v>
      </c>
      <c r="AE19" s="92">
        <v>-4.3</v>
      </c>
      <c r="AF19" s="92" t="s">
        <v>66</v>
      </c>
      <c r="AG19" s="92" t="s">
        <v>66</v>
      </c>
      <c r="AH19" s="92" t="s">
        <v>66</v>
      </c>
      <c r="AI19" s="96" t="s">
        <v>66</v>
      </c>
    </row>
    <row r="20" spans="1:38" x14ac:dyDescent="0.25">
      <c r="A20" s="96"/>
      <c r="B20" s="86" t="s">
        <v>32</v>
      </c>
      <c r="C20" s="87">
        <f t="shared" si="5"/>
        <v>-135</v>
      </c>
      <c r="D20" s="93">
        <f t="shared" si="6"/>
        <v>6.2678702009200615E-2</v>
      </c>
      <c r="E20" s="94" t="s">
        <v>66</v>
      </c>
      <c r="F20" s="94" t="s">
        <v>66</v>
      </c>
      <c r="G20" s="94" t="s">
        <v>66</v>
      </c>
      <c r="H20" s="94" t="s">
        <v>66</v>
      </c>
      <c r="I20" s="94" t="s">
        <v>66</v>
      </c>
      <c r="J20" s="94" t="s">
        <v>66</v>
      </c>
      <c r="K20" s="94" t="s">
        <v>66</v>
      </c>
      <c r="L20" s="94" t="s">
        <v>66</v>
      </c>
      <c r="M20" s="94" t="s">
        <v>66</v>
      </c>
      <c r="N20" s="94" t="s">
        <v>66</v>
      </c>
      <c r="O20" s="94" t="s">
        <v>66</v>
      </c>
      <c r="P20" s="94" t="s">
        <v>66</v>
      </c>
      <c r="Q20" s="94" t="s">
        <v>66</v>
      </c>
      <c r="R20" s="94" t="s">
        <v>66</v>
      </c>
      <c r="S20" s="94" t="s">
        <v>66</v>
      </c>
      <c r="T20" s="94" t="s">
        <v>66</v>
      </c>
      <c r="U20" s="94" t="s">
        <v>66</v>
      </c>
      <c r="V20" s="94" t="s">
        <v>66</v>
      </c>
      <c r="W20" s="94" t="s">
        <v>66</v>
      </c>
      <c r="X20" s="94" t="s">
        <v>66</v>
      </c>
      <c r="Y20" s="94" t="s">
        <v>66</v>
      </c>
      <c r="Z20" s="94" t="s">
        <v>66</v>
      </c>
      <c r="AA20" s="94" t="s">
        <v>66</v>
      </c>
      <c r="AB20" s="94" t="s">
        <v>66</v>
      </c>
      <c r="AC20" s="94" t="s">
        <v>66</v>
      </c>
      <c r="AD20" s="94" t="s">
        <v>66</v>
      </c>
      <c r="AE20" s="94" t="s">
        <v>66</v>
      </c>
      <c r="AF20" s="94" t="s">
        <v>66</v>
      </c>
      <c r="AG20" s="94" t="s">
        <v>66</v>
      </c>
      <c r="AH20" s="94">
        <v>-135</v>
      </c>
      <c r="AI20" s="96" t="s">
        <v>66</v>
      </c>
    </row>
    <row r="21" spans="1:38" ht="15.75" customHeight="1" x14ac:dyDescent="0.25">
      <c r="A21" s="96"/>
      <c r="B21" s="86" t="s">
        <v>33</v>
      </c>
      <c r="C21" s="87">
        <f t="shared" si="5"/>
        <v>-209.28999999999996</v>
      </c>
      <c r="D21" s="91">
        <f t="shared" si="6"/>
        <v>9.7170559581522917E-2</v>
      </c>
      <c r="E21" s="92" t="s">
        <v>66</v>
      </c>
      <c r="F21" s="92">
        <v>-6.81</v>
      </c>
      <c r="G21" s="92">
        <v>-6.59</v>
      </c>
      <c r="H21" s="92" t="s">
        <v>66</v>
      </c>
      <c r="I21" s="92">
        <v>-13.2</v>
      </c>
      <c r="J21" s="92" t="s">
        <v>66</v>
      </c>
      <c r="K21" s="92">
        <v>-9.84</v>
      </c>
      <c r="L21" s="92" t="s">
        <v>66</v>
      </c>
      <c r="M21" s="92" t="s">
        <v>66</v>
      </c>
      <c r="N21" s="92" t="s">
        <v>66</v>
      </c>
      <c r="O21" s="92">
        <v>-15.5</v>
      </c>
      <c r="P21" s="92" t="s">
        <v>66</v>
      </c>
      <c r="Q21" s="92" t="s">
        <v>66</v>
      </c>
      <c r="R21" s="92" t="s">
        <v>66</v>
      </c>
      <c r="S21" s="92">
        <f>-10.44-10.02</f>
        <v>-20.46</v>
      </c>
      <c r="T21" s="92" t="s">
        <v>66</v>
      </c>
      <c r="U21" s="92">
        <f>-15.8-13.07</f>
        <v>-28.87</v>
      </c>
      <c r="V21" s="92" t="s">
        <v>66</v>
      </c>
      <c r="W21" s="92">
        <v>-19.170000000000002</v>
      </c>
      <c r="X21" s="92">
        <v>-15.5</v>
      </c>
      <c r="Y21" s="92" t="s">
        <v>66</v>
      </c>
      <c r="Z21" s="92" t="s">
        <v>66</v>
      </c>
      <c r="AA21" s="92">
        <f>-7.41+4-7.71-12.7</f>
        <v>-23.82</v>
      </c>
      <c r="AB21" s="92">
        <v>-8.9600000000000009</v>
      </c>
      <c r="AC21" s="92">
        <v>-12</v>
      </c>
      <c r="AD21" s="92" t="s">
        <v>66</v>
      </c>
      <c r="AE21" s="92">
        <v>-2.67</v>
      </c>
      <c r="AF21" s="92">
        <v>-6.7</v>
      </c>
      <c r="AG21" s="92">
        <v>-19.2</v>
      </c>
      <c r="AH21" s="92" t="s">
        <v>66</v>
      </c>
      <c r="AI21" s="96" t="s">
        <v>66</v>
      </c>
    </row>
    <row r="22" spans="1:38" ht="15.75" customHeight="1" x14ac:dyDescent="0.25">
      <c r="A22" s="96"/>
      <c r="B22" s="86" t="s">
        <v>94</v>
      </c>
      <c r="C22" s="87">
        <f t="shared" si="5"/>
        <v>0</v>
      </c>
      <c r="D22" s="93">
        <f t="shared" si="6"/>
        <v>0</v>
      </c>
      <c r="E22" s="94" t="s">
        <v>66</v>
      </c>
      <c r="F22" s="94" t="s">
        <v>66</v>
      </c>
      <c r="G22" s="94" t="s">
        <v>66</v>
      </c>
      <c r="H22" s="94" t="s">
        <v>66</v>
      </c>
      <c r="I22" s="94" t="s">
        <v>66</v>
      </c>
      <c r="J22" s="94" t="s">
        <v>66</v>
      </c>
      <c r="K22" s="94" t="s">
        <v>66</v>
      </c>
      <c r="L22" s="94" t="s">
        <v>66</v>
      </c>
      <c r="M22" s="94" t="s">
        <v>66</v>
      </c>
      <c r="N22" s="94" t="s">
        <v>66</v>
      </c>
      <c r="O22" s="94" t="s">
        <v>66</v>
      </c>
      <c r="P22" s="94" t="s">
        <v>66</v>
      </c>
      <c r="Q22" s="94" t="s">
        <v>66</v>
      </c>
      <c r="R22" s="94" t="s">
        <v>66</v>
      </c>
      <c r="S22" s="94" t="s">
        <v>66</v>
      </c>
      <c r="T22" s="94" t="s">
        <v>66</v>
      </c>
      <c r="U22" s="94" t="s">
        <v>66</v>
      </c>
      <c r="V22" s="94" t="s">
        <v>66</v>
      </c>
      <c r="W22" s="94" t="s">
        <v>66</v>
      </c>
      <c r="X22" s="94" t="s">
        <v>66</v>
      </c>
      <c r="Y22" s="94" t="s">
        <v>66</v>
      </c>
      <c r="Z22" s="94" t="s">
        <v>66</v>
      </c>
      <c r="AA22" s="94" t="s">
        <v>66</v>
      </c>
      <c r="AB22" s="94" t="s">
        <v>66</v>
      </c>
      <c r="AC22" s="94" t="s">
        <v>66</v>
      </c>
      <c r="AD22" s="94" t="s">
        <v>66</v>
      </c>
      <c r="AE22" s="94" t="s">
        <v>66</v>
      </c>
      <c r="AF22" s="94" t="s">
        <v>66</v>
      </c>
      <c r="AG22" s="94" t="s">
        <v>66</v>
      </c>
      <c r="AH22" s="94" t="s">
        <v>66</v>
      </c>
      <c r="AI22" s="96" t="s">
        <v>66</v>
      </c>
    </row>
    <row r="23" spans="1:38" ht="15.75" customHeight="1" x14ac:dyDescent="0.25">
      <c r="A23" s="96"/>
      <c r="B23" s="86" t="s">
        <v>34</v>
      </c>
      <c r="C23" s="87">
        <f t="shared" si="5"/>
        <v>0</v>
      </c>
      <c r="D23" s="91">
        <f t="shared" si="6"/>
        <v>0</v>
      </c>
      <c r="E23" s="92" t="s">
        <v>66</v>
      </c>
      <c r="F23" s="92" t="s">
        <v>66</v>
      </c>
      <c r="G23" s="92" t="s">
        <v>66</v>
      </c>
      <c r="H23" s="92" t="s">
        <v>66</v>
      </c>
      <c r="I23" s="92" t="s">
        <v>66</v>
      </c>
      <c r="J23" s="92" t="s">
        <v>66</v>
      </c>
      <c r="K23" s="92" t="s">
        <v>66</v>
      </c>
      <c r="L23" s="92" t="s">
        <v>66</v>
      </c>
      <c r="M23" s="92" t="s">
        <v>66</v>
      </c>
      <c r="N23" s="92" t="s">
        <v>66</v>
      </c>
      <c r="O23" s="92" t="s">
        <v>66</v>
      </c>
      <c r="P23" s="92" t="s">
        <v>66</v>
      </c>
      <c r="Q23" s="92" t="s">
        <v>66</v>
      </c>
      <c r="R23" s="92" t="s">
        <v>66</v>
      </c>
      <c r="S23" s="92" t="s">
        <v>66</v>
      </c>
      <c r="T23" s="92" t="s">
        <v>66</v>
      </c>
      <c r="U23" s="92" t="s">
        <v>66</v>
      </c>
      <c r="V23" s="92" t="s">
        <v>66</v>
      </c>
      <c r="W23" s="92" t="s">
        <v>66</v>
      </c>
      <c r="X23" s="92" t="s">
        <v>66</v>
      </c>
      <c r="Y23" s="92" t="s">
        <v>66</v>
      </c>
      <c r="Z23" s="92" t="s">
        <v>66</v>
      </c>
      <c r="AA23" s="92" t="s">
        <v>66</v>
      </c>
      <c r="AB23" s="92" t="s">
        <v>66</v>
      </c>
      <c r="AC23" s="92" t="s">
        <v>66</v>
      </c>
      <c r="AD23" s="92" t="s">
        <v>66</v>
      </c>
      <c r="AE23" s="92" t="s">
        <v>66</v>
      </c>
      <c r="AF23" s="92" t="s">
        <v>66</v>
      </c>
      <c r="AG23" s="92" t="s">
        <v>66</v>
      </c>
      <c r="AH23" s="92" t="s">
        <v>66</v>
      </c>
      <c r="AI23" s="96" t="s">
        <v>66</v>
      </c>
      <c r="AK23" s="86"/>
      <c r="AL23" s="95"/>
    </row>
    <row r="24" spans="1:38" ht="15.75" customHeight="1" x14ac:dyDescent="0.25">
      <c r="A24" s="96"/>
      <c r="B24" s="86" t="s">
        <v>35</v>
      </c>
      <c r="C24" s="87">
        <f t="shared" si="5"/>
        <v>-3.05</v>
      </c>
      <c r="D24" s="93">
        <f t="shared" si="6"/>
        <v>1.416074378726384E-3</v>
      </c>
      <c r="E24" s="94" t="s">
        <v>66</v>
      </c>
      <c r="F24" s="94" t="s">
        <v>66</v>
      </c>
      <c r="G24" s="94" t="s">
        <v>66</v>
      </c>
      <c r="H24" s="94" t="s">
        <v>66</v>
      </c>
      <c r="I24" s="94" t="s">
        <v>66</v>
      </c>
      <c r="J24" s="94" t="s">
        <v>66</v>
      </c>
      <c r="K24" s="94" t="s">
        <v>66</v>
      </c>
      <c r="L24" s="94" t="s">
        <v>66</v>
      </c>
      <c r="M24" s="94" t="s">
        <v>66</v>
      </c>
      <c r="N24" s="94" t="s">
        <v>66</v>
      </c>
      <c r="O24" s="94" t="s">
        <v>66</v>
      </c>
      <c r="P24" s="94" t="s">
        <v>66</v>
      </c>
      <c r="Q24" s="94" t="s">
        <v>66</v>
      </c>
      <c r="R24" s="94" t="s">
        <v>66</v>
      </c>
      <c r="S24" s="94" t="s">
        <v>66</v>
      </c>
      <c r="T24" s="94">
        <v>-3.05</v>
      </c>
      <c r="U24" s="94" t="s">
        <v>66</v>
      </c>
      <c r="V24" s="94" t="s">
        <v>66</v>
      </c>
      <c r="W24" s="94" t="s">
        <v>66</v>
      </c>
      <c r="X24" s="94" t="s">
        <v>66</v>
      </c>
      <c r="Y24" s="94" t="s">
        <v>66</v>
      </c>
      <c r="Z24" s="94" t="s">
        <v>66</v>
      </c>
      <c r="AA24" s="94" t="s">
        <v>66</v>
      </c>
      <c r="AB24" s="94" t="s">
        <v>66</v>
      </c>
      <c r="AC24" s="94" t="s">
        <v>66</v>
      </c>
      <c r="AD24" s="94" t="s">
        <v>66</v>
      </c>
      <c r="AE24" s="94" t="s">
        <v>66</v>
      </c>
      <c r="AF24" s="94" t="s">
        <v>66</v>
      </c>
      <c r="AG24" s="94" t="s">
        <v>66</v>
      </c>
      <c r="AH24" s="94" t="s">
        <v>66</v>
      </c>
      <c r="AI24" s="96" t="s">
        <v>66</v>
      </c>
    </row>
    <row r="25" spans="1:38" ht="15.75" customHeight="1" x14ac:dyDescent="0.25">
      <c r="A25" s="96"/>
      <c r="B25" s="86" t="s">
        <v>36</v>
      </c>
      <c r="C25" s="87">
        <f t="shared" si="5"/>
        <v>0</v>
      </c>
      <c r="D25" s="91">
        <f t="shared" si="6"/>
        <v>0</v>
      </c>
      <c r="E25" s="92" t="s">
        <v>66</v>
      </c>
      <c r="F25" s="92" t="s">
        <v>66</v>
      </c>
      <c r="G25" s="92" t="s">
        <v>66</v>
      </c>
      <c r="H25" s="92" t="s">
        <v>66</v>
      </c>
      <c r="I25" s="92" t="s">
        <v>66</v>
      </c>
      <c r="J25" s="92" t="s">
        <v>66</v>
      </c>
      <c r="K25" s="92" t="s">
        <v>66</v>
      </c>
      <c r="L25" s="92" t="s">
        <v>66</v>
      </c>
      <c r="M25" s="92" t="s">
        <v>66</v>
      </c>
      <c r="N25" s="92" t="s">
        <v>66</v>
      </c>
      <c r="O25" s="92" t="s">
        <v>66</v>
      </c>
      <c r="P25" s="92" t="s">
        <v>66</v>
      </c>
      <c r="Q25" s="92" t="s">
        <v>66</v>
      </c>
      <c r="R25" s="92" t="s">
        <v>66</v>
      </c>
      <c r="S25" s="92" t="s">
        <v>66</v>
      </c>
      <c r="T25" s="92" t="s">
        <v>66</v>
      </c>
      <c r="U25" s="92" t="s">
        <v>66</v>
      </c>
      <c r="V25" s="92" t="s">
        <v>66</v>
      </c>
      <c r="W25" s="92" t="s">
        <v>66</v>
      </c>
      <c r="X25" s="92" t="s">
        <v>66</v>
      </c>
      <c r="Y25" s="92" t="s">
        <v>66</v>
      </c>
      <c r="Z25" s="92" t="s">
        <v>66</v>
      </c>
      <c r="AA25" s="92" t="s">
        <v>66</v>
      </c>
      <c r="AB25" s="92" t="s">
        <v>66</v>
      </c>
      <c r="AC25" s="92" t="s">
        <v>66</v>
      </c>
      <c r="AD25" s="92" t="s">
        <v>66</v>
      </c>
      <c r="AE25" s="92" t="s">
        <v>66</v>
      </c>
      <c r="AF25" s="92" t="s">
        <v>66</v>
      </c>
      <c r="AG25" s="92" t="s">
        <v>66</v>
      </c>
      <c r="AH25" s="92" t="s">
        <v>66</v>
      </c>
      <c r="AI25" s="96" t="s">
        <v>66</v>
      </c>
    </row>
    <row r="26" spans="1:38" ht="15.75" customHeight="1" x14ac:dyDescent="0.25">
      <c r="A26" s="96"/>
      <c r="B26" s="86" t="s">
        <v>39</v>
      </c>
      <c r="C26" s="87">
        <f t="shared" si="5"/>
        <v>-49.85</v>
      </c>
      <c r="D26" s="93">
        <f t="shared" si="6"/>
        <v>2.3144691075249264E-2</v>
      </c>
      <c r="E26" s="94" t="s">
        <v>66</v>
      </c>
      <c r="F26" s="94" t="s">
        <v>66</v>
      </c>
      <c r="G26" s="94" t="s">
        <v>66</v>
      </c>
      <c r="H26" s="94" t="s">
        <v>66</v>
      </c>
      <c r="I26" s="94" t="s">
        <v>66</v>
      </c>
      <c r="J26" s="94">
        <v>-7.99</v>
      </c>
      <c r="K26" s="94" t="s">
        <v>66</v>
      </c>
      <c r="L26" s="94" t="s">
        <v>66</v>
      </c>
      <c r="M26" s="94">
        <v>-9</v>
      </c>
      <c r="N26" s="94" t="s">
        <v>66</v>
      </c>
      <c r="O26" s="94">
        <v>-12.96</v>
      </c>
      <c r="P26" s="94" t="s">
        <v>66</v>
      </c>
      <c r="Q26" s="94" t="s">
        <v>66</v>
      </c>
      <c r="R26" s="94">
        <v>-4.5</v>
      </c>
      <c r="S26" s="94" t="s">
        <v>66</v>
      </c>
      <c r="T26" s="94">
        <v>-7.5</v>
      </c>
      <c r="U26" s="94" t="s">
        <v>66</v>
      </c>
      <c r="V26" s="94" t="s">
        <v>66</v>
      </c>
      <c r="W26" s="94" t="s">
        <v>66</v>
      </c>
      <c r="X26" s="94" t="s">
        <v>66</v>
      </c>
      <c r="Y26" s="94" t="s">
        <v>66</v>
      </c>
      <c r="Z26" s="94" t="s">
        <v>66</v>
      </c>
      <c r="AA26" s="94" t="s">
        <v>66</v>
      </c>
      <c r="AB26" s="94" t="s">
        <v>66</v>
      </c>
      <c r="AC26" s="94" t="s">
        <v>66</v>
      </c>
      <c r="AD26" s="94">
        <v>-7.9</v>
      </c>
      <c r="AE26" s="94" t="s">
        <v>66</v>
      </c>
      <c r="AF26" s="94" t="s">
        <v>66</v>
      </c>
      <c r="AG26" s="94" t="s">
        <v>66</v>
      </c>
      <c r="AH26" s="94" t="s">
        <v>66</v>
      </c>
      <c r="AI26" s="96" t="s">
        <v>66</v>
      </c>
    </row>
    <row r="27" spans="1:38" ht="15.75" customHeight="1" x14ac:dyDescent="0.25">
      <c r="A27" s="96"/>
      <c r="B27" s="86" t="s">
        <v>40</v>
      </c>
      <c r="C27" s="87">
        <f t="shared" si="5"/>
        <v>-18.899999999999999</v>
      </c>
      <c r="D27" s="91">
        <f t="shared" si="6"/>
        <v>8.7750182812880856E-3</v>
      </c>
      <c r="E27" s="92" t="s">
        <v>66</v>
      </c>
      <c r="F27" s="92" t="s">
        <v>66</v>
      </c>
      <c r="G27" s="92" t="s">
        <v>66</v>
      </c>
      <c r="H27" s="92" t="s">
        <v>66</v>
      </c>
      <c r="I27" s="92" t="s">
        <v>66</v>
      </c>
      <c r="J27" s="92" t="s">
        <v>66</v>
      </c>
      <c r="K27" s="92" t="s">
        <v>66</v>
      </c>
      <c r="L27" s="92" t="s">
        <v>66</v>
      </c>
      <c r="M27" s="92" t="s">
        <v>66</v>
      </c>
      <c r="N27" s="92">
        <v>-18.899999999999999</v>
      </c>
      <c r="O27" s="92" t="s">
        <v>66</v>
      </c>
      <c r="P27" s="92" t="s">
        <v>66</v>
      </c>
      <c r="Q27" s="92" t="s">
        <v>66</v>
      </c>
      <c r="R27" s="92" t="s">
        <v>66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 t="s">
        <v>66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6" t="s">
        <v>66</v>
      </c>
    </row>
    <row r="28" spans="1:38" ht="15.75" customHeight="1" x14ac:dyDescent="0.25">
      <c r="A28" s="96"/>
      <c r="B28" s="86" t="s">
        <v>41</v>
      </c>
      <c r="C28" s="87">
        <f t="shared" si="5"/>
        <v>0</v>
      </c>
      <c r="D28" s="93">
        <f t="shared" si="6"/>
        <v>0</v>
      </c>
      <c r="E28" s="94" t="s">
        <v>66</v>
      </c>
      <c r="F28" s="94" t="s">
        <v>66</v>
      </c>
      <c r="G28" s="94" t="s">
        <v>66</v>
      </c>
      <c r="H28" s="94" t="s">
        <v>66</v>
      </c>
      <c r="I28" s="94" t="s">
        <v>66</v>
      </c>
      <c r="J28" s="94" t="s">
        <v>66</v>
      </c>
      <c r="K28" s="94" t="s">
        <v>66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6" t="s">
        <v>66</v>
      </c>
    </row>
    <row r="29" spans="1:38" ht="15.75" customHeight="1" x14ac:dyDescent="0.25">
      <c r="A29" s="246"/>
      <c r="B29" s="86" t="s">
        <v>207</v>
      </c>
      <c r="C29" s="87">
        <f>-(2587+511.66)/12</f>
        <v>-258.22166666666664</v>
      </c>
      <c r="D29" s="91">
        <f t="shared" si="6"/>
        <v>0.11988888072088244</v>
      </c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246"/>
    </row>
    <row r="30" spans="1:38" ht="15.75" customHeight="1" x14ac:dyDescent="0.25">
      <c r="A30" s="96"/>
      <c r="B30" s="86" t="s">
        <v>72</v>
      </c>
      <c r="C30" s="87">
        <f t="shared" si="5"/>
        <v>-550</v>
      </c>
      <c r="D30" s="91">
        <f t="shared" si="6"/>
        <v>0.25535767485229882</v>
      </c>
      <c r="E30" s="92" t="s">
        <v>66</v>
      </c>
      <c r="F30" s="92" t="s">
        <v>66</v>
      </c>
      <c r="G30" s="92" t="s">
        <v>66</v>
      </c>
      <c r="H30" s="92" t="s">
        <v>66</v>
      </c>
      <c r="I30" s="92" t="s">
        <v>66</v>
      </c>
      <c r="J30" s="92" t="s">
        <v>66</v>
      </c>
      <c r="K30" s="92" t="s">
        <v>66</v>
      </c>
      <c r="L30" s="92" t="s">
        <v>66</v>
      </c>
      <c r="M30" s="92">
        <v>-550</v>
      </c>
      <c r="N30" s="92" t="s">
        <v>66</v>
      </c>
      <c r="O30" s="92" t="s">
        <v>66</v>
      </c>
      <c r="P30" s="92" t="s">
        <v>66</v>
      </c>
      <c r="Q30" s="92" t="s">
        <v>66</v>
      </c>
      <c r="R30" s="92" t="s">
        <v>66</v>
      </c>
      <c r="S30" s="92" t="s">
        <v>66</v>
      </c>
      <c r="T30" s="92" t="s">
        <v>66</v>
      </c>
      <c r="U30" s="92" t="s">
        <v>66</v>
      </c>
      <c r="V30" s="92" t="s">
        <v>66</v>
      </c>
      <c r="W30" s="92" t="s">
        <v>66</v>
      </c>
      <c r="X30" s="92" t="s">
        <v>66</v>
      </c>
      <c r="Y30" s="92" t="s">
        <v>66</v>
      </c>
      <c r="Z30" s="92" t="s">
        <v>66</v>
      </c>
      <c r="AA30" s="92" t="s">
        <v>66</v>
      </c>
      <c r="AB30" s="92" t="s">
        <v>66</v>
      </c>
      <c r="AC30" s="92" t="s">
        <v>66</v>
      </c>
      <c r="AD30" s="92" t="s">
        <v>66</v>
      </c>
      <c r="AE30" s="92" t="s">
        <v>66</v>
      </c>
      <c r="AF30" s="92" t="s">
        <v>66</v>
      </c>
      <c r="AG30" s="92" t="s">
        <v>66</v>
      </c>
      <c r="AH30" s="92" t="s">
        <v>66</v>
      </c>
      <c r="AI30" s="96" t="s">
        <v>66</v>
      </c>
    </row>
    <row r="31" spans="1:38" ht="15.75" customHeight="1" x14ac:dyDescent="0.25">
      <c r="A31" s="96"/>
      <c r="B31" s="86" t="s">
        <v>42</v>
      </c>
      <c r="C31" s="87">
        <f t="shared" si="5"/>
        <v>-45</v>
      </c>
      <c r="D31" s="93">
        <f t="shared" si="6"/>
        <v>2.0892900669733538E-2</v>
      </c>
      <c r="E31" s="94" t="s">
        <v>66</v>
      </c>
      <c r="F31" s="94" t="s">
        <v>66</v>
      </c>
      <c r="G31" s="94" t="s">
        <v>66</v>
      </c>
      <c r="H31" s="94" t="s">
        <v>66</v>
      </c>
      <c r="I31" s="94" t="s">
        <v>66</v>
      </c>
      <c r="J31" s="94" t="s">
        <v>66</v>
      </c>
      <c r="K31" s="94" t="s">
        <v>66</v>
      </c>
      <c r="L31" s="94" t="s">
        <v>66</v>
      </c>
      <c r="M31" s="94" t="s">
        <v>66</v>
      </c>
      <c r="N31" s="94" t="s">
        <v>66</v>
      </c>
      <c r="O31" s="94" t="s">
        <v>66</v>
      </c>
      <c r="P31" s="94" t="s">
        <v>66</v>
      </c>
      <c r="Q31" s="94" t="s">
        <v>66</v>
      </c>
      <c r="R31" s="94" t="s">
        <v>66</v>
      </c>
      <c r="S31" s="94" t="s">
        <v>66</v>
      </c>
      <c r="T31" s="94" t="s">
        <v>66</v>
      </c>
      <c r="U31" s="94">
        <v>-45</v>
      </c>
      <c r="V31" s="94" t="s">
        <v>66</v>
      </c>
      <c r="W31" s="94" t="s">
        <v>66</v>
      </c>
      <c r="X31" s="94" t="s">
        <v>66</v>
      </c>
      <c r="Y31" s="94" t="s">
        <v>66</v>
      </c>
      <c r="Z31" s="94" t="s">
        <v>66</v>
      </c>
      <c r="AA31" s="94" t="s">
        <v>66</v>
      </c>
      <c r="AB31" s="94" t="s">
        <v>66</v>
      </c>
      <c r="AC31" s="94" t="s">
        <v>66</v>
      </c>
      <c r="AD31" s="94" t="s">
        <v>66</v>
      </c>
      <c r="AE31" s="94" t="s">
        <v>66</v>
      </c>
      <c r="AF31" s="94" t="s">
        <v>66</v>
      </c>
      <c r="AG31" s="94" t="s">
        <v>66</v>
      </c>
      <c r="AH31" s="94" t="s">
        <v>66</v>
      </c>
      <c r="AI31" s="96" t="s">
        <v>66</v>
      </c>
    </row>
    <row r="32" spans="1:38" ht="15.75" customHeight="1" x14ac:dyDescent="0.25">
      <c r="A32" s="96"/>
      <c r="B32" s="86" t="s">
        <v>96</v>
      </c>
      <c r="C32" s="87">
        <f t="shared" si="5"/>
        <v>0</v>
      </c>
      <c r="D32" s="91">
        <f t="shared" si="6"/>
        <v>0</v>
      </c>
      <c r="E32" s="92" t="s">
        <v>66</v>
      </c>
      <c r="F32" s="92" t="s">
        <v>66</v>
      </c>
      <c r="G32" s="92" t="s">
        <v>66</v>
      </c>
      <c r="H32" s="92" t="s">
        <v>66</v>
      </c>
      <c r="I32" s="92" t="s">
        <v>66</v>
      </c>
      <c r="J32" s="92" t="s">
        <v>66</v>
      </c>
      <c r="K32" s="92" t="s">
        <v>66</v>
      </c>
      <c r="L32" s="92" t="s">
        <v>66</v>
      </c>
      <c r="M32" s="92" t="s">
        <v>66</v>
      </c>
      <c r="N32" s="92" t="s">
        <v>66</v>
      </c>
      <c r="O32" s="92" t="s">
        <v>66</v>
      </c>
      <c r="P32" s="92" t="s">
        <v>66</v>
      </c>
      <c r="Q32" s="92" t="s">
        <v>66</v>
      </c>
      <c r="R32" s="92" t="s">
        <v>66</v>
      </c>
      <c r="S32" s="92" t="s">
        <v>66</v>
      </c>
      <c r="T32" s="92" t="s">
        <v>66</v>
      </c>
      <c r="U32" s="92" t="s">
        <v>66</v>
      </c>
      <c r="V32" s="92" t="s">
        <v>66</v>
      </c>
      <c r="W32" s="92" t="s">
        <v>66</v>
      </c>
      <c r="X32" s="92" t="s">
        <v>66</v>
      </c>
      <c r="Y32" s="92" t="s">
        <v>66</v>
      </c>
      <c r="Z32" s="92" t="s">
        <v>66</v>
      </c>
      <c r="AA32" s="92" t="s">
        <v>66</v>
      </c>
      <c r="AB32" s="92" t="s">
        <v>66</v>
      </c>
      <c r="AC32" s="92" t="s">
        <v>66</v>
      </c>
      <c r="AD32" s="92" t="s">
        <v>66</v>
      </c>
      <c r="AE32" s="92" t="s">
        <v>66</v>
      </c>
      <c r="AF32" s="92" t="s">
        <v>66</v>
      </c>
      <c r="AG32" s="92" t="s">
        <v>66</v>
      </c>
      <c r="AH32" s="92" t="s">
        <v>66</v>
      </c>
      <c r="AI32" s="96" t="s">
        <v>66</v>
      </c>
    </row>
    <row r="33" spans="1:35" ht="15.75" customHeight="1" x14ac:dyDescent="0.25">
      <c r="A33" s="96"/>
      <c r="B33" s="99" t="s">
        <v>44</v>
      </c>
      <c r="C33" s="124">
        <f>SUM(E33:AF33)</f>
        <v>2217</v>
      </c>
      <c r="D33" s="125"/>
      <c r="E33" s="126"/>
      <c r="F33" s="126"/>
      <c r="G33" s="126"/>
      <c r="H33" s="126"/>
      <c r="I33" s="126">
        <v>2050</v>
      </c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>
        <v>70</v>
      </c>
      <c r="V33" s="126"/>
      <c r="W33" s="126"/>
      <c r="X33" s="126"/>
      <c r="Y33" s="126">
        <v>10</v>
      </c>
      <c r="Z33" s="126"/>
      <c r="AA33" s="126">
        <v>2</v>
      </c>
      <c r="AB33" s="126">
        <v>50</v>
      </c>
      <c r="AC33" s="126"/>
      <c r="AD33" s="126"/>
      <c r="AE33" s="126"/>
      <c r="AF33" s="126">
        <v>35</v>
      </c>
      <c r="AG33" s="126"/>
      <c r="AH33" s="126"/>
      <c r="AI33" s="96"/>
    </row>
    <row r="34" spans="1:35" ht="15.75" customHeight="1" x14ac:dyDescent="0.25">
      <c r="A34" s="96"/>
      <c r="B34" s="83"/>
      <c r="C34" s="12"/>
      <c r="D34" s="106"/>
      <c r="E34" s="107">
        <f t="shared" ref="E34:X34" si="7">E5</f>
        <v>43709</v>
      </c>
      <c r="F34" s="107">
        <f t="shared" si="7"/>
        <v>43710</v>
      </c>
      <c r="G34" s="107">
        <f t="shared" si="7"/>
        <v>43711</v>
      </c>
      <c r="H34" s="107">
        <f t="shared" si="7"/>
        <v>43712</v>
      </c>
      <c r="I34" s="107">
        <f t="shared" si="7"/>
        <v>43713</v>
      </c>
      <c r="J34" s="107">
        <f t="shared" si="7"/>
        <v>43714</v>
      </c>
      <c r="K34" s="107">
        <f t="shared" si="7"/>
        <v>43715</v>
      </c>
      <c r="L34" s="107">
        <f t="shared" si="7"/>
        <v>43716</v>
      </c>
      <c r="M34" s="107">
        <f t="shared" si="7"/>
        <v>43717</v>
      </c>
      <c r="N34" s="107">
        <f t="shared" si="7"/>
        <v>43718</v>
      </c>
      <c r="O34" s="107">
        <f t="shared" si="7"/>
        <v>43719</v>
      </c>
      <c r="P34" s="107">
        <f t="shared" si="7"/>
        <v>43720</v>
      </c>
      <c r="Q34" s="107">
        <f t="shared" si="7"/>
        <v>43721</v>
      </c>
      <c r="R34" s="107">
        <f t="shared" si="7"/>
        <v>43722</v>
      </c>
      <c r="S34" s="107">
        <f t="shared" si="7"/>
        <v>43723</v>
      </c>
      <c r="T34" s="107">
        <f t="shared" si="7"/>
        <v>43724</v>
      </c>
      <c r="U34" s="107">
        <f t="shared" si="7"/>
        <v>43725</v>
      </c>
      <c r="V34" s="107">
        <f t="shared" si="7"/>
        <v>43726</v>
      </c>
      <c r="W34" s="107">
        <f t="shared" si="7"/>
        <v>43727</v>
      </c>
      <c r="X34" s="107">
        <f t="shared" si="7"/>
        <v>43728</v>
      </c>
      <c r="Y34" s="107" t="s">
        <v>98</v>
      </c>
      <c r="Z34" s="107">
        <f t="shared" ref="Z34:AH34" si="8">Z5</f>
        <v>43730</v>
      </c>
      <c r="AA34" s="107">
        <f t="shared" si="8"/>
        <v>43731</v>
      </c>
      <c r="AB34" s="107">
        <f t="shared" si="8"/>
        <v>43732</v>
      </c>
      <c r="AC34" s="107">
        <f t="shared" si="8"/>
        <v>43733</v>
      </c>
      <c r="AD34" s="107">
        <f t="shared" si="8"/>
        <v>43734</v>
      </c>
      <c r="AE34" s="107">
        <f t="shared" si="8"/>
        <v>43735</v>
      </c>
      <c r="AF34" s="107">
        <f t="shared" si="8"/>
        <v>43736</v>
      </c>
      <c r="AG34" s="107">
        <f t="shared" si="8"/>
        <v>43737</v>
      </c>
      <c r="AH34" s="107">
        <f t="shared" si="8"/>
        <v>43738</v>
      </c>
      <c r="AI34" s="97"/>
    </row>
    <row r="35" spans="1:35" ht="15.75" customHeight="1" x14ac:dyDescent="0.25">
      <c r="A35" s="96"/>
      <c r="B35" s="110" t="s">
        <v>79</v>
      </c>
      <c r="C35" s="58"/>
      <c r="D35" s="66"/>
      <c r="E35" s="112">
        <f t="shared" ref="E35:AH35" si="9">SUM($E$6:E6)</f>
        <v>-31.13</v>
      </c>
      <c r="F35" s="112">
        <f t="shared" si="9"/>
        <v>-62.82</v>
      </c>
      <c r="G35" s="112">
        <f t="shared" si="9"/>
        <v>-79.91</v>
      </c>
      <c r="H35" s="112">
        <f t="shared" si="9"/>
        <v>-79.91</v>
      </c>
      <c r="I35" s="112">
        <f t="shared" si="9"/>
        <v>-133.86000000000001</v>
      </c>
      <c r="J35" s="112">
        <f t="shared" si="9"/>
        <v>-158.33000000000001</v>
      </c>
      <c r="K35" s="112">
        <f t="shared" si="9"/>
        <v>-199.71</v>
      </c>
      <c r="L35" s="112">
        <f t="shared" si="9"/>
        <v>-226.61</v>
      </c>
      <c r="M35" s="112">
        <f t="shared" si="9"/>
        <v>-840.37</v>
      </c>
      <c r="N35" s="112">
        <f t="shared" si="9"/>
        <v>-865.25</v>
      </c>
      <c r="O35" s="112">
        <f t="shared" si="9"/>
        <v>-901.61</v>
      </c>
      <c r="P35" s="112">
        <f t="shared" si="9"/>
        <v>-921.4</v>
      </c>
      <c r="Q35" s="112">
        <f t="shared" si="9"/>
        <v>-925.05</v>
      </c>
      <c r="R35" s="112">
        <f t="shared" si="9"/>
        <v>-934.55</v>
      </c>
      <c r="S35" s="112">
        <f t="shared" si="9"/>
        <v>-955.01</v>
      </c>
      <c r="T35" s="112">
        <f t="shared" si="9"/>
        <v>-1018.79</v>
      </c>
      <c r="U35" s="112">
        <f t="shared" si="9"/>
        <v>-1124.98</v>
      </c>
      <c r="V35" s="112">
        <f t="shared" si="9"/>
        <v>-1143.47</v>
      </c>
      <c r="W35" s="112">
        <f t="shared" si="9"/>
        <v>-1172.44</v>
      </c>
      <c r="X35" s="112">
        <f t="shared" si="9"/>
        <v>-1187.94</v>
      </c>
      <c r="Y35" s="112">
        <f t="shared" si="9"/>
        <v>-1187.94</v>
      </c>
      <c r="Z35" s="112">
        <f t="shared" si="9"/>
        <v>-1187.94</v>
      </c>
      <c r="AA35" s="112">
        <f t="shared" si="9"/>
        <v>-1245.1600000000001</v>
      </c>
      <c r="AB35" s="112">
        <f t="shared" si="9"/>
        <v>-1304.1200000000001</v>
      </c>
      <c r="AC35" s="112">
        <f t="shared" si="9"/>
        <v>-1316.1200000000001</v>
      </c>
      <c r="AD35" s="112">
        <f t="shared" si="9"/>
        <v>-1559.7700000000002</v>
      </c>
      <c r="AE35" s="112">
        <f t="shared" si="9"/>
        <v>-1695.2200000000003</v>
      </c>
      <c r="AF35" s="112">
        <f t="shared" si="9"/>
        <v>-1731.9200000000003</v>
      </c>
      <c r="AG35" s="112">
        <f t="shared" si="9"/>
        <v>-1756.6200000000003</v>
      </c>
      <c r="AH35" s="112">
        <f t="shared" si="9"/>
        <v>-1895.6200000000003</v>
      </c>
      <c r="AI35" s="97"/>
    </row>
    <row r="36" spans="1:35" ht="15.75" customHeight="1" x14ac:dyDescent="0.25">
      <c r="A36" s="96"/>
      <c r="B36" s="99" t="s">
        <v>69</v>
      </c>
      <c r="C36" s="44"/>
      <c r="D36" s="115">
        <f>'Ago2019'!AI36</f>
        <v>5868.5700000000061</v>
      </c>
      <c r="E36" s="73">
        <f t="shared" ref="E36:AG36" si="10">D43+E6+E33</f>
        <v>5837.440000000006</v>
      </c>
      <c r="F36" s="73">
        <f t="shared" si="10"/>
        <v>5805.7500000000064</v>
      </c>
      <c r="G36" s="73">
        <f t="shared" si="10"/>
        <v>5788.6600000000062</v>
      </c>
      <c r="H36" s="73">
        <f t="shared" si="10"/>
        <v>5788.6600000000062</v>
      </c>
      <c r="I36" s="73">
        <f t="shared" si="10"/>
        <v>7784.7100000000064</v>
      </c>
      <c r="J36" s="73">
        <f t="shared" si="10"/>
        <v>7760.2400000000061</v>
      </c>
      <c r="K36" s="73">
        <f t="shared" si="10"/>
        <v>7718.860000000006</v>
      </c>
      <c r="L36" s="73">
        <f t="shared" si="10"/>
        <v>7691.9600000000064</v>
      </c>
      <c r="M36" s="73">
        <f t="shared" si="10"/>
        <v>7078.2000000000062</v>
      </c>
      <c r="N36" s="73">
        <f t="shared" si="10"/>
        <v>7053.3200000000061</v>
      </c>
      <c r="O36" s="73">
        <f t="shared" si="10"/>
        <v>7016.9600000000064</v>
      </c>
      <c r="P36" s="73">
        <f t="shared" si="10"/>
        <v>6997.1700000000064</v>
      </c>
      <c r="Q36" s="73">
        <f t="shared" si="10"/>
        <v>6993.5200000000068</v>
      </c>
      <c r="R36" s="73">
        <f t="shared" si="10"/>
        <v>6984.0200000000068</v>
      </c>
      <c r="S36" s="73">
        <f t="shared" si="10"/>
        <v>6963.5600000000068</v>
      </c>
      <c r="T36" s="73">
        <f t="shared" si="10"/>
        <v>6899.780000000007</v>
      </c>
      <c r="U36" s="73">
        <f t="shared" si="10"/>
        <v>6863.5900000000074</v>
      </c>
      <c r="V36" s="73">
        <f t="shared" si="10"/>
        <v>6845.1000000000076</v>
      </c>
      <c r="W36" s="73">
        <f t="shared" si="10"/>
        <v>6816.1300000000074</v>
      </c>
      <c r="X36" s="73">
        <f t="shared" si="10"/>
        <v>6800.6300000000074</v>
      </c>
      <c r="Y36" s="73">
        <f t="shared" si="10"/>
        <v>6810.6300000000074</v>
      </c>
      <c r="Z36" s="73">
        <f t="shared" si="10"/>
        <v>6810.6300000000074</v>
      </c>
      <c r="AA36" s="73">
        <f t="shared" si="10"/>
        <v>6755.4100000000071</v>
      </c>
      <c r="AB36" s="73">
        <f t="shared" si="10"/>
        <v>6746.4500000000071</v>
      </c>
      <c r="AC36" s="73">
        <f t="shared" si="10"/>
        <v>6734.4500000000071</v>
      </c>
      <c r="AD36" s="73">
        <f t="shared" si="10"/>
        <v>6490.8000000000075</v>
      </c>
      <c r="AE36" s="73">
        <f t="shared" si="10"/>
        <v>6355.3500000000076</v>
      </c>
      <c r="AF36" s="73">
        <f t="shared" si="10"/>
        <v>6353.6500000000078</v>
      </c>
      <c r="AG36" s="73">
        <f t="shared" si="10"/>
        <v>6328.950000000008</v>
      </c>
      <c r="AH36" s="73">
        <f>AF43+AH6+AH33</f>
        <v>6214.6500000000078</v>
      </c>
      <c r="AI36" s="97"/>
    </row>
    <row r="37" spans="1:35" ht="15.75" customHeight="1" x14ac:dyDescent="0.25">
      <c r="A37" s="96"/>
      <c r="B37" s="83" t="s">
        <v>61</v>
      </c>
      <c r="C37" s="12"/>
      <c r="D37" s="12"/>
      <c r="K37" s="7">
        <v>40</v>
      </c>
      <c r="L37" s="1"/>
      <c r="M37" s="1">
        <v>40</v>
      </c>
      <c r="N37" s="1"/>
      <c r="O37" s="1"/>
      <c r="P37" s="1"/>
      <c r="Q37" s="1"/>
      <c r="R37" s="1"/>
      <c r="S37" s="1"/>
      <c r="T37" s="1"/>
      <c r="U37" s="1">
        <v>40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>
        <v>70</v>
      </c>
      <c r="AI37" s="97"/>
    </row>
    <row r="38" spans="1:35" ht="15.75" customHeight="1" x14ac:dyDescent="0.25">
      <c r="A38" s="96"/>
      <c r="B38" s="83" t="s">
        <v>70</v>
      </c>
      <c r="C38" s="12"/>
      <c r="D38" s="12"/>
      <c r="K38" s="7">
        <v>-223.53</v>
      </c>
      <c r="L38" s="1"/>
      <c r="M38" s="1">
        <v>-291.81</v>
      </c>
      <c r="N38" s="1"/>
      <c r="O38" s="1"/>
      <c r="P38" s="1"/>
      <c r="Q38" s="1"/>
      <c r="R38" s="1"/>
      <c r="S38" s="1"/>
      <c r="T38" s="1"/>
      <c r="U38" s="1">
        <v>-591.69000000000005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f>-1029-36-11.32-4-19.2-30-6.7</f>
        <v>-1136.22</v>
      </c>
      <c r="AI38" s="97"/>
    </row>
    <row r="39" spans="1:35" ht="15.75" customHeight="1" x14ac:dyDescent="0.25">
      <c r="A39" s="96"/>
      <c r="B39" s="83" t="s">
        <v>71</v>
      </c>
      <c r="C39" s="12"/>
      <c r="D39" s="12"/>
      <c r="K39" s="7">
        <v>150.63</v>
      </c>
      <c r="L39" s="1"/>
      <c r="M39" s="1">
        <v>150.63</v>
      </c>
      <c r="N39" s="1"/>
      <c r="O39" s="1"/>
      <c r="P39" s="1"/>
      <c r="Q39" s="1"/>
      <c r="R39" s="1"/>
      <c r="S39" s="1"/>
      <c r="T39" s="1"/>
      <c r="U39" s="1">
        <v>150.63</v>
      </c>
      <c r="V39" s="1"/>
      <c r="W39" s="1"/>
      <c r="X39" s="1"/>
      <c r="Z39" s="1"/>
      <c r="AA39" s="1"/>
      <c r="AB39" s="1"/>
      <c r="AC39" s="1"/>
      <c r="AD39" s="1"/>
      <c r="AE39" s="1"/>
      <c r="AF39" s="1"/>
      <c r="AG39" s="1"/>
      <c r="AH39" s="1">
        <v>120.73</v>
      </c>
      <c r="AI39" s="97"/>
    </row>
    <row r="40" spans="1:35" ht="15.75" customHeight="1" x14ac:dyDescent="0.25">
      <c r="A40" s="96"/>
      <c r="B40" s="83" t="s">
        <v>95</v>
      </c>
      <c r="C40" s="12"/>
      <c r="D40" s="12"/>
      <c r="E40" s="1"/>
      <c r="K40" s="7">
        <f>707.56-550+6597.62+1953</f>
        <v>8708.18</v>
      </c>
      <c r="L40" s="1"/>
      <c r="M40" s="1">
        <v>8708.18</v>
      </c>
      <c r="N40" s="1"/>
      <c r="O40" s="1"/>
      <c r="P40" s="1"/>
      <c r="Q40" s="1"/>
      <c r="R40" s="1"/>
      <c r="S40" s="1"/>
      <c r="T40" s="1"/>
      <c r="U40" s="1">
        <f>234.15+8505.67</f>
        <v>8739.82</v>
      </c>
      <c r="V40" s="1"/>
      <c r="W40" s="1"/>
      <c r="X40" s="143"/>
      <c r="Y40" s="1"/>
      <c r="Z40" s="1"/>
      <c r="AA40" s="1"/>
      <c r="AB40" s="1"/>
      <c r="AC40" s="1"/>
      <c r="AD40" s="1"/>
      <c r="AE40" s="1"/>
      <c r="AF40" s="1"/>
      <c r="AG40" s="1"/>
      <c r="AH40" s="1">
        <f>8467.58+36.22</f>
        <v>8503.7999999999993</v>
      </c>
      <c r="AI40" s="97"/>
    </row>
    <row r="41" spans="1:35" ht="15.75" customHeight="1" x14ac:dyDescent="0.25">
      <c r="A41" s="96"/>
      <c r="B41" s="83" t="s">
        <v>73</v>
      </c>
      <c r="C41" s="12"/>
      <c r="D41" s="12"/>
      <c r="K41" s="7">
        <v>1867</v>
      </c>
      <c r="L41" s="1"/>
      <c r="M41" s="1">
        <v>1867</v>
      </c>
      <c r="N41" s="134"/>
      <c r="O41" s="1"/>
      <c r="P41" s="1"/>
      <c r="Q41" s="1"/>
      <c r="R41" s="1"/>
      <c r="S41" s="1"/>
      <c r="T41" s="1"/>
      <c r="U41" s="1">
        <v>1867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1867</v>
      </c>
      <c r="AI41" s="97"/>
    </row>
    <row r="42" spans="1:35" ht="15.75" customHeight="1" x14ac:dyDescent="0.25">
      <c r="A42" s="96"/>
      <c r="B42" s="83" t="s">
        <v>119</v>
      </c>
      <c r="C42" s="12"/>
      <c r="D42" s="12"/>
      <c r="K42" s="7">
        <v>0</v>
      </c>
      <c r="L42" s="1"/>
      <c r="M42" s="1">
        <v>0</v>
      </c>
      <c r="N42" s="134"/>
      <c r="O42" s="1"/>
      <c r="P42" s="1"/>
      <c r="Q42" s="1"/>
      <c r="R42" s="1"/>
      <c r="S42" s="1"/>
      <c r="T42" s="1"/>
      <c r="U42" s="1">
        <v>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>
        <v>50</v>
      </c>
      <c r="AI42" s="97"/>
    </row>
    <row r="43" spans="1:35" ht="15.75" customHeight="1" x14ac:dyDescent="0.25">
      <c r="A43" s="96"/>
      <c r="B43" s="86" t="s">
        <v>80</v>
      </c>
      <c r="C43" s="12"/>
      <c r="D43" s="50">
        <f t="shared" ref="D43:AH43" si="11">D36</f>
        <v>5868.5700000000061</v>
      </c>
      <c r="E43" s="50">
        <f t="shared" si="11"/>
        <v>5837.440000000006</v>
      </c>
      <c r="F43" s="50">
        <f t="shared" si="11"/>
        <v>5805.7500000000064</v>
      </c>
      <c r="G43" s="50">
        <f t="shared" si="11"/>
        <v>5788.6600000000062</v>
      </c>
      <c r="H43" s="50">
        <f t="shared" si="11"/>
        <v>5788.6600000000062</v>
      </c>
      <c r="I43" s="50">
        <f t="shared" si="11"/>
        <v>7784.7100000000064</v>
      </c>
      <c r="J43" s="50">
        <f t="shared" si="11"/>
        <v>7760.2400000000061</v>
      </c>
      <c r="K43" s="50">
        <f t="shared" si="11"/>
        <v>7718.860000000006</v>
      </c>
      <c r="L43" s="50">
        <f t="shared" si="11"/>
        <v>7691.9600000000064</v>
      </c>
      <c r="M43" s="50">
        <f t="shared" si="11"/>
        <v>7078.2000000000062</v>
      </c>
      <c r="N43" s="50">
        <f t="shared" si="11"/>
        <v>7053.3200000000061</v>
      </c>
      <c r="O43" s="50">
        <f t="shared" si="11"/>
        <v>7016.9600000000064</v>
      </c>
      <c r="P43" s="50">
        <f t="shared" si="11"/>
        <v>6997.1700000000064</v>
      </c>
      <c r="Q43" s="50">
        <f t="shared" si="11"/>
        <v>6993.5200000000068</v>
      </c>
      <c r="R43" s="50">
        <f t="shared" si="11"/>
        <v>6984.0200000000068</v>
      </c>
      <c r="S43" s="50">
        <f t="shared" si="11"/>
        <v>6963.5600000000068</v>
      </c>
      <c r="T43" s="50">
        <f t="shared" si="11"/>
        <v>6899.780000000007</v>
      </c>
      <c r="U43" s="50">
        <f t="shared" si="11"/>
        <v>6863.5900000000074</v>
      </c>
      <c r="V43" s="50">
        <f t="shared" si="11"/>
        <v>6845.1000000000076</v>
      </c>
      <c r="W43" s="50">
        <f t="shared" si="11"/>
        <v>6816.1300000000074</v>
      </c>
      <c r="X43" s="50">
        <f t="shared" si="11"/>
        <v>6800.6300000000074</v>
      </c>
      <c r="Y43" s="50">
        <f t="shared" si="11"/>
        <v>6810.6300000000074</v>
      </c>
      <c r="Z43" s="50">
        <f t="shared" si="11"/>
        <v>6810.6300000000074</v>
      </c>
      <c r="AA43" s="73">
        <f t="shared" si="11"/>
        <v>6755.4100000000071</v>
      </c>
      <c r="AB43" s="50">
        <f t="shared" si="11"/>
        <v>6746.4500000000071</v>
      </c>
      <c r="AC43" s="50">
        <f t="shared" si="11"/>
        <v>6734.4500000000071</v>
      </c>
      <c r="AD43" s="50">
        <f t="shared" si="11"/>
        <v>6490.8000000000075</v>
      </c>
      <c r="AE43" s="50">
        <f t="shared" si="11"/>
        <v>6355.3500000000076</v>
      </c>
      <c r="AF43" s="50">
        <f t="shared" si="11"/>
        <v>6353.6500000000078</v>
      </c>
      <c r="AG43" s="50">
        <f t="shared" si="11"/>
        <v>6328.950000000008</v>
      </c>
      <c r="AH43" s="50">
        <f t="shared" si="11"/>
        <v>6214.6500000000078</v>
      </c>
      <c r="AI43" s="97"/>
    </row>
    <row r="44" spans="1:35" ht="15.75" customHeight="1" x14ac:dyDescent="0.25">
      <c r="A44" s="96"/>
      <c r="B44" s="117" t="s">
        <v>74</v>
      </c>
      <c r="C44" s="70"/>
      <c r="D44" s="70"/>
      <c r="E44" s="138"/>
      <c r="F44" s="138"/>
      <c r="G44" s="138"/>
      <c r="H44" s="138"/>
      <c r="I44" s="138"/>
      <c r="J44" s="138"/>
      <c r="K44" s="138">
        <f>SUM(K37:K41)</f>
        <v>10542.28</v>
      </c>
      <c r="L44" s="69"/>
      <c r="M44" s="69">
        <f>SUM(M37:M41)</f>
        <v>10474</v>
      </c>
      <c r="N44" s="69"/>
      <c r="O44" s="69"/>
      <c r="P44" s="71"/>
      <c r="Q44" s="71"/>
      <c r="R44" s="71"/>
      <c r="S44" s="71"/>
      <c r="T44" s="71"/>
      <c r="U44" s="69">
        <f>SUM(U37:U41)</f>
        <v>10205.76</v>
      </c>
      <c r="V44" s="71"/>
      <c r="W44" s="71"/>
      <c r="X44" s="71"/>
      <c r="Y44" s="71"/>
      <c r="Z44" s="71"/>
      <c r="AA44" s="1"/>
      <c r="AB44" s="71"/>
      <c r="AC44" s="71"/>
      <c r="AD44" s="71"/>
      <c r="AE44" s="71"/>
      <c r="AF44" s="71"/>
      <c r="AG44" s="71"/>
      <c r="AH44" s="71">
        <f>SUM(AH37:AH42)</f>
        <v>9475.31</v>
      </c>
      <c r="AI44" s="97"/>
    </row>
    <row r="45" spans="1:35" ht="9" customHeight="1" x14ac:dyDescent="0.25">
      <c r="A45" s="96"/>
      <c r="B45" s="97"/>
      <c r="C45" s="127"/>
      <c r="D45" s="12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6"/>
    </row>
    <row r="46" spans="1:35" ht="15.75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5" ht="15.75" customHeight="1" x14ac:dyDescent="0.25">
      <c r="B47" s="1"/>
      <c r="C47" s="1"/>
      <c r="D47" s="1"/>
      <c r="K47" s="5"/>
      <c r="L47" s="5"/>
      <c r="M47" s="5"/>
      <c r="N47" s="128"/>
      <c r="O47" s="5"/>
      <c r="P47" s="5"/>
      <c r="Q47" s="5"/>
      <c r="R47" s="128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5" ht="15.75" customHeight="1" x14ac:dyDescent="0.25">
      <c r="B48" s="1"/>
      <c r="C48" s="1"/>
      <c r="D48" s="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2:36" ht="15.75" customHeight="1" x14ac:dyDescent="0.25">
      <c r="B49" s="1"/>
      <c r="C49" s="1"/>
      <c r="D49" s="1"/>
      <c r="E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J49" s="128"/>
    </row>
    <row r="50" spans="2:36" ht="15.75" customHeight="1" x14ac:dyDescent="0.25">
      <c r="B50" s="1"/>
      <c r="C50" s="1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</row>
    <row r="51" spans="2:36" ht="15.75" customHeight="1" x14ac:dyDescent="0.25">
      <c r="B51" s="1"/>
      <c r="C51" s="1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</row>
    <row r="52" spans="2:36" ht="15.75" customHeight="1" x14ac:dyDescent="0.25">
      <c r="C52" s="15"/>
      <c r="D52" s="1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2:36" ht="15.75" customHeight="1" x14ac:dyDescent="0.25">
      <c r="I53" s="1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</row>
    <row r="54" spans="2:36" ht="15.75" customHeight="1" x14ac:dyDescent="0.25"/>
    <row r="55" spans="2:36" ht="15.75" customHeight="1" x14ac:dyDescent="0.25"/>
    <row r="56" spans="2:36" ht="15.7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2:36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2:36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2:36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2:36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2:36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2:36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2:36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2:36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2:34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2:34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2:34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2:34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2:34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2:34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2:34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2:34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2:34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2:34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2:34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2:34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2:34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2:34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2:34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2:34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2:34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2:34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2:34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2:34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2:34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2:34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2:34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2:34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2:34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2:34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2:34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2:34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2:34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2:34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2:34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2:34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2:34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2:34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2:34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2:34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2:34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2:34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2:34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2:34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2:34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2:34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2:34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2:34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2:34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2:34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2:34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2:34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2:34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2:34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2:34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2:34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2:34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2:34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2:34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2:34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2:34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2:34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2:34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2:34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2:34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2:34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2:34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2:34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2:34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2:34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2:34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2:34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2:34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2:34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2:34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2:34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2:34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2:34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2:34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2:34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2:34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2:34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2:34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2:34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2:34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2:34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2:34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2:34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2:34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2:34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2:34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2:34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2:34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2:34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2:34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2:34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2:34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2:34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2:34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2:34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2:34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2:34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2:34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2:34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2:34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2:34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2:34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2:34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2:34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2:34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2:34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2:34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2:34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2:34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2:34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2:34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2:34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2:34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2:34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2:34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2:34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2:34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2:34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2:34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2:34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2:34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2:34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2:34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2:34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2:34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2:34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2:34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2:34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2:34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2:34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2:34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2:34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2:34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2:34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2:34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2:34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2:34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2:34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2:34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2:34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2:34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2:34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2:34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2:34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2:34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2:34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2:34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2:34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2:34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2:34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2:34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2:34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2:34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2:34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2:34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2:34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2:34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2:34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2:34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2:34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2:34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2:34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2:34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2:34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2:34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2:34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2:34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2:34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2:34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2:34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2:34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2:34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2:34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2:34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2:34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2:34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2:34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2:34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2:34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2:34" ht="15.75" customHeight="1" x14ac:dyDescent="0.25"/>
    <row r="246" spans="2:34" ht="15.75" customHeight="1" x14ac:dyDescent="0.25"/>
    <row r="247" spans="2:34" ht="15.75" customHeight="1" x14ac:dyDescent="0.25"/>
    <row r="248" spans="2:34" ht="15.75" customHeight="1" x14ac:dyDescent="0.25"/>
    <row r="249" spans="2:34" ht="15.75" customHeight="1" x14ac:dyDescent="0.25"/>
    <row r="250" spans="2:34" ht="15.75" customHeight="1" x14ac:dyDescent="0.25"/>
    <row r="251" spans="2:34" ht="15.75" customHeight="1" x14ac:dyDescent="0.25"/>
    <row r="252" spans="2:34" ht="15.75" customHeight="1" x14ac:dyDescent="0.25"/>
    <row r="253" spans="2:34" ht="15.75" customHeight="1" x14ac:dyDescent="0.25"/>
    <row r="254" spans="2:34" ht="15.75" customHeight="1" x14ac:dyDescent="0.25"/>
    <row r="255" spans="2:34" ht="15.75" customHeight="1" x14ac:dyDescent="0.25"/>
    <row r="256" spans="2:3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conditionalFormatting sqref="C4">
    <cfRule type="cellIs" dxfId="114" priority="1" operator="lessThan">
      <formula>0</formula>
    </cfRule>
  </conditionalFormatting>
  <conditionalFormatting sqref="C4">
    <cfRule type="cellIs" dxfId="113" priority="2" operator="greaterThan">
      <formula>0</formula>
    </cfRule>
  </conditionalFormatting>
  <conditionalFormatting sqref="C4">
    <cfRule type="cellIs" dxfId="112" priority="3" operator="less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1001"/>
  <sheetViews>
    <sheetView showGridLines="0" workbookViewId="0">
      <pane xSplit="9" ySplit="6" topLeftCell="J9" activePane="bottomRight" state="frozen"/>
      <selection pane="topRight" activeCell="J1" sqref="J1"/>
      <selection pane="bottomLeft" activeCell="A7" sqref="A7"/>
      <selection pane="bottomRight" activeCell="I26" sqref="I26:J26"/>
    </sheetView>
  </sheetViews>
  <sheetFormatPr defaultColWidth="14.42578125" defaultRowHeight="15" customHeight="1" x14ac:dyDescent="0.25"/>
  <cols>
    <col min="1" max="1" width="3.42578125" customWidth="1"/>
    <col min="2" max="2" width="27.85546875" customWidth="1"/>
    <col min="3" max="3" width="1.140625" customWidth="1"/>
    <col min="4" max="4" width="1.28515625" customWidth="1"/>
    <col min="5" max="5" width="1.7109375" customWidth="1"/>
    <col min="6" max="6" width="16.28515625" customWidth="1"/>
    <col min="7" max="7" width="8.5703125" customWidth="1"/>
    <col min="8" max="8" width="7.42578125" customWidth="1"/>
    <col min="9" max="9" width="8" bestFit="1" customWidth="1"/>
    <col min="10" max="10" width="7.7109375" bestFit="1" customWidth="1"/>
    <col min="11" max="12" width="7.5703125" customWidth="1"/>
    <col min="13" max="16" width="9.85546875" customWidth="1"/>
    <col min="17" max="17" width="10" customWidth="1"/>
    <col min="18" max="26" width="9.85546875" customWidth="1"/>
    <col min="27" max="30" width="10.28515625" customWidth="1"/>
    <col min="31" max="31" width="10.140625" customWidth="1"/>
    <col min="32" max="40" width="10.28515625" customWidth="1"/>
    <col min="41" max="41" width="10.140625" customWidth="1"/>
    <col min="42" max="42" width="2" customWidth="1"/>
    <col min="43" max="43" width="3.42578125" customWidth="1"/>
    <col min="44" max="44" width="5.5703125" customWidth="1"/>
    <col min="45" max="45" width="5.7109375" customWidth="1"/>
  </cols>
  <sheetData>
    <row r="1" spans="1:45" ht="6.75" customHeight="1" x14ac:dyDescent="0.25"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</row>
    <row r="2" spans="1:45" ht="17.25" x14ac:dyDescent="0.3">
      <c r="B2" s="285" t="s">
        <v>100</v>
      </c>
      <c r="C2" s="286"/>
      <c r="D2" s="121"/>
      <c r="E2" s="96"/>
      <c r="F2" s="74" t="s">
        <v>45</v>
      </c>
      <c r="G2" s="144"/>
      <c r="H2" s="144"/>
      <c r="I2" s="75">
        <f>SUM(I7:I29)</f>
        <v>-1659.5516666666667</v>
      </c>
      <c r="J2" s="12"/>
      <c r="K2" s="48">
        <f t="shared" ref="K2:AO2" si="0">K6/$C$4</f>
        <v>9.8388370771725145E-3</v>
      </c>
      <c r="L2" s="48">
        <f t="shared" si="0"/>
        <v>1.0263223535606892E-2</v>
      </c>
      <c r="M2" s="48">
        <f t="shared" si="0"/>
        <v>1.2757576597425277E-2</v>
      </c>
      <c r="N2" s="48">
        <f t="shared" si="0"/>
        <v>1.4723611823233517E-2</v>
      </c>
      <c r="O2" s="48">
        <f t="shared" si="0"/>
        <v>8.9207765752532496E-3</v>
      </c>
      <c r="P2" s="48">
        <f t="shared" si="0"/>
        <v>0</v>
      </c>
      <c r="Q2" s="48">
        <f t="shared" si="0"/>
        <v>0.51348163186120321</v>
      </c>
      <c r="R2" s="48">
        <f t="shared" si="0"/>
        <v>2.6329282319194052E-2</v>
      </c>
      <c r="S2" s="48">
        <f t="shared" si="0"/>
        <v>2.4640397433587858E-2</v>
      </c>
      <c r="T2" s="48">
        <f t="shared" si="0"/>
        <v>2.6415891800507189E-3</v>
      </c>
      <c r="U2" s="48">
        <f t="shared" si="0"/>
        <v>1.8136025386971167E-2</v>
      </c>
      <c r="V2" s="48">
        <f t="shared" si="0"/>
        <v>4.3105538849548944E-2</v>
      </c>
      <c r="W2" s="48">
        <f t="shared" si="0"/>
        <v>1.9088729681415686E-2</v>
      </c>
      <c r="X2" s="48">
        <f t="shared" si="0"/>
        <v>-3.4643792525255331E-3</v>
      </c>
      <c r="Y2" s="48">
        <f t="shared" si="0"/>
        <v>3.721609412025554E-2</v>
      </c>
      <c r="Z2" s="48">
        <f t="shared" si="0"/>
        <v>3.4557183043942199E-3</v>
      </c>
      <c r="AA2" s="48">
        <f t="shared" si="0"/>
        <v>0.13511079084849581</v>
      </c>
      <c r="AB2" s="48">
        <f t="shared" si="0"/>
        <v>0</v>
      </c>
      <c r="AC2" s="48">
        <f t="shared" si="0"/>
        <v>4.3218131175256025E-2</v>
      </c>
      <c r="AD2" s="48">
        <f t="shared" si="0"/>
        <v>2.9481867438992289E-2</v>
      </c>
      <c r="AE2" s="48">
        <f t="shared" si="0"/>
        <v>3.4236727963083587E-2</v>
      </c>
      <c r="AF2" s="48">
        <f t="shared" si="0"/>
        <v>1.7235286781314526E-2</v>
      </c>
      <c r="AG2" s="48">
        <f t="shared" si="0"/>
        <v>1.358036666990009E-2</v>
      </c>
      <c r="AH2" s="48">
        <f t="shared" si="0"/>
        <v>0</v>
      </c>
      <c r="AI2" s="48">
        <f t="shared" si="0"/>
        <v>1.3996092180203154E-2</v>
      </c>
      <c r="AJ2" s="48">
        <f t="shared" si="0"/>
        <v>6.0531366489752381E-2</v>
      </c>
      <c r="AK2" s="48">
        <f t="shared" si="0"/>
        <v>8.660948131313833E-3</v>
      </c>
      <c r="AL2" s="48">
        <f t="shared" si="0"/>
        <v>5.413092582071146E-2</v>
      </c>
      <c r="AM2" s="48">
        <f t="shared" si="0"/>
        <v>2.7853609190305283E-2</v>
      </c>
      <c r="AN2" s="48">
        <f t="shared" si="0"/>
        <v>3.4513878303285624E-2</v>
      </c>
      <c r="AO2" s="48">
        <f t="shared" si="0"/>
        <v>0</v>
      </c>
      <c r="AP2" s="97"/>
    </row>
    <row r="3" spans="1:45" hidden="1" x14ac:dyDescent="0.25">
      <c r="D3" s="54"/>
      <c r="E3" s="96"/>
      <c r="F3" s="76"/>
      <c r="G3" s="54"/>
      <c r="H3" s="54"/>
      <c r="I3" s="77"/>
      <c r="J3" s="1"/>
      <c r="K3" s="55" t="str">
        <f t="shared" ref="K3:AO3" si="1">IF(OR(K4="sex",K4="sáb",K4="dom"),"fds","sem")</f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55" t="str">
        <f t="shared" si="1"/>
        <v>sem</v>
      </c>
      <c r="AK3" s="55" t="str">
        <f t="shared" si="1"/>
        <v>sem</v>
      </c>
      <c r="AL3" s="55" t="str">
        <f t="shared" si="1"/>
        <v>sem</v>
      </c>
      <c r="AM3" s="55" t="str">
        <f t="shared" si="1"/>
        <v>sem</v>
      </c>
      <c r="AN3" s="55" t="str">
        <f t="shared" si="1"/>
        <v>sem</v>
      </c>
      <c r="AO3" s="55" t="str">
        <f t="shared" si="1"/>
        <v>sem</v>
      </c>
      <c r="AP3" s="96"/>
      <c r="AR3" s="78" t="s">
        <v>0</v>
      </c>
      <c r="AS3" s="1" t="s">
        <v>64</v>
      </c>
    </row>
    <row r="4" spans="1:45" x14ac:dyDescent="0.25">
      <c r="B4" s="145" t="s">
        <v>101</v>
      </c>
      <c r="C4" s="87">
        <f>-I30*(1-C6)</f>
        <v>-1154.6079999999997</v>
      </c>
      <c r="D4" s="146"/>
      <c r="E4" s="96"/>
      <c r="F4" s="79" t="s">
        <v>47</v>
      </c>
      <c r="G4" s="86"/>
      <c r="H4" s="86"/>
      <c r="I4" s="102">
        <f>I30+I2</f>
        <v>-10.111666666666906</v>
      </c>
      <c r="J4" s="104" t="s">
        <v>7</v>
      </c>
      <c r="K4" s="105" t="str">
        <f t="shared" ref="K4:AO4" si="2">TEXT(K5,"ddd")</f>
        <v>Tue</v>
      </c>
      <c r="L4" s="105" t="str">
        <f t="shared" si="2"/>
        <v>Wed</v>
      </c>
      <c r="M4" s="105" t="str">
        <f t="shared" si="2"/>
        <v>Thu</v>
      </c>
      <c r="N4" s="105" t="str">
        <f t="shared" si="2"/>
        <v>Fri</v>
      </c>
      <c r="O4" s="105" t="str">
        <f t="shared" si="2"/>
        <v>Sat</v>
      </c>
      <c r="P4" s="105" t="str">
        <f t="shared" si="2"/>
        <v>Sun</v>
      </c>
      <c r="Q4" s="105" t="str">
        <f t="shared" si="2"/>
        <v>Mon</v>
      </c>
      <c r="R4" s="105" t="str">
        <f t="shared" si="2"/>
        <v>Tue</v>
      </c>
      <c r="S4" s="105" t="str">
        <f t="shared" si="2"/>
        <v>Wed</v>
      </c>
      <c r="T4" s="105" t="str">
        <f t="shared" si="2"/>
        <v>Thu</v>
      </c>
      <c r="U4" s="105" t="str">
        <f t="shared" si="2"/>
        <v>Fri</v>
      </c>
      <c r="V4" s="105" t="str">
        <f t="shared" si="2"/>
        <v>Sat</v>
      </c>
      <c r="W4" s="105" t="str">
        <f t="shared" si="2"/>
        <v>Sun</v>
      </c>
      <c r="X4" s="105" t="str">
        <f t="shared" si="2"/>
        <v>Mon</v>
      </c>
      <c r="Y4" s="105" t="str">
        <f t="shared" si="2"/>
        <v>Tue</v>
      </c>
      <c r="Z4" s="105" t="str">
        <f t="shared" si="2"/>
        <v>Wed</v>
      </c>
      <c r="AA4" s="105" t="str">
        <f t="shared" si="2"/>
        <v>Thu</v>
      </c>
      <c r="AB4" s="105" t="str">
        <f t="shared" si="2"/>
        <v>Fri</v>
      </c>
      <c r="AC4" s="105" t="str">
        <f t="shared" si="2"/>
        <v>Sat</v>
      </c>
      <c r="AD4" s="105" t="str">
        <f t="shared" si="2"/>
        <v>Sun</v>
      </c>
      <c r="AE4" s="105" t="str">
        <f t="shared" si="2"/>
        <v>Mon</v>
      </c>
      <c r="AF4" s="105" t="str">
        <f t="shared" si="2"/>
        <v>Tue</v>
      </c>
      <c r="AG4" s="105" t="str">
        <f t="shared" si="2"/>
        <v>Wed</v>
      </c>
      <c r="AH4" s="105" t="str">
        <f t="shared" si="2"/>
        <v>Thu</v>
      </c>
      <c r="AI4" s="105" t="str">
        <f t="shared" si="2"/>
        <v>Fri</v>
      </c>
      <c r="AJ4" s="105" t="str">
        <f t="shared" si="2"/>
        <v>Sat</v>
      </c>
      <c r="AK4" s="105" t="str">
        <f t="shared" si="2"/>
        <v>Sun</v>
      </c>
      <c r="AL4" s="105" t="str">
        <f t="shared" si="2"/>
        <v>Mon</v>
      </c>
      <c r="AM4" s="105" t="str">
        <f t="shared" si="2"/>
        <v>Tue</v>
      </c>
      <c r="AN4" s="105" t="str">
        <f t="shared" si="2"/>
        <v>Wed</v>
      </c>
      <c r="AO4" s="105" t="str">
        <f t="shared" si="2"/>
        <v>Thu</v>
      </c>
      <c r="AP4" s="96"/>
    </row>
    <row r="5" spans="1:45" x14ac:dyDescent="0.25">
      <c r="B5" s="147" t="s">
        <v>102</v>
      </c>
      <c r="C5" s="148">
        <f>I30*C6</f>
        <v>494.83199999999994</v>
      </c>
      <c r="D5" s="149"/>
      <c r="E5" s="96"/>
      <c r="F5" s="81" t="s">
        <v>51</v>
      </c>
      <c r="G5" s="150"/>
      <c r="H5" s="150"/>
      <c r="I5" s="108">
        <f>-I4/-I30</f>
        <v>-6.130363436479597E-3</v>
      </c>
      <c r="J5" s="109"/>
      <c r="K5" s="111">
        <f>DATE($AR$9,$AR$11,1)</f>
        <v>43739</v>
      </c>
      <c r="L5" s="111">
        <f t="shared" ref="L5:AO5" si="3">K5+1</f>
        <v>43740</v>
      </c>
      <c r="M5" s="111">
        <f t="shared" si="3"/>
        <v>43741</v>
      </c>
      <c r="N5" s="111">
        <f t="shared" si="3"/>
        <v>43742</v>
      </c>
      <c r="O5" s="111">
        <f t="shared" si="3"/>
        <v>43743</v>
      </c>
      <c r="P5" s="111">
        <f t="shared" si="3"/>
        <v>43744</v>
      </c>
      <c r="Q5" s="111">
        <f t="shared" si="3"/>
        <v>43745</v>
      </c>
      <c r="R5" s="111">
        <f t="shared" si="3"/>
        <v>43746</v>
      </c>
      <c r="S5" s="111">
        <f t="shared" si="3"/>
        <v>43747</v>
      </c>
      <c r="T5" s="111">
        <f t="shared" si="3"/>
        <v>43748</v>
      </c>
      <c r="U5" s="111">
        <f t="shared" si="3"/>
        <v>43749</v>
      </c>
      <c r="V5" s="111">
        <f t="shared" si="3"/>
        <v>43750</v>
      </c>
      <c r="W5" s="111">
        <f t="shared" si="3"/>
        <v>43751</v>
      </c>
      <c r="X5" s="111">
        <f t="shared" si="3"/>
        <v>43752</v>
      </c>
      <c r="Y5" s="111">
        <f t="shared" si="3"/>
        <v>43753</v>
      </c>
      <c r="Z5" s="111">
        <f t="shared" si="3"/>
        <v>43754</v>
      </c>
      <c r="AA5" s="111">
        <f t="shared" si="3"/>
        <v>43755</v>
      </c>
      <c r="AB5" s="111">
        <f t="shared" si="3"/>
        <v>43756</v>
      </c>
      <c r="AC5" s="111">
        <f t="shared" si="3"/>
        <v>43757</v>
      </c>
      <c r="AD5" s="111">
        <f t="shared" si="3"/>
        <v>43758</v>
      </c>
      <c r="AE5" s="111">
        <f t="shared" si="3"/>
        <v>43759</v>
      </c>
      <c r="AF5" s="111">
        <f t="shared" si="3"/>
        <v>43760</v>
      </c>
      <c r="AG5" s="111">
        <f t="shared" si="3"/>
        <v>43761</v>
      </c>
      <c r="AH5" s="111">
        <f t="shared" si="3"/>
        <v>43762</v>
      </c>
      <c r="AI5" s="111">
        <f t="shared" si="3"/>
        <v>43763</v>
      </c>
      <c r="AJ5" s="111">
        <f t="shared" si="3"/>
        <v>43764</v>
      </c>
      <c r="AK5" s="111">
        <f t="shared" si="3"/>
        <v>43765</v>
      </c>
      <c r="AL5" s="111">
        <f t="shared" si="3"/>
        <v>43766</v>
      </c>
      <c r="AM5" s="111">
        <f t="shared" si="3"/>
        <v>43767</v>
      </c>
      <c r="AN5" s="111">
        <f t="shared" si="3"/>
        <v>43768</v>
      </c>
      <c r="AO5" s="111">
        <f t="shared" si="3"/>
        <v>43769</v>
      </c>
      <c r="AP5" s="96"/>
    </row>
    <row r="6" spans="1:45" x14ac:dyDescent="0.25">
      <c r="B6" s="151" t="s">
        <v>103</v>
      </c>
      <c r="C6" s="152">
        <v>0.3</v>
      </c>
      <c r="E6" s="96"/>
      <c r="F6" s="83"/>
      <c r="G6" s="153" t="s">
        <v>104</v>
      </c>
      <c r="H6" s="153" t="s">
        <v>105</v>
      </c>
      <c r="I6" s="154" t="s">
        <v>106</v>
      </c>
      <c r="J6" s="155">
        <f t="shared" ref="J6:AO6" si="4">SUM(J7:J28)</f>
        <v>1.4373290906235423</v>
      </c>
      <c r="K6" s="156">
        <f t="shared" si="4"/>
        <v>-11.36</v>
      </c>
      <c r="L6" s="156">
        <f t="shared" si="4"/>
        <v>-11.85</v>
      </c>
      <c r="M6" s="156">
        <f t="shared" si="4"/>
        <v>-14.73</v>
      </c>
      <c r="N6" s="156">
        <f t="shared" si="4"/>
        <v>-17</v>
      </c>
      <c r="O6" s="156">
        <f t="shared" si="4"/>
        <v>-10.3</v>
      </c>
      <c r="P6" s="156">
        <f t="shared" si="4"/>
        <v>0</v>
      </c>
      <c r="Q6" s="156">
        <f t="shared" si="4"/>
        <v>-592.87</v>
      </c>
      <c r="R6" s="156">
        <f t="shared" si="4"/>
        <v>-30.4</v>
      </c>
      <c r="S6" s="156">
        <f t="shared" si="4"/>
        <v>-28.450000000000003</v>
      </c>
      <c r="T6" s="156">
        <f t="shared" si="4"/>
        <v>-3.05</v>
      </c>
      <c r="U6" s="156">
        <f t="shared" si="4"/>
        <v>-20.94</v>
      </c>
      <c r="V6" s="156">
        <f t="shared" si="4"/>
        <v>-49.769999999999996</v>
      </c>
      <c r="W6" s="156">
        <f t="shared" si="4"/>
        <v>-22.04</v>
      </c>
      <c r="X6" s="156">
        <f t="shared" si="4"/>
        <v>4</v>
      </c>
      <c r="Y6" s="156">
        <f t="shared" si="4"/>
        <v>-42.97</v>
      </c>
      <c r="Z6" s="156">
        <f t="shared" si="4"/>
        <v>-3.99</v>
      </c>
      <c r="AA6" s="156">
        <f t="shared" si="4"/>
        <v>-156</v>
      </c>
      <c r="AB6" s="156">
        <f t="shared" si="4"/>
        <v>0</v>
      </c>
      <c r="AC6" s="156">
        <f t="shared" si="4"/>
        <v>-49.9</v>
      </c>
      <c r="AD6" s="156">
        <f t="shared" si="4"/>
        <v>-34.04</v>
      </c>
      <c r="AE6" s="156">
        <f t="shared" si="4"/>
        <v>-39.53</v>
      </c>
      <c r="AF6" s="156">
        <f t="shared" si="4"/>
        <v>-19.899999999999999</v>
      </c>
      <c r="AG6" s="156">
        <f t="shared" si="4"/>
        <v>-15.68</v>
      </c>
      <c r="AH6" s="156">
        <f t="shared" si="4"/>
        <v>0</v>
      </c>
      <c r="AI6" s="156">
        <f t="shared" si="4"/>
        <v>-16.16</v>
      </c>
      <c r="AJ6" s="156">
        <f t="shared" si="4"/>
        <v>-69.89</v>
      </c>
      <c r="AK6" s="156">
        <f t="shared" si="4"/>
        <v>-10</v>
      </c>
      <c r="AL6" s="156">
        <f t="shared" si="4"/>
        <v>-62.5</v>
      </c>
      <c r="AM6" s="156">
        <f t="shared" si="4"/>
        <v>-32.159999999999997</v>
      </c>
      <c r="AN6" s="156">
        <f t="shared" si="4"/>
        <v>-39.85</v>
      </c>
      <c r="AO6" s="156">
        <f t="shared" si="4"/>
        <v>0</v>
      </c>
      <c r="AP6" s="96"/>
    </row>
    <row r="7" spans="1:45" x14ac:dyDescent="0.25">
      <c r="E7" s="96"/>
      <c r="F7" s="86" t="s">
        <v>107</v>
      </c>
      <c r="G7" s="121">
        <f t="shared" ref="G7:G8" si="5">C18</f>
        <v>-130</v>
      </c>
      <c r="H7" s="121">
        <f t="shared" ref="H7:H28" si="6">I7-G7</f>
        <v>-94.239999999999981</v>
      </c>
      <c r="I7" s="87">
        <f t="shared" ref="I7:I29" si="7">SUM(K7:AN7)</f>
        <v>-224.23999999999998</v>
      </c>
      <c r="J7" s="88">
        <f t="shared" ref="J7:J29" si="8">I7/$C$4</f>
        <v>0.19421310089658139</v>
      </c>
      <c r="K7" s="89" t="s">
        <v>66</v>
      </c>
      <c r="L7" s="89">
        <v>-11.85</v>
      </c>
      <c r="M7" s="89">
        <f>-6-4</f>
        <v>-10</v>
      </c>
      <c r="N7" s="89">
        <v>-7</v>
      </c>
      <c r="O7" s="89">
        <v>-10.3</v>
      </c>
      <c r="P7" s="89" t="s">
        <v>66</v>
      </c>
      <c r="Q7" s="89" t="s">
        <v>66</v>
      </c>
      <c r="R7" s="89" t="s">
        <v>66</v>
      </c>
      <c r="S7" s="89" t="s">
        <v>66</v>
      </c>
      <c r="T7" s="89" t="s">
        <v>66</v>
      </c>
      <c r="U7" s="89" t="s">
        <v>66</v>
      </c>
      <c r="V7" s="89">
        <v>-9</v>
      </c>
      <c r="W7" s="89" t="s">
        <v>66</v>
      </c>
      <c r="X7" s="89" t="s">
        <v>66</v>
      </c>
      <c r="Y7" s="89">
        <v>-19.91</v>
      </c>
      <c r="Z7" s="89" t="s">
        <v>66</v>
      </c>
      <c r="AA7" s="89">
        <v>-6</v>
      </c>
      <c r="AB7" s="89" t="s">
        <v>66</v>
      </c>
      <c r="AC7" s="89">
        <v>-20</v>
      </c>
      <c r="AD7" s="89">
        <v>-13.86</v>
      </c>
      <c r="AE7" s="89" t="s">
        <v>66</v>
      </c>
      <c r="AF7" s="89">
        <v>-19.899999999999999</v>
      </c>
      <c r="AG7" s="89" t="s">
        <v>66</v>
      </c>
      <c r="AH7" s="89" t="s">
        <v>66</v>
      </c>
      <c r="AI7" s="89" t="s">
        <v>66</v>
      </c>
      <c r="AJ7" s="89">
        <v>-7</v>
      </c>
      <c r="AK7" s="89" t="s">
        <v>66</v>
      </c>
      <c r="AL7" s="89">
        <v>-22.91</v>
      </c>
      <c r="AM7" s="89">
        <v>-30.16</v>
      </c>
      <c r="AN7" s="89">
        <v>-36.35</v>
      </c>
      <c r="AO7" s="89" t="s">
        <v>66</v>
      </c>
      <c r="AP7" s="96" t="s">
        <v>66</v>
      </c>
    </row>
    <row r="8" spans="1:45" x14ac:dyDescent="0.25">
      <c r="B8" s="157" t="s">
        <v>108</v>
      </c>
      <c r="C8" s="121">
        <f>C10-C4</f>
        <v>-142.28200000000015</v>
      </c>
      <c r="D8" s="158"/>
      <c r="E8" s="96"/>
      <c r="F8" s="86" t="s">
        <v>22</v>
      </c>
      <c r="G8" s="121">
        <f t="shared" si="5"/>
        <v>-20</v>
      </c>
      <c r="H8" s="121">
        <f t="shared" si="6"/>
        <v>16</v>
      </c>
      <c r="I8" s="87">
        <f t="shared" si="7"/>
        <v>-4</v>
      </c>
      <c r="J8" s="91">
        <f t="shared" si="8"/>
        <v>3.4643792525255331E-3</v>
      </c>
      <c r="K8" s="92" t="s">
        <v>66</v>
      </c>
      <c r="L8" s="92" t="s">
        <v>66</v>
      </c>
      <c r="M8" s="92" t="s">
        <v>66</v>
      </c>
      <c r="N8" s="92" t="s">
        <v>66</v>
      </c>
      <c r="O8" s="92" t="s">
        <v>66</v>
      </c>
      <c r="P8" s="92" t="s">
        <v>66</v>
      </c>
      <c r="Q8" s="92" t="s">
        <v>66</v>
      </c>
      <c r="R8" s="92" t="s">
        <v>66</v>
      </c>
      <c r="S8" s="92" t="s">
        <v>66</v>
      </c>
      <c r="T8" s="92" t="s">
        <v>66</v>
      </c>
      <c r="U8" s="92" t="s">
        <v>66</v>
      </c>
      <c r="V8" s="92" t="s">
        <v>66</v>
      </c>
      <c r="W8" s="92" t="s">
        <v>66</v>
      </c>
      <c r="X8" s="92" t="s">
        <v>66</v>
      </c>
      <c r="Y8" s="92">
        <v>-4</v>
      </c>
      <c r="Z8" s="92" t="s">
        <v>66</v>
      </c>
      <c r="AA8" s="92" t="s">
        <v>66</v>
      </c>
      <c r="AB8" s="92" t="s">
        <v>66</v>
      </c>
      <c r="AC8" s="92" t="s">
        <v>66</v>
      </c>
      <c r="AD8" s="92" t="s">
        <v>66</v>
      </c>
      <c r="AE8" s="92" t="s">
        <v>66</v>
      </c>
      <c r="AF8" s="92" t="s">
        <v>66</v>
      </c>
      <c r="AG8" s="92" t="s">
        <v>66</v>
      </c>
      <c r="AH8" s="92" t="s">
        <v>66</v>
      </c>
      <c r="AI8" s="92" t="s">
        <v>66</v>
      </c>
      <c r="AJ8" s="92" t="s">
        <v>66</v>
      </c>
      <c r="AK8" s="92" t="s">
        <v>66</v>
      </c>
      <c r="AL8" s="92" t="s">
        <v>66</v>
      </c>
      <c r="AM8" s="92" t="s">
        <v>66</v>
      </c>
      <c r="AN8" s="92" t="s">
        <v>66</v>
      </c>
      <c r="AO8" s="92" t="s">
        <v>66</v>
      </c>
      <c r="AP8" s="96" t="s">
        <v>66</v>
      </c>
    </row>
    <row r="9" spans="1:45" x14ac:dyDescent="0.25">
      <c r="E9" s="96"/>
      <c r="F9" s="86" t="s">
        <v>109</v>
      </c>
      <c r="G9" s="121">
        <f t="shared" ref="G9:G10" si="9">C24</f>
        <v>-10</v>
      </c>
      <c r="H9" s="121">
        <f t="shared" si="6"/>
        <v>-1</v>
      </c>
      <c r="I9" s="87">
        <f t="shared" si="7"/>
        <v>-11</v>
      </c>
      <c r="J9" s="93">
        <f t="shared" si="8"/>
        <v>9.5270429444452159E-3</v>
      </c>
      <c r="K9" s="94" t="s">
        <v>66</v>
      </c>
      <c r="L9" s="94" t="s">
        <v>66</v>
      </c>
      <c r="M9" s="94" t="s">
        <v>66</v>
      </c>
      <c r="N9" s="94" t="s">
        <v>66</v>
      </c>
      <c r="O9" s="94" t="s">
        <v>66</v>
      </c>
      <c r="P9" s="94" t="s">
        <v>66</v>
      </c>
      <c r="Q9" s="94" t="s">
        <v>66</v>
      </c>
      <c r="R9" s="94">
        <v>-3.5</v>
      </c>
      <c r="S9" s="94" t="s">
        <v>66</v>
      </c>
      <c r="T9" s="94" t="s">
        <v>66</v>
      </c>
      <c r="U9" s="94" t="s">
        <v>66</v>
      </c>
      <c r="V9" s="94">
        <v>-2</v>
      </c>
      <c r="W9" s="94" t="s">
        <v>66</v>
      </c>
      <c r="X9" s="94" t="s">
        <v>66</v>
      </c>
      <c r="Y9" s="94" t="s">
        <v>66</v>
      </c>
      <c r="Z9" s="94" t="s">
        <v>66</v>
      </c>
      <c r="AA9" s="94" t="s">
        <v>66</v>
      </c>
      <c r="AB9" s="94" t="s">
        <v>66</v>
      </c>
      <c r="AC9" s="94" t="s">
        <v>66</v>
      </c>
      <c r="AD9" s="94" t="s">
        <v>66</v>
      </c>
      <c r="AE9" s="94" t="s">
        <v>66</v>
      </c>
      <c r="AF9" s="94" t="s">
        <v>66</v>
      </c>
      <c r="AG9" s="94" t="s">
        <v>66</v>
      </c>
      <c r="AH9" s="94" t="s">
        <v>66</v>
      </c>
      <c r="AI9" s="94" t="s">
        <v>66</v>
      </c>
      <c r="AJ9" s="94" t="s">
        <v>66</v>
      </c>
      <c r="AK9" s="94" t="s">
        <v>66</v>
      </c>
      <c r="AL9" s="94" t="s">
        <v>66</v>
      </c>
      <c r="AM9" s="94">
        <v>-2</v>
      </c>
      <c r="AN9" s="94">
        <v>-3.5</v>
      </c>
      <c r="AO9" s="94" t="s">
        <v>66</v>
      </c>
      <c r="AP9" s="96" t="s">
        <v>66</v>
      </c>
      <c r="AR9" s="78">
        <v>2019</v>
      </c>
      <c r="AS9" s="56">
        <f ca="1">TODAY()</f>
        <v>43926</v>
      </c>
    </row>
    <row r="10" spans="1:45" ht="15.75" x14ac:dyDescent="0.25">
      <c r="A10" s="159"/>
      <c r="B10" s="160" t="s">
        <v>110</v>
      </c>
      <c r="C10" s="161">
        <f>SUM(C11:C32)</f>
        <v>-1296.8899999999999</v>
      </c>
      <c r="E10" s="96"/>
      <c r="F10" s="86" t="s">
        <v>81</v>
      </c>
      <c r="G10" s="121">
        <f t="shared" si="9"/>
        <v>-10</v>
      </c>
      <c r="H10" s="121">
        <f t="shared" si="6"/>
        <v>0</v>
      </c>
      <c r="I10" s="87">
        <f t="shared" si="7"/>
        <v>-10</v>
      </c>
      <c r="J10" s="91">
        <f t="shared" si="8"/>
        <v>8.660948131313833E-3</v>
      </c>
      <c r="K10" s="92" t="s">
        <v>66</v>
      </c>
      <c r="L10" s="92" t="s">
        <v>66</v>
      </c>
      <c r="M10" s="92" t="s">
        <v>66</v>
      </c>
      <c r="N10" s="92" t="s">
        <v>66</v>
      </c>
      <c r="O10" s="92" t="s">
        <v>66</v>
      </c>
      <c r="P10" s="92" t="s">
        <v>66</v>
      </c>
      <c r="Q10" s="92" t="s">
        <v>66</v>
      </c>
      <c r="R10" s="92" t="s">
        <v>66</v>
      </c>
      <c r="S10" s="92" t="s">
        <v>66</v>
      </c>
      <c r="T10" s="92" t="s">
        <v>66</v>
      </c>
      <c r="U10" s="92" t="s">
        <v>66</v>
      </c>
      <c r="V10" s="92" t="s">
        <v>66</v>
      </c>
      <c r="W10" s="92" t="s">
        <v>66</v>
      </c>
      <c r="X10" s="92" t="s">
        <v>66</v>
      </c>
      <c r="Y10" s="92" t="s">
        <v>66</v>
      </c>
      <c r="Z10" s="92" t="s">
        <v>66</v>
      </c>
      <c r="AA10" s="92" t="s">
        <v>66</v>
      </c>
      <c r="AB10" s="92" t="s">
        <v>66</v>
      </c>
      <c r="AC10" s="92" t="s">
        <v>66</v>
      </c>
      <c r="AD10" s="92" t="s">
        <v>66</v>
      </c>
      <c r="AE10" s="92" t="s">
        <v>66</v>
      </c>
      <c r="AF10" s="92" t="s">
        <v>66</v>
      </c>
      <c r="AG10" s="92" t="s">
        <v>66</v>
      </c>
      <c r="AH10" s="92" t="s">
        <v>66</v>
      </c>
      <c r="AI10" s="92" t="s">
        <v>66</v>
      </c>
      <c r="AJ10" s="92" t="s">
        <v>66</v>
      </c>
      <c r="AK10" s="92">
        <v>-10</v>
      </c>
      <c r="AL10" s="92" t="s">
        <v>66</v>
      </c>
      <c r="AM10" s="92" t="s">
        <v>66</v>
      </c>
      <c r="AN10" s="92" t="s">
        <v>66</v>
      </c>
      <c r="AO10" s="92" t="s">
        <v>66</v>
      </c>
      <c r="AP10" s="96" t="s">
        <v>66</v>
      </c>
      <c r="AR10" s="78" t="s">
        <v>1</v>
      </c>
      <c r="AS10" s="1" t="str">
        <f ca="1">IF(AB5=AS9,"sim","não")</f>
        <v>não</v>
      </c>
    </row>
    <row r="11" spans="1:45" x14ac:dyDescent="0.25">
      <c r="A11" s="147">
        <v>1</v>
      </c>
      <c r="B11" s="54" t="s">
        <v>72</v>
      </c>
      <c r="C11" s="87">
        <v>-550</v>
      </c>
      <c r="E11" s="96"/>
      <c r="F11" s="86" t="s">
        <v>24</v>
      </c>
      <c r="G11" s="121">
        <f>C13</f>
        <v>-140</v>
      </c>
      <c r="H11" s="121">
        <f t="shared" si="6"/>
        <v>-21.47999999999999</v>
      </c>
      <c r="I11" s="87">
        <f t="shared" si="7"/>
        <v>-161.47999999999999</v>
      </c>
      <c r="J11" s="93">
        <f t="shared" si="8"/>
        <v>0.13985699042445576</v>
      </c>
      <c r="K11" s="94">
        <v>-11.36</v>
      </c>
      <c r="L11" s="94" t="s">
        <v>66</v>
      </c>
      <c r="M11" s="94">
        <f>-1.49-3.24</f>
        <v>-4.7300000000000004</v>
      </c>
      <c r="N11" s="94" t="s">
        <v>66</v>
      </c>
      <c r="O11" s="94" t="s">
        <v>66</v>
      </c>
      <c r="P11" s="94" t="s">
        <v>66</v>
      </c>
      <c r="Q11" s="94" t="s">
        <v>66</v>
      </c>
      <c r="R11" s="94" t="s">
        <v>66</v>
      </c>
      <c r="S11" s="94">
        <v>-9.89</v>
      </c>
      <c r="T11" s="94">
        <v>-3.05</v>
      </c>
      <c r="U11" s="94">
        <v>-3.03</v>
      </c>
      <c r="V11" s="94">
        <v>-9</v>
      </c>
      <c r="W11" s="94">
        <v>-22.04</v>
      </c>
      <c r="X11" s="94" t="s">
        <v>66</v>
      </c>
      <c r="Y11" s="94">
        <v>-12.16</v>
      </c>
      <c r="Z11" s="94" t="s">
        <v>66</v>
      </c>
      <c r="AA11" s="94" t="s">
        <v>66</v>
      </c>
      <c r="AB11" s="133" t="s">
        <v>66</v>
      </c>
      <c r="AC11" s="94" t="s">
        <v>66</v>
      </c>
      <c r="AD11" s="94"/>
      <c r="AE11" s="94">
        <f>-23.08-16.45</f>
        <v>-39.53</v>
      </c>
      <c r="AF11" s="94" t="s">
        <v>66</v>
      </c>
      <c r="AG11" s="94">
        <f>-2.69-12.99</f>
        <v>-15.68</v>
      </c>
      <c r="AH11" s="94" t="s">
        <v>66</v>
      </c>
      <c r="AI11" s="94" t="s">
        <v>66</v>
      </c>
      <c r="AJ11" s="94" t="s">
        <v>66</v>
      </c>
      <c r="AK11" s="94" t="s">
        <v>66</v>
      </c>
      <c r="AL11" s="94">
        <f>-12.97-18.04</f>
        <v>-31.009999999999998</v>
      </c>
      <c r="AM11" s="94" t="s">
        <v>66</v>
      </c>
      <c r="AN11" s="94" t="s">
        <v>66</v>
      </c>
      <c r="AO11" s="94" t="s">
        <v>66</v>
      </c>
      <c r="AP11" s="96" t="s">
        <v>66</v>
      </c>
      <c r="AR11" s="78">
        <v>10</v>
      </c>
    </row>
    <row r="12" spans="1:45" x14ac:dyDescent="0.25">
      <c r="A12" s="147">
        <f t="shared" ref="A12:A32" si="10">A11+1</f>
        <v>2</v>
      </c>
      <c r="B12" s="54" t="s">
        <v>29</v>
      </c>
      <c r="C12" s="87">
        <f>-26.9-54.99</f>
        <v>-81.89</v>
      </c>
      <c r="E12" s="96"/>
      <c r="F12" s="86" t="s">
        <v>27</v>
      </c>
      <c r="G12" s="121">
        <f>C16</f>
        <v>-150</v>
      </c>
      <c r="H12" s="121">
        <f t="shared" si="6"/>
        <v>-4.9000000000000057</v>
      </c>
      <c r="I12" s="87">
        <f t="shared" si="7"/>
        <v>-154.9</v>
      </c>
      <c r="J12" s="91">
        <f t="shared" si="8"/>
        <v>0.13415808655405129</v>
      </c>
      <c r="K12" s="92" t="s">
        <v>66</v>
      </c>
      <c r="L12" s="92" t="s">
        <v>66</v>
      </c>
      <c r="M12" s="92" t="s">
        <v>67</v>
      </c>
      <c r="N12" s="92" t="s">
        <v>66</v>
      </c>
      <c r="O12" s="92" t="s">
        <v>66</v>
      </c>
      <c r="P12" s="92" t="s">
        <v>66</v>
      </c>
      <c r="Q12" s="92" t="s">
        <v>66</v>
      </c>
      <c r="R12" s="92" t="s">
        <v>66</v>
      </c>
      <c r="S12" s="92" t="s">
        <v>66</v>
      </c>
      <c r="T12" s="92" t="s">
        <v>68</v>
      </c>
      <c r="U12" s="92" t="s">
        <v>66</v>
      </c>
      <c r="V12" s="92" t="s">
        <v>66</v>
      </c>
      <c r="W12" s="92" t="s">
        <v>66</v>
      </c>
      <c r="X12" s="92" t="s">
        <v>66</v>
      </c>
      <c r="Y12" s="92">
        <v>-4.9000000000000004</v>
      </c>
      <c r="Z12" s="92" t="s">
        <v>66</v>
      </c>
      <c r="AA12" s="92">
        <v>-150</v>
      </c>
      <c r="AB12" s="92" t="s">
        <v>66</v>
      </c>
      <c r="AC12" s="92" t="s">
        <v>66</v>
      </c>
      <c r="AD12" s="92" t="s">
        <v>66</v>
      </c>
      <c r="AE12" s="92" t="s">
        <v>66</v>
      </c>
      <c r="AF12" s="92" t="s">
        <v>66</v>
      </c>
      <c r="AG12" s="92" t="s">
        <v>66</v>
      </c>
      <c r="AH12" s="92" t="s">
        <v>77</v>
      </c>
      <c r="AI12" s="92" t="s">
        <v>66</v>
      </c>
      <c r="AJ12" s="92" t="s">
        <v>66</v>
      </c>
      <c r="AK12" s="92" t="s">
        <v>66</v>
      </c>
      <c r="AL12" s="92" t="s">
        <v>66</v>
      </c>
      <c r="AM12" s="92" t="s">
        <v>66</v>
      </c>
      <c r="AN12" s="92" t="s">
        <v>66</v>
      </c>
      <c r="AO12" s="92" t="s">
        <v>77</v>
      </c>
      <c r="AP12" s="96" t="s">
        <v>66</v>
      </c>
    </row>
    <row r="13" spans="1:45" x14ac:dyDescent="0.25">
      <c r="A13" s="147">
        <f t="shared" si="10"/>
        <v>3</v>
      </c>
      <c r="B13" s="54" t="s">
        <v>24</v>
      </c>
      <c r="C13" s="87">
        <v>-140</v>
      </c>
      <c r="E13" s="96"/>
      <c r="F13" s="86" t="s">
        <v>111</v>
      </c>
      <c r="G13" s="121">
        <f>C27</f>
        <v>0</v>
      </c>
      <c r="H13" s="121">
        <f t="shared" si="6"/>
        <v>-29.9</v>
      </c>
      <c r="I13" s="87">
        <f t="shared" si="7"/>
        <v>-29.9</v>
      </c>
      <c r="J13" s="93">
        <f t="shared" si="8"/>
        <v>2.5896234912628359E-2</v>
      </c>
      <c r="K13" s="94" t="s">
        <v>66</v>
      </c>
      <c r="L13" s="94" t="s">
        <v>66</v>
      </c>
      <c r="M13" s="162" t="s">
        <v>66</v>
      </c>
      <c r="N13" s="94" t="s">
        <v>66</v>
      </c>
      <c r="O13" s="94" t="s">
        <v>66</v>
      </c>
      <c r="P13" s="94" t="s">
        <v>66</v>
      </c>
      <c r="Q13" s="94" t="s">
        <v>66</v>
      </c>
      <c r="R13" s="94" t="s">
        <v>66</v>
      </c>
      <c r="S13" s="94" t="s">
        <v>66</v>
      </c>
      <c r="T13" s="94" t="s">
        <v>66</v>
      </c>
      <c r="U13" s="94" t="s">
        <v>66</v>
      </c>
      <c r="V13" s="94" t="s">
        <v>66</v>
      </c>
      <c r="W13" s="94" t="s">
        <v>66</v>
      </c>
      <c r="X13" s="94" t="s">
        <v>66</v>
      </c>
      <c r="Y13" s="94" t="s">
        <v>66</v>
      </c>
      <c r="Z13" s="94" t="s">
        <v>66</v>
      </c>
      <c r="AA13" s="94" t="s">
        <v>66</v>
      </c>
      <c r="AB13" s="94" t="s">
        <v>66</v>
      </c>
      <c r="AC13" s="94">
        <v>-29.9</v>
      </c>
      <c r="AD13" s="94" t="s">
        <v>66</v>
      </c>
      <c r="AE13" s="94" t="s">
        <v>66</v>
      </c>
      <c r="AF13" s="94" t="s">
        <v>66</v>
      </c>
      <c r="AG13" s="94" t="s">
        <v>66</v>
      </c>
      <c r="AH13" s="94" t="s">
        <v>66</v>
      </c>
      <c r="AI13" s="94" t="s">
        <v>66</v>
      </c>
      <c r="AJ13" s="94" t="s">
        <v>66</v>
      </c>
      <c r="AK13" s="94" t="s">
        <v>66</v>
      </c>
      <c r="AL13" s="94" t="s">
        <v>66</v>
      </c>
      <c r="AM13" s="94" t="s">
        <v>66</v>
      </c>
      <c r="AN13" s="94" t="s">
        <v>66</v>
      </c>
      <c r="AO13" s="94" t="s">
        <v>66</v>
      </c>
      <c r="AP13" s="96" t="s">
        <v>66</v>
      </c>
    </row>
    <row r="14" spans="1:45" x14ac:dyDescent="0.25">
      <c r="A14" s="147">
        <f t="shared" si="10"/>
        <v>4</v>
      </c>
      <c r="B14" s="54" t="s">
        <v>31</v>
      </c>
      <c r="C14" s="87">
        <v>0</v>
      </c>
      <c r="E14" s="96"/>
      <c r="F14" s="86" t="s">
        <v>89</v>
      </c>
      <c r="G14" s="121">
        <f>C23</f>
        <v>-15</v>
      </c>
      <c r="H14" s="121">
        <f t="shared" si="6"/>
        <v>3</v>
      </c>
      <c r="I14" s="87">
        <f t="shared" si="7"/>
        <v>-12</v>
      </c>
      <c r="J14" s="91">
        <f t="shared" si="8"/>
        <v>1.0393137757576601E-2</v>
      </c>
      <c r="K14" s="92" t="s">
        <v>66</v>
      </c>
      <c r="L14" s="92" t="s">
        <v>66</v>
      </c>
      <c r="M14" s="92" t="s">
        <v>66</v>
      </c>
      <c r="N14" s="92">
        <v>-10</v>
      </c>
      <c r="O14" s="92" t="s">
        <v>66</v>
      </c>
      <c r="P14" s="92" t="s">
        <v>66</v>
      </c>
      <c r="Q14" s="92" t="s">
        <v>66</v>
      </c>
      <c r="R14" s="92" t="s">
        <v>66</v>
      </c>
      <c r="S14" s="92" t="s">
        <v>66</v>
      </c>
      <c r="T14" s="92" t="s">
        <v>66</v>
      </c>
      <c r="U14" s="92" t="s">
        <v>66</v>
      </c>
      <c r="V14" s="92" t="s">
        <v>66</v>
      </c>
      <c r="W14" s="92" t="s">
        <v>66</v>
      </c>
      <c r="X14" s="92" t="s">
        <v>66</v>
      </c>
      <c r="Y14" s="92">
        <v>-2</v>
      </c>
      <c r="Z14" s="92" t="s">
        <v>66</v>
      </c>
      <c r="AA14" s="92" t="s">
        <v>66</v>
      </c>
      <c r="AB14" s="92" t="s">
        <v>66</v>
      </c>
      <c r="AC14" s="92" t="s">
        <v>66</v>
      </c>
      <c r="AD14" s="92" t="s">
        <v>66</v>
      </c>
      <c r="AE14" s="92" t="s">
        <v>66</v>
      </c>
      <c r="AF14" s="92" t="s">
        <v>66</v>
      </c>
      <c r="AG14" s="92" t="s">
        <v>66</v>
      </c>
      <c r="AH14" s="92" t="s">
        <v>66</v>
      </c>
      <c r="AI14" s="92" t="s">
        <v>66</v>
      </c>
      <c r="AJ14" s="92" t="s">
        <v>66</v>
      </c>
      <c r="AK14" s="92" t="s">
        <v>66</v>
      </c>
      <c r="AL14" s="92" t="s">
        <v>66</v>
      </c>
      <c r="AM14" s="92" t="s">
        <v>66</v>
      </c>
      <c r="AN14" s="92" t="s">
        <v>66</v>
      </c>
      <c r="AO14" s="92" t="s">
        <v>66</v>
      </c>
      <c r="AP14" s="96" t="s">
        <v>66</v>
      </c>
    </row>
    <row r="15" spans="1:45" x14ac:dyDescent="0.25">
      <c r="A15" s="147">
        <f t="shared" si="10"/>
        <v>5</v>
      </c>
      <c r="B15" s="54" t="s">
        <v>32</v>
      </c>
      <c r="C15" s="87">
        <v>0</v>
      </c>
      <c r="E15" s="96"/>
      <c r="F15" s="86" t="s">
        <v>112</v>
      </c>
      <c r="G15" s="121">
        <f>C12</f>
        <v>-81.89</v>
      </c>
      <c r="H15" s="121">
        <f t="shared" si="6"/>
        <v>4</v>
      </c>
      <c r="I15" s="87">
        <f t="shared" si="7"/>
        <v>-77.89</v>
      </c>
      <c r="J15" s="93">
        <f t="shared" si="8"/>
        <v>6.7460124994803444E-2</v>
      </c>
      <c r="K15" s="94" t="s">
        <v>66</v>
      </c>
      <c r="L15" s="94" t="s">
        <v>66</v>
      </c>
      <c r="M15" s="94" t="s">
        <v>66</v>
      </c>
      <c r="N15" s="94" t="s">
        <v>66</v>
      </c>
      <c r="O15" s="94" t="s">
        <v>66</v>
      </c>
      <c r="P15" s="94" t="s">
        <v>66</v>
      </c>
      <c r="Q15" s="94" t="s">
        <v>66</v>
      </c>
      <c r="R15" s="94">
        <v>-26.9</v>
      </c>
      <c r="S15" s="94" t="s">
        <v>66</v>
      </c>
      <c r="T15" s="94" t="s">
        <v>66</v>
      </c>
      <c r="U15" s="94" t="s">
        <v>66</v>
      </c>
      <c r="V15" s="94" t="s">
        <v>66</v>
      </c>
      <c r="W15" s="94" t="s">
        <v>66</v>
      </c>
      <c r="X15" s="94">
        <v>4</v>
      </c>
      <c r="Y15" s="94" t="s">
        <v>66</v>
      </c>
      <c r="Z15" s="94" t="s">
        <v>66</v>
      </c>
      <c r="AA15" s="94" t="s">
        <v>66</v>
      </c>
      <c r="AB15" s="94" t="s">
        <v>66</v>
      </c>
      <c r="AC15" s="94" t="s">
        <v>66</v>
      </c>
      <c r="AD15" s="94" t="s">
        <v>66</v>
      </c>
      <c r="AE15" s="94" t="s">
        <v>66</v>
      </c>
      <c r="AF15" s="94" t="s">
        <v>66</v>
      </c>
      <c r="AG15" s="94" t="s">
        <v>66</v>
      </c>
      <c r="AH15" s="94" t="s">
        <v>66</v>
      </c>
      <c r="AI15" s="94" t="s">
        <v>66</v>
      </c>
      <c r="AJ15" s="94">
        <v>-54.99</v>
      </c>
      <c r="AK15" s="94" t="s">
        <v>66</v>
      </c>
      <c r="AL15" s="94" t="s">
        <v>66</v>
      </c>
      <c r="AM15" s="94" t="s">
        <v>66</v>
      </c>
      <c r="AN15" s="94" t="s">
        <v>66</v>
      </c>
      <c r="AO15" s="94" t="s">
        <v>66</v>
      </c>
      <c r="AP15" s="96" t="s">
        <v>66</v>
      </c>
    </row>
    <row r="16" spans="1:45" x14ac:dyDescent="0.25">
      <c r="A16" s="147">
        <f t="shared" si="10"/>
        <v>6</v>
      </c>
      <c r="B16" s="54" t="s">
        <v>27</v>
      </c>
      <c r="C16" s="87">
        <v>-150</v>
      </c>
      <c r="E16" s="96"/>
      <c r="F16" s="86" t="s">
        <v>113</v>
      </c>
      <c r="G16" s="121">
        <f t="shared" ref="G16:G17" si="11">C14</f>
        <v>0</v>
      </c>
      <c r="H16" s="121">
        <f t="shared" si="6"/>
        <v>0</v>
      </c>
      <c r="I16" s="87">
        <f t="shared" si="7"/>
        <v>0</v>
      </c>
      <c r="J16" s="91">
        <f t="shared" si="8"/>
        <v>0</v>
      </c>
      <c r="K16" s="92" t="s">
        <v>66</v>
      </c>
      <c r="L16" s="92" t="s">
        <v>66</v>
      </c>
      <c r="M16" s="92" t="s">
        <v>66</v>
      </c>
      <c r="N16" s="92" t="s">
        <v>66</v>
      </c>
      <c r="O16" s="92" t="s">
        <v>66</v>
      </c>
      <c r="P16" s="92" t="s">
        <v>66</v>
      </c>
      <c r="Q16" s="92" t="s">
        <v>66</v>
      </c>
      <c r="R16" s="92" t="s">
        <v>66</v>
      </c>
      <c r="S16" s="92" t="s">
        <v>66</v>
      </c>
      <c r="T16" s="92" t="s">
        <v>66</v>
      </c>
      <c r="U16" s="92" t="s">
        <v>66</v>
      </c>
      <c r="V16" s="92" t="s">
        <v>66</v>
      </c>
      <c r="W16" s="92" t="s">
        <v>66</v>
      </c>
      <c r="X16" s="92" t="s">
        <v>66</v>
      </c>
      <c r="Y16" s="92" t="s">
        <v>66</v>
      </c>
      <c r="Z16" s="92" t="s">
        <v>66</v>
      </c>
      <c r="AA16" s="92" t="s">
        <v>66</v>
      </c>
      <c r="AB16" s="92" t="s">
        <v>66</v>
      </c>
      <c r="AC16" s="92" t="s">
        <v>66</v>
      </c>
      <c r="AD16" s="92" t="s">
        <v>66</v>
      </c>
      <c r="AE16" s="92" t="s">
        <v>66</v>
      </c>
      <c r="AF16" s="92" t="s">
        <v>66</v>
      </c>
      <c r="AG16" s="92" t="s">
        <v>66</v>
      </c>
      <c r="AH16" s="92" t="s">
        <v>66</v>
      </c>
      <c r="AI16" s="92" t="s">
        <v>66</v>
      </c>
      <c r="AJ16" s="92" t="s">
        <v>66</v>
      </c>
      <c r="AK16" s="92" t="s">
        <v>66</v>
      </c>
      <c r="AL16" s="92" t="s">
        <v>66</v>
      </c>
      <c r="AM16" s="92" t="s">
        <v>66</v>
      </c>
      <c r="AN16" s="92" t="s">
        <v>66</v>
      </c>
      <c r="AO16" s="92" t="s">
        <v>66</v>
      </c>
      <c r="AP16" s="96" t="s">
        <v>66</v>
      </c>
    </row>
    <row r="17" spans="1:42" x14ac:dyDescent="0.25">
      <c r="A17" s="147">
        <f t="shared" si="10"/>
        <v>7</v>
      </c>
      <c r="B17" s="54" t="s">
        <v>114</v>
      </c>
      <c r="C17" s="87">
        <f>-30-50</f>
        <v>-80</v>
      </c>
      <c r="E17" s="96"/>
      <c r="F17" s="86" t="s">
        <v>115</v>
      </c>
      <c r="G17" s="121">
        <f t="shared" si="11"/>
        <v>0</v>
      </c>
      <c r="H17" s="121">
        <f t="shared" si="6"/>
        <v>0</v>
      </c>
      <c r="I17" s="87">
        <f t="shared" si="7"/>
        <v>0</v>
      </c>
      <c r="J17" s="93">
        <f t="shared" si="8"/>
        <v>0</v>
      </c>
      <c r="K17" s="94" t="s">
        <v>66</v>
      </c>
      <c r="L17" s="94" t="s">
        <v>66</v>
      </c>
      <c r="M17" s="94" t="s">
        <v>66</v>
      </c>
      <c r="N17" s="94" t="s">
        <v>66</v>
      </c>
      <c r="O17" s="94" t="s">
        <v>66</v>
      </c>
      <c r="P17" s="94" t="s">
        <v>66</v>
      </c>
      <c r="Q17" s="94" t="s">
        <v>66</v>
      </c>
      <c r="R17" s="94" t="s">
        <v>66</v>
      </c>
      <c r="S17" s="94" t="s">
        <v>66</v>
      </c>
      <c r="T17" s="94" t="s">
        <v>66</v>
      </c>
      <c r="U17" s="94" t="s">
        <v>66</v>
      </c>
      <c r="V17" s="94" t="s">
        <v>66</v>
      </c>
      <c r="W17" s="94" t="s">
        <v>66</v>
      </c>
      <c r="X17" s="94" t="s">
        <v>66</v>
      </c>
      <c r="Y17" s="94" t="s">
        <v>66</v>
      </c>
      <c r="Z17" s="94" t="s">
        <v>66</v>
      </c>
      <c r="AA17" s="94" t="s">
        <v>66</v>
      </c>
      <c r="AB17" s="94" t="s">
        <v>66</v>
      </c>
      <c r="AC17" s="94" t="s">
        <v>66</v>
      </c>
      <c r="AD17" s="94" t="s">
        <v>66</v>
      </c>
      <c r="AE17" s="94" t="s">
        <v>66</v>
      </c>
      <c r="AF17" s="94" t="s">
        <v>66</v>
      </c>
      <c r="AG17" s="94" t="s">
        <v>66</v>
      </c>
      <c r="AH17" s="94" t="s">
        <v>66</v>
      </c>
      <c r="AI17" s="94" t="s">
        <v>66</v>
      </c>
      <c r="AJ17" s="94" t="s">
        <v>66</v>
      </c>
      <c r="AK17" s="94" t="s">
        <v>66</v>
      </c>
      <c r="AL17" s="94" t="s">
        <v>66</v>
      </c>
      <c r="AM17" s="94" t="s">
        <v>66</v>
      </c>
      <c r="AN17" s="94" t="s">
        <v>66</v>
      </c>
      <c r="AO17" s="94" t="s">
        <v>66</v>
      </c>
      <c r="AP17" s="96" t="s">
        <v>66</v>
      </c>
    </row>
    <row r="18" spans="1:42" x14ac:dyDescent="0.25">
      <c r="A18" s="147">
        <f t="shared" si="10"/>
        <v>8</v>
      </c>
      <c r="B18" s="54" t="s">
        <v>20</v>
      </c>
      <c r="C18" s="87">
        <v>-130</v>
      </c>
      <c r="E18" s="96"/>
      <c r="F18" s="86" t="s">
        <v>116</v>
      </c>
      <c r="G18" s="121">
        <f>C21</f>
        <v>-80</v>
      </c>
      <c r="H18" s="121">
        <f t="shared" si="6"/>
        <v>-4.019999999999996</v>
      </c>
      <c r="I18" s="87">
        <f t="shared" si="7"/>
        <v>-84.02</v>
      </c>
      <c r="J18" s="91">
        <f t="shared" si="8"/>
        <v>7.276928619929883E-2</v>
      </c>
      <c r="K18" s="92" t="s">
        <v>66</v>
      </c>
      <c r="L18" s="92" t="s">
        <v>66</v>
      </c>
      <c r="M18" s="92" t="s">
        <v>66</v>
      </c>
      <c r="N18" s="92" t="s">
        <v>66</v>
      </c>
      <c r="O18" s="92" t="s">
        <v>66</v>
      </c>
      <c r="P18" s="92" t="s">
        <v>66</v>
      </c>
      <c r="Q18" s="92" t="s">
        <v>66</v>
      </c>
      <c r="R18" s="92" t="s">
        <v>66</v>
      </c>
      <c r="S18" s="92" t="s">
        <v>66</v>
      </c>
      <c r="T18" s="92" t="s">
        <v>66</v>
      </c>
      <c r="U18" s="92">
        <v>-17.91</v>
      </c>
      <c r="V18" s="92">
        <f>-6.8-22.97</f>
        <v>-29.77</v>
      </c>
      <c r="W18" s="92" t="s">
        <v>66</v>
      </c>
      <c r="X18" s="92" t="s">
        <v>66</v>
      </c>
      <c r="Y18" s="92" t="s">
        <v>66</v>
      </c>
      <c r="Z18" s="92" t="s">
        <v>66</v>
      </c>
      <c r="AA18" s="92" t="s">
        <v>66</v>
      </c>
      <c r="AB18" s="92" t="s">
        <v>66</v>
      </c>
      <c r="AC18" s="92" t="s">
        <v>66</v>
      </c>
      <c r="AD18" s="92">
        <v>-20.18</v>
      </c>
      <c r="AE18" s="92" t="s">
        <v>66</v>
      </c>
      <c r="AF18" s="92" t="s">
        <v>66</v>
      </c>
      <c r="AG18" s="92" t="s">
        <v>66</v>
      </c>
      <c r="AH18" s="92" t="s">
        <v>66</v>
      </c>
      <c r="AI18" s="92">
        <v>-16.16</v>
      </c>
      <c r="AJ18" s="92" t="s">
        <v>66</v>
      </c>
      <c r="AK18" s="92" t="s">
        <v>66</v>
      </c>
      <c r="AL18" s="92" t="s">
        <v>66</v>
      </c>
      <c r="AM18" s="92" t="s">
        <v>66</v>
      </c>
      <c r="AN18" s="92" t="s">
        <v>66</v>
      </c>
      <c r="AO18" s="92" t="s">
        <v>66</v>
      </c>
      <c r="AP18" s="96" t="s">
        <v>66</v>
      </c>
    </row>
    <row r="19" spans="1:42" x14ac:dyDescent="0.25">
      <c r="A19" s="147">
        <f t="shared" si="10"/>
        <v>9</v>
      </c>
      <c r="B19" s="54" t="s">
        <v>22</v>
      </c>
      <c r="C19" s="87">
        <v>-20</v>
      </c>
      <c r="E19" s="96"/>
      <c r="F19" s="86" t="s">
        <v>117</v>
      </c>
      <c r="G19" s="121">
        <f>C30</f>
        <v>0</v>
      </c>
      <c r="H19" s="121">
        <f t="shared" si="6"/>
        <v>0</v>
      </c>
      <c r="I19" s="87">
        <f t="shared" si="7"/>
        <v>0</v>
      </c>
      <c r="J19" s="93">
        <f t="shared" si="8"/>
        <v>0</v>
      </c>
      <c r="K19" s="94" t="s">
        <v>66</v>
      </c>
      <c r="L19" s="94" t="s">
        <v>66</v>
      </c>
      <c r="M19" s="94" t="s">
        <v>66</v>
      </c>
      <c r="N19" s="94" t="s">
        <v>66</v>
      </c>
      <c r="O19" s="94" t="s">
        <v>66</v>
      </c>
      <c r="P19" s="94" t="s">
        <v>66</v>
      </c>
      <c r="Q19" s="94" t="s">
        <v>66</v>
      </c>
      <c r="R19" s="94" t="s">
        <v>66</v>
      </c>
      <c r="S19" s="94" t="s">
        <v>66</v>
      </c>
      <c r="T19" s="94" t="s">
        <v>66</v>
      </c>
      <c r="U19" s="94" t="s">
        <v>66</v>
      </c>
      <c r="V19" s="94" t="s">
        <v>66</v>
      </c>
      <c r="W19" s="94" t="s">
        <v>66</v>
      </c>
      <c r="X19" s="94" t="s">
        <v>66</v>
      </c>
      <c r="Y19" s="94" t="s">
        <v>66</v>
      </c>
      <c r="Z19" s="94" t="s">
        <v>66</v>
      </c>
      <c r="AA19" s="94" t="s">
        <v>66</v>
      </c>
      <c r="AB19" s="94" t="s">
        <v>66</v>
      </c>
      <c r="AC19" s="94" t="s">
        <v>66</v>
      </c>
      <c r="AD19" s="94" t="s">
        <v>66</v>
      </c>
      <c r="AE19" s="94" t="s">
        <v>66</v>
      </c>
      <c r="AF19" s="94" t="s">
        <v>66</v>
      </c>
      <c r="AG19" s="94" t="s">
        <v>66</v>
      </c>
      <c r="AH19" s="94" t="s">
        <v>66</v>
      </c>
      <c r="AI19" s="94" t="s">
        <v>66</v>
      </c>
      <c r="AJ19" s="94" t="s">
        <v>66</v>
      </c>
      <c r="AK19" s="94" t="s">
        <v>66</v>
      </c>
      <c r="AL19" s="94" t="s">
        <v>66</v>
      </c>
      <c r="AM19" s="94" t="s">
        <v>66</v>
      </c>
      <c r="AN19" s="94" t="s">
        <v>66</v>
      </c>
      <c r="AO19" s="94" t="s">
        <v>66</v>
      </c>
      <c r="AP19" s="96" t="s">
        <v>66</v>
      </c>
    </row>
    <row r="20" spans="1:42" x14ac:dyDescent="0.25">
      <c r="A20" s="147">
        <f t="shared" si="10"/>
        <v>10</v>
      </c>
      <c r="B20" s="54" t="s">
        <v>35</v>
      </c>
      <c r="C20" s="87">
        <v>0</v>
      </c>
      <c r="E20" s="96"/>
      <c r="F20" s="86" t="s">
        <v>118</v>
      </c>
      <c r="G20" s="121">
        <f>C28</f>
        <v>-30</v>
      </c>
      <c r="H20" s="121">
        <f t="shared" si="6"/>
        <v>3.5400000000000027</v>
      </c>
      <c r="I20" s="87">
        <f t="shared" si="7"/>
        <v>-26.459999999999997</v>
      </c>
      <c r="J20" s="91">
        <f t="shared" si="8"/>
        <v>2.2916868755456402E-2</v>
      </c>
      <c r="K20" s="92" t="s">
        <v>66</v>
      </c>
      <c r="L20" s="92" t="s">
        <v>66</v>
      </c>
      <c r="M20" s="92" t="s">
        <v>66</v>
      </c>
      <c r="N20" s="92" t="s">
        <v>66</v>
      </c>
      <c r="O20" s="92" t="s">
        <v>66</v>
      </c>
      <c r="P20" s="92" t="s">
        <v>66</v>
      </c>
      <c r="Q20" s="92">
        <v>-22.9</v>
      </c>
      <c r="R20" s="92" t="s">
        <v>66</v>
      </c>
      <c r="S20" s="92">
        <v>-3.56</v>
      </c>
      <c r="T20" s="92" t="s">
        <v>66</v>
      </c>
      <c r="U20" s="92" t="s">
        <v>66</v>
      </c>
      <c r="V20" s="92" t="s">
        <v>66</v>
      </c>
      <c r="W20" s="92" t="s">
        <v>66</v>
      </c>
      <c r="X20" s="92" t="s">
        <v>66</v>
      </c>
      <c r="Y20" s="92" t="s">
        <v>66</v>
      </c>
      <c r="Z20" s="92" t="s">
        <v>66</v>
      </c>
      <c r="AA20" s="92" t="s">
        <v>66</v>
      </c>
      <c r="AB20" s="92" t="s">
        <v>66</v>
      </c>
      <c r="AC20" s="92" t="s">
        <v>66</v>
      </c>
      <c r="AD20" s="92" t="s">
        <v>66</v>
      </c>
      <c r="AE20" s="92" t="s">
        <v>66</v>
      </c>
      <c r="AF20" s="92" t="s">
        <v>66</v>
      </c>
      <c r="AG20" s="92" t="s">
        <v>66</v>
      </c>
      <c r="AH20" s="92" t="s">
        <v>66</v>
      </c>
      <c r="AI20" s="92" t="s">
        <v>66</v>
      </c>
      <c r="AJ20" s="92" t="s">
        <v>66</v>
      </c>
      <c r="AK20" s="92" t="s">
        <v>66</v>
      </c>
      <c r="AL20" s="92" t="s">
        <v>66</v>
      </c>
      <c r="AM20" s="92" t="s">
        <v>66</v>
      </c>
      <c r="AN20" s="92" t="s">
        <v>66</v>
      </c>
      <c r="AO20" s="92" t="s">
        <v>66</v>
      </c>
      <c r="AP20" s="96" t="s">
        <v>66</v>
      </c>
    </row>
    <row r="21" spans="1:42" ht="15.75" customHeight="1" x14ac:dyDescent="0.25">
      <c r="A21" s="147">
        <f t="shared" si="10"/>
        <v>11</v>
      </c>
      <c r="B21" s="54" t="s">
        <v>33</v>
      </c>
      <c r="C21" s="87">
        <v>-80</v>
      </c>
      <c r="E21" s="96"/>
      <c r="F21" s="86" t="s">
        <v>35</v>
      </c>
      <c r="G21" s="121">
        <f>C20</f>
        <v>0</v>
      </c>
      <c r="H21" s="121">
        <f t="shared" si="6"/>
        <v>0</v>
      </c>
      <c r="I21" s="87">
        <f t="shared" si="7"/>
        <v>0</v>
      </c>
      <c r="J21" s="93">
        <f t="shared" si="8"/>
        <v>0</v>
      </c>
      <c r="K21" s="94" t="s">
        <v>66</v>
      </c>
      <c r="L21" s="94" t="s">
        <v>66</v>
      </c>
      <c r="M21" s="94" t="s">
        <v>66</v>
      </c>
      <c r="N21" s="94" t="s">
        <v>66</v>
      </c>
      <c r="O21" s="94" t="s">
        <v>66</v>
      </c>
      <c r="P21" s="94" t="s">
        <v>66</v>
      </c>
      <c r="Q21" s="94" t="s">
        <v>66</v>
      </c>
      <c r="R21" s="94" t="s">
        <v>66</v>
      </c>
      <c r="S21" s="94" t="s">
        <v>66</v>
      </c>
      <c r="T21" s="94" t="s">
        <v>66</v>
      </c>
      <c r="U21" s="94" t="s">
        <v>66</v>
      </c>
      <c r="V21" s="94" t="s">
        <v>66</v>
      </c>
      <c r="W21" s="94" t="s">
        <v>66</v>
      </c>
      <c r="X21" s="94" t="s">
        <v>66</v>
      </c>
      <c r="Y21" s="94" t="s">
        <v>66</v>
      </c>
      <c r="Z21" s="94" t="s">
        <v>66</v>
      </c>
      <c r="AA21" s="94" t="s">
        <v>66</v>
      </c>
      <c r="AB21" s="94" t="s">
        <v>66</v>
      </c>
      <c r="AC21" s="94" t="s">
        <v>66</v>
      </c>
      <c r="AD21" s="94" t="s">
        <v>66</v>
      </c>
      <c r="AE21" s="94" t="s">
        <v>66</v>
      </c>
      <c r="AF21" s="94" t="s">
        <v>66</v>
      </c>
      <c r="AG21" s="94" t="s">
        <v>66</v>
      </c>
      <c r="AH21" s="94" t="s">
        <v>66</v>
      </c>
      <c r="AI21" s="94" t="s">
        <v>66</v>
      </c>
      <c r="AJ21" s="94" t="s">
        <v>66</v>
      </c>
      <c r="AK21" s="94" t="s">
        <v>66</v>
      </c>
      <c r="AL21" s="94" t="s">
        <v>66</v>
      </c>
      <c r="AM21" s="94" t="s">
        <v>66</v>
      </c>
      <c r="AN21" s="94" t="s">
        <v>66</v>
      </c>
      <c r="AO21" s="94" t="s">
        <v>66</v>
      </c>
      <c r="AP21" s="96" t="s">
        <v>66</v>
      </c>
    </row>
    <row r="22" spans="1:42" ht="15.75" customHeight="1" x14ac:dyDescent="0.25">
      <c r="A22" s="147">
        <f t="shared" si="10"/>
        <v>12</v>
      </c>
      <c r="B22" s="54" t="s">
        <v>42</v>
      </c>
      <c r="C22" s="87">
        <v>0</v>
      </c>
      <c r="E22" s="96"/>
      <c r="F22" s="86" t="s">
        <v>36</v>
      </c>
      <c r="G22" s="121">
        <f>C31</f>
        <v>0</v>
      </c>
      <c r="H22" s="121">
        <f t="shared" si="6"/>
        <v>0</v>
      </c>
      <c r="I22" s="87">
        <f t="shared" si="7"/>
        <v>0</v>
      </c>
      <c r="J22" s="91">
        <f t="shared" si="8"/>
        <v>0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 t="s">
        <v>66</v>
      </c>
      <c r="Q22" s="92" t="s">
        <v>66</v>
      </c>
      <c r="R22" s="92" t="s">
        <v>66</v>
      </c>
      <c r="S22" s="92" t="s">
        <v>66</v>
      </c>
      <c r="T22" s="92" t="s">
        <v>66</v>
      </c>
      <c r="U22" s="92" t="s">
        <v>66</v>
      </c>
      <c r="V22" s="92" t="s">
        <v>66</v>
      </c>
      <c r="W22" s="92" t="s">
        <v>66</v>
      </c>
      <c r="X22" s="92" t="s">
        <v>66</v>
      </c>
      <c r="Y22" s="92" t="s">
        <v>66</v>
      </c>
      <c r="Z22" s="92" t="s">
        <v>66</v>
      </c>
      <c r="AA22" s="92" t="s">
        <v>66</v>
      </c>
      <c r="AB22" s="92" t="s">
        <v>66</v>
      </c>
      <c r="AC22" s="92" t="s">
        <v>66</v>
      </c>
      <c r="AD22" s="92" t="s">
        <v>66</v>
      </c>
      <c r="AE22" s="92" t="s">
        <v>66</v>
      </c>
      <c r="AF22" s="92" t="s">
        <v>66</v>
      </c>
      <c r="AG22" s="92" t="s">
        <v>66</v>
      </c>
      <c r="AH22" s="92" t="s">
        <v>66</v>
      </c>
      <c r="AI22" s="92" t="s">
        <v>66</v>
      </c>
      <c r="AJ22" s="92" t="s">
        <v>66</v>
      </c>
      <c r="AK22" s="92" t="s">
        <v>66</v>
      </c>
      <c r="AL22" s="92" t="s">
        <v>66</v>
      </c>
      <c r="AM22" s="92" t="s">
        <v>66</v>
      </c>
      <c r="AN22" s="92" t="s">
        <v>66</v>
      </c>
      <c r="AO22" s="92" t="s">
        <v>66</v>
      </c>
      <c r="AP22" s="96" t="s">
        <v>66</v>
      </c>
    </row>
    <row r="23" spans="1:42" ht="15.75" customHeight="1" x14ac:dyDescent="0.25">
      <c r="A23" s="147">
        <f t="shared" si="10"/>
        <v>13</v>
      </c>
      <c r="B23" s="54" t="s">
        <v>89</v>
      </c>
      <c r="C23" s="87">
        <v>-15</v>
      </c>
      <c r="E23" s="96"/>
      <c r="F23" s="86" t="s">
        <v>39</v>
      </c>
      <c r="G23" s="121">
        <f>C17</f>
        <v>-80</v>
      </c>
      <c r="H23" s="121">
        <f t="shared" si="6"/>
        <v>28.550000000000004</v>
      </c>
      <c r="I23" s="87">
        <f t="shared" si="7"/>
        <v>-51.449999999999996</v>
      </c>
      <c r="J23" s="93">
        <f t="shared" si="8"/>
        <v>4.4560578135609666E-2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>
        <f>-19.97</f>
        <v>-19.97</v>
      </c>
      <c r="R23" s="94" t="s">
        <v>66</v>
      </c>
      <c r="S23" s="94">
        <v>-15</v>
      </c>
      <c r="T23" s="94" t="s">
        <v>66</v>
      </c>
      <c r="U23" s="94" t="s">
        <v>66</v>
      </c>
      <c r="V23" s="94" t="s">
        <v>66</v>
      </c>
      <c r="W23" s="94" t="s">
        <v>66</v>
      </c>
      <c r="X23" s="94" t="s">
        <v>66</v>
      </c>
      <c r="Y23" s="94" t="s">
        <v>66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4" t="s">
        <v>66</v>
      </c>
      <c r="AH23" s="94" t="s">
        <v>66</v>
      </c>
      <c r="AI23" s="94" t="s">
        <v>66</v>
      </c>
      <c r="AJ23" s="94">
        <f>-7.9</f>
        <v>-7.9</v>
      </c>
      <c r="AK23" s="94" t="s">
        <v>66</v>
      </c>
      <c r="AL23" s="94">
        <v>-8.58</v>
      </c>
      <c r="AM23" s="94" t="s">
        <v>66</v>
      </c>
      <c r="AN23" s="94" t="s">
        <v>66</v>
      </c>
      <c r="AO23" s="94" t="s">
        <v>66</v>
      </c>
      <c r="AP23" s="96" t="s">
        <v>66</v>
      </c>
    </row>
    <row r="24" spans="1:42" ht="15.75" customHeight="1" x14ac:dyDescent="0.25">
      <c r="A24" s="147">
        <f t="shared" si="10"/>
        <v>14</v>
      </c>
      <c r="B24" s="54" t="s">
        <v>109</v>
      </c>
      <c r="C24" s="87">
        <v>-10</v>
      </c>
      <c r="E24" s="96"/>
      <c r="F24" s="86" t="s">
        <v>40</v>
      </c>
      <c r="G24" s="121">
        <f>C29</f>
        <v>0</v>
      </c>
      <c r="H24" s="121">
        <f t="shared" si="6"/>
        <v>0</v>
      </c>
      <c r="I24" s="87">
        <f t="shared" si="7"/>
        <v>0</v>
      </c>
      <c r="J24" s="91">
        <f t="shared" si="8"/>
        <v>0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 t="s">
        <v>66</v>
      </c>
      <c r="AB24" s="92" t="s">
        <v>66</v>
      </c>
      <c r="AC24" s="92" t="s">
        <v>66</v>
      </c>
      <c r="AD24" s="92" t="s">
        <v>66</v>
      </c>
      <c r="AE24" s="92" t="s">
        <v>66</v>
      </c>
      <c r="AF24" s="92" t="s">
        <v>66</v>
      </c>
      <c r="AG24" s="92" t="s">
        <v>66</v>
      </c>
      <c r="AH24" s="92" t="s">
        <v>66</v>
      </c>
      <c r="AI24" s="92" t="s">
        <v>66</v>
      </c>
      <c r="AJ24" s="92" t="s">
        <v>66</v>
      </c>
      <c r="AK24" s="92" t="s">
        <v>66</v>
      </c>
      <c r="AL24" s="92" t="s">
        <v>66</v>
      </c>
      <c r="AM24" s="92" t="s">
        <v>66</v>
      </c>
      <c r="AN24" s="92" t="s">
        <v>66</v>
      </c>
      <c r="AO24" s="92" t="s">
        <v>66</v>
      </c>
      <c r="AP24" s="96" t="s">
        <v>66</v>
      </c>
    </row>
    <row r="25" spans="1:42" ht="15.75" customHeight="1" x14ac:dyDescent="0.25">
      <c r="A25" s="147">
        <f t="shared" si="10"/>
        <v>15</v>
      </c>
      <c r="B25" s="54" t="s">
        <v>81</v>
      </c>
      <c r="C25" s="87">
        <v>-10</v>
      </c>
      <c r="E25" s="96"/>
      <c r="F25" s="86" t="s">
        <v>41</v>
      </c>
      <c r="G25" s="121">
        <f>C31</f>
        <v>0</v>
      </c>
      <c r="H25" s="121">
        <f t="shared" si="6"/>
        <v>0</v>
      </c>
      <c r="I25" s="87">
        <f t="shared" si="7"/>
        <v>0</v>
      </c>
      <c r="J25" s="93">
        <f t="shared" si="8"/>
        <v>0</v>
      </c>
      <c r="K25" s="94" t="s">
        <v>66</v>
      </c>
      <c r="L25" s="94" t="s">
        <v>66</v>
      </c>
      <c r="M25" s="94" t="s">
        <v>66</v>
      </c>
      <c r="N25" s="94" t="s">
        <v>66</v>
      </c>
      <c r="O25" s="94" t="s">
        <v>66</v>
      </c>
      <c r="P25" s="94" t="s">
        <v>66</v>
      </c>
      <c r="Q25" s="94" t="s">
        <v>66</v>
      </c>
      <c r="R25" s="94" t="s">
        <v>66</v>
      </c>
      <c r="S25" s="94" t="s">
        <v>66</v>
      </c>
      <c r="T25" s="94" t="s">
        <v>66</v>
      </c>
      <c r="U25" s="94" t="s">
        <v>66</v>
      </c>
      <c r="V25" s="94" t="s">
        <v>66</v>
      </c>
      <c r="W25" s="94" t="s">
        <v>66</v>
      </c>
      <c r="X25" s="94" t="s">
        <v>66</v>
      </c>
      <c r="Y25" s="94" t="s">
        <v>66</v>
      </c>
      <c r="Z25" s="94" t="s">
        <v>66</v>
      </c>
      <c r="AA25" s="94" t="s">
        <v>66</v>
      </c>
      <c r="AB25" s="94" t="s">
        <v>66</v>
      </c>
      <c r="AC25" s="94" t="s">
        <v>66</v>
      </c>
      <c r="AD25" s="94" t="s">
        <v>66</v>
      </c>
      <c r="AE25" s="94" t="s">
        <v>66</v>
      </c>
      <c r="AF25" s="94" t="s">
        <v>66</v>
      </c>
      <c r="AG25" s="94" t="s">
        <v>66</v>
      </c>
      <c r="AH25" s="94" t="s">
        <v>66</v>
      </c>
      <c r="AI25" s="94" t="s">
        <v>66</v>
      </c>
      <c r="AJ25" s="94" t="s">
        <v>66</v>
      </c>
      <c r="AK25" s="94" t="s">
        <v>66</v>
      </c>
      <c r="AL25" s="94" t="s">
        <v>66</v>
      </c>
      <c r="AM25" s="94" t="s">
        <v>66</v>
      </c>
      <c r="AN25" s="94" t="s">
        <v>66</v>
      </c>
      <c r="AO25" s="94" t="s">
        <v>66</v>
      </c>
      <c r="AP25" s="96" t="s">
        <v>66</v>
      </c>
    </row>
    <row r="26" spans="1:42" ht="15.75" customHeight="1" x14ac:dyDescent="0.25">
      <c r="A26" s="147"/>
      <c r="B26" s="54"/>
      <c r="C26" s="87"/>
      <c r="E26" s="246"/>
      <c r="F26" s="86" t="s">
        <v>207</v>
      </c>
      <c r="G26" s="121">
        <v>0</v>
      </c>
      <c r="H26" s="121">
        <v>0</v>
      </c>
      <c r="I26" s="87">
        <f>-(2587+511.66)/12</f>
        <v>-258.22166666666664</v>
      </c>
      <c r="J26" s="93">
        <f t="shared" si="8"/>
        <v>0.223644446138141</v>
      </c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246"/>
    </row>
    <row r="27" spans="1:42" ht="15.75" customHeight="1" x14ac:dyDescent="0.25">
      <c r="A27" s="147">
        <f>A25+1</f>
        <v>16</v>
      </c>
      <c r="B27" s="54" t="s">
        <v>28</v>
      </c>
      <c r="C27" s="87">
        <v>0</v>
      </c>
      <c r="E27" s="96"/>
      <c r="F27" s="86" t="s">
        <v>72</v>
      </c>
      <c r="G27" s="121">
        <f>C11</f>
        <v>-550</v>
      </c>
      <c r="H27" s="121">
        <f t="shared" si="6"/>
        <v>-3.9900000000000091</v>
      </c>
      <c r="I27" s="87">
        <f t="shared" si="7"/>
        <v>-553.99</v>
      </c>
      <c r="J27" s="91">
        <f t="shared" si="8"/>
        <v>0.47980786552665505</v>
      </c>
      <c r="K27" s="92" t="s">
        <v>66</v>
      </c>
      <c r="L27" s="92" t="s">
        <v>66</v>
      </c>
      <c r="M27" s="92" t="s">
        <v>66</v>
      </c>
      <c r="N27" s="92" t="s">
        <v>66</v>
      </c>
      <c r="O27" s="92" t="s">
        <v>66</v>
      </c>
      <c r="P27" s="92" t="s">
        <v>66</v>
      </c>
      <c r="Q27" s="92">
        <v>-550</v>
      </c>
      <c r="R27" s="92" t="s">
        <v>66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>
        <v>-3.99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2" t="s">
        <v>66</v>
      </c>
      <c r="AJ27" s="92" t="s">
        <v>66</v>
      </c>
      <c r="AK27" s="92" t="s">
        <v>66</v>
      </c>
      <c r="AL27" s="92" t="s">
        <v>66</v>
      </c>
      <c r="AM27" s="92" t="s">
        <v>66</v>
      </c>
      <c r="AN27" s="92" t="s">
        <v>66</v>
      </c>
      <c r="AO27" s="92" t="s">
        <v>66</v>
      </c>
      <c r="AP27" s="96" t="s">
        <v>66</v>
      </c>
    </row>
    <row r="28" spans="1:42" ht="15.75" customHeight="1" x14ac:dyDescent="0.25">
      <c r="A28" s="147">
        <f t="shared" si="10"/>
        <v>17</v>
      </c>
      <c r="B28" s="54" t="s">
        <v>120</v>
      </c>
      <c r="C28" s="87">
        <v>-30</v>
      </c>
      <c r="E28" s="96"/>
      <c r="F28" s="86" t="s">
        <v>121</v>
      </c>
      <c r="G28" s="121">
        <f>C22</f>
        <v>0</v>
      </c>
      <c r="H28" s="121">
        <f t="shared" si="6"/>
        <v>0</v>
      </c>
      <c r="I28" s="87">
        <f t="shared" si="7"/>
        <v>0</v>
      </c>
      <c r="J28" s="93">
        <f t="shared" si="8"/>
        <v>0</v>
      </c>
      <c r="K28" s="94" t="s">
        <v>66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4" t="s">
        <v>66</v>
      </c>
      <c r="AJ28" s="94" t="s">
        <v>66</v>
      </c>
      <c r="AK28" s="94" t="s">
        <v>66</v>
      </c>
      <c r="AL28" s="94" t="s">
        <v>66</v>
      </c>
      <c r="AM28" s="94" t="s">
        <v>66</v>
      </c>
      <c r="AN28" s="94" t="s">
        <v>66</v>
      </c>
      <c r="AO28" s="94" t="s">
        <v>66</v>
      </c>
      <c r="AP28" s="96" t="s">
        <v>66</v>
      </c>
    </row>
    <row r="29" spans="1:42" ht="15.75" customHeight="1" x14ac:dyDescent="0.25">
      <c r="A29" s="147">
        <f t="shared" si="10"/>
        <v>18</v>
      </c>
      <c r="B29" s="54" t="s">
        <v>40</v>
      </c>
      <c r="C29" s="87">
        <v>0</v>
      </c>
      <c r="E29" s="96"/>
      <c r="F29" s="86" t="s">
        <v>96</v>
      </c>
      <c r="G29" s="86"/>
      <c r="H29" s="86"/>
      <c r="I29" s="87">
        <f t="shared" si="7"/>
        <v>0</v>
      </c>
      <c r="J29" s="93">
        <f t="shared" si="8"/>
        <v>0</v>
      </c>
      <c r="K29" s="92" t="s">
        <v>66</v>
      </c>
      <c r="L29" s="92" t="s">
        <v>66</v>
      </c>
      <c r="M29" s="92" t="s">
        <v>66</v>
      </c>
      <c r="N29" s="92" t="s">
        <v>66</v>
      </c>
      <c r="O29" s="92" t="s">
        <v>66</v>
      </c>
      <c r="P29" s="92" t="s">
        <v>66</v>
      </c>
      <c r="Q29" s="92" t="s">
        <v>66</v>
      </c>
      <c r="R29" s="92" t="s">
        <v>66</v>
      </c>
      <c r="S29" s="92" t="s">
        <v>66</v>
      </c>
      <c r="T29" s="92" t="s">
        <v>66</v>
      </c>
      <c r="U29" s="92" t="s">
        <v>66</v>
      </c>
      <c r="V29" s="92" t="s">
        <v>66</v>
      </c>
      <c r="W29" s="92" t="s">
        <v>66</v>
      </c>
      <c r="X29" s="92" t="s">
        <v>66</v>
      </c>
      <c r="Y29" s="92" t="s">
        <v>66</v>
      </c>
      <c r="Z29" s="92" t="s">
        <v>66</v>
      </c>
      <c r="AA29" s="92" t="s">
        <v>66</v>
      </c>
      <c r="AB29" s="92" t="s">
        <v>66</v>
      </c>
      <c r="AC29" s="92" t="s">
        <v>66</v>
      </c>
      <c r="AD29" s="92" t="s">
        <v>66</v>
      </c>
      <c r="AE29" s="92" t="s">
        <v>66</v>
      </c>
      <c r="AF29" s="92" t="s">
        <v>66</v>
      </c>
      <c r="AG29" s="92" t="s">
        <v>66</v>
      </c>
      <c r="AH29" s="92" t="s">
        <v>66</v>
      </c>
      <c r="AI29" s="92" t="s">
        <v>66</v>
      </c>
      <c r="AJ29" s="92" t="s">
        <v>66</v>
      </c>
      <c r="AK29" s="92" t="s">
        <v>66</v>
      </c>
      <c r="AL29" s="92" t="s">
        <v>66</v>
      </c>
      <c r="AM29" s="92" t="s">
        <v>66</v>
      </c>
      <c r="AN29" s="92" t="s">
        <v>66</v>
      </c>
      <c r="AO29" s="92" t="s">
        <v>66</v>
      </c>
      <c r="AP29" s="96" t="s">
        <v>66</v>
      </c>
    </row>
    <row r="30" spans="1:42" ht="15.75" customHeight="1" x14ac:dyDescent="0.25">
      <c r="A30" s="147">
        <f t="shared" si="10"/>
        <v>19</v>
      </c>
      <c r="B30" s="54" t="s">
        <v>122</v>
      </c>
      <c r="C30" s="87">
        <v>0</v>
      </c>
      <c r="E30" s="96"/>
      <c r="F30" s="99" t="s">
        <v>44</v>
      </c>
      <c r="G30" s="99"/>
      <c r="H30" s="99"/>
      <c r="I30" s="124">
        <f>SUM(K30:AL30)</f>
        <v>1649.4399999999998</v>
      </c>
      <c r="J30" s="125"/>
      <c r="K30" s="126"/>
      <c r="L30" s="126"/>
      <c r="M30" s="126"/>
      <c r="N30" s="126"/>
      <c r="O30" s="126"/>
      <c r="P30" s="126"/>
      <c r="Q30" s="126">
        <v>1505.34</v>
      </c>
      <c r="R30" s="126"/>
      <c r="S30" s="126"/>
      <c r="T30" s="126"/>
      <c r="U30" s="126"/>
      <c r="V30" s="126"/>
      <c r="W30" s="126">
        <v>44.1</v>
      </c>
      <c r="X30" s="126"/>
      <c r="Y30" s="126"/>
      <c r="Z30" s="126"/>
      <c r="AA30" s="126"/>
      <c r="AB30" s="126"/>
      <c r="AC30" s="126"/>
      <c r="AD30" s="126">
        <v>50</v>
      </c>
      <c r="AE30" s="126"/>
      <c r="AF30" s="126"/>
      <c r="AG30" s="126"/>
      <c r="AH30" s="126"/>
      <c r="AI30" s="126"/>
      <c r="AJ30" s="126"/>
      <c r="AK30" s="126">
        <v>50</v>
      </c>
      <c r="AL30" s="126"/>
      <c r="AM30" s="126"/>
      <c r="AN30" s="126"/>
      <c r="AO30" s="126"/>
      <c r="AP30" s="96"/>
    </row>
    <row r="31" spans="1:42" ht="15.75" customHeight="1" x14ac:dyDescent="0.25">
      <c r="A31" s="147">
        <f t="shared" si="10"/>
        <v>20</v>
      </c>
      <c r="B31" s="54" t="s">
        <v>36</v>
      </c>
      <c r="C31" s="87">
        <v>0</v>
      </c>
      <c r="E31" s="96"/>
      <c r="F31" s="163" t="s">
        <v>123</v>
      </c>
      <c r="G31" s="164"/>
      <c r="H31" s="164"/>
      <c r="I31" s="165"/>
      <c r="J31" s="166"/>
      <c r="K31" s="167"/>
      <c r="L31" s="167"/>
      <c r="M31" s="168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97"/>
    </row>
    <row r="32" spans="1:42" ht="15.75" customHeight="1" x14ac:dyDescent="0.25">
      <c r="A32" s="151">
        <f t="shared" si="10"/>
        <v>21</v>
      </c>
      <c r="B32" s="63" t="s">
        <v>41</v>
      </c>
      <c r="C32" s="98">
        <v>0</v>
      </c>
      <c r="E32" s="96"/>
      <c r="F32" s="110" t="s">
        <v>79</v>
      </c>
      <c r="G32" s="110"/>
      <c r="H32" s="110"/>
      <c r="I32" s="58"/>
      <c r="J32" s="66"/>
      <c r="K32" s="112">
        <f t="shared" ref="K32:AO32" si="12">SUM($K$6:K6)</f>
        <v>-11.36</v>
      </c>
      <c r="L32" s="112">
        <f t="shared" si="12"/>
        <v>-23.21</v>
      </c>
      <c r="M32" s="112">
        <f t="shared" si="12"/>
        <v>-37.94</v>
      </c>
      <c r="N32" s="112">
        <f t="shared" si="12"/>
        <v>-54.94</v>
      </c>
      <c r="O32" s="112">
        <f t="shared" si="12"/>
        <v>-65.239999999999995</v>
      </c>
      <c r="P32" s="112">
        <f t="shared" si="12"/>
        <v>-65.239999999999995</v>
      </c>
      <c r="Q32" s="112">
        <f t="shared" si="12"/>
        <v>-658.11</v>
      </c>
      <c r="R32" s="112">
        <f t="shared" si="12"/>
        <v>-688.51</v>
      </c>
      <c r="S32" s="112">
        <f t="shared" si="12"/>
        <v>-716.96</v>
      </c>
      <c r="T32" s="112">
        <f t="shared" si="12"/>
        <v>-720.01</v>
      </c>
      <c r="U32" s="112">
        <f t="shared" si="12"/>
        <v>-740.95</v>
      </c>
      <c r="V32" s="112">
        <f t="shared" si="12"/>
        <v>-790.72</v>
      </c>
      <c r="W32" s="112">
        <f t="shared" si="12"/>
        <v>-812.76</v>
      </c>
      <c r="X32" s="112">
        <f t="shared" si="12"/>
        <v>-808.76</v>
      </c>
      <c r="Y32" s="112">
        <f t="shared" si="12"/>
        <v>-851.73</v>
      </c>
      <c r="Z32" s="112">
        <f t="shared" si="12"/>
        <v>-855.72</v>
      </c>
      <c r="AA32" s="112">
        <f t="shared" si="12"/>
        <v>-1011.72</v>
      </c>
      <c r="AB32" s="112">
        <f t="shared" si="12"/>
        <v>-1011.72</v>
      </c>
      <c r="AC32" s="112">
        <f t="shared" si="12"/>
        <v>-1061.6200000000001</v>
      </c>
      <c r="AD32" s="112">
        <f t="shared" si="12"/>
        <v>-1095.6600000000001</v>
      </c>
      <c r="AE32" s="112">
        <f t="shared" si="12"/>
        <v>-1135.19</v>
      </c>
      <c r="AF32" s="112">
        <f t="shared" si="12"/>
        <v>-1155.0900000000001</v>
      </c>
      <c r="AG32" s="112">
        <f t="shared" si="12"/>
        <v>-1170.7700000000002</v>
      </c>
      <c r="AH32" s="112">
        <f t="shared" si="12"/>
        <v>-1170.7700000000002</v>
      </c>
      <c r="AI32" s="112">
        <f t="shared" si="12"/>
        <v>-1186.9300000000003</v>
      </c>
      <c r="AJ32" s="112">
        <f t="shared" si="12"/>
        <v>-1256.8200000000004</v>
      </c>
      <c r="AK32" s="112">
        <f t="shared" si="12"/>
        <v>-1266.8200000000004</v>
      </c>
      <c r="AL32" s="112">
        <f t="shared" si="12"/>
        <v>-1329.3200000000004</v>
      </c>
      <c r="AM32" s="112">
        <f t="shared" si="12"/>
        <v>-1361.4800000000005</v>
      </c>
      <c r="AN32" s="112">
        <f t="shared" si="12"/>
        <v>-1401.3300000000004</v>
      </c>
      <c r="AO32" s="112">
        <f t="shared" si="12"/>
        <v>-1401.3300000000004</v>
      </c>
      <c r="AP32" s="97"/>
    </row>
    <row r="33" spans="1:43" ht="15.75" customHeight="1" x14ac:dyDescent="0.25">
      <c r="E33" s="96"/>
      <c r="F33" s="99" t="s">
        <v>69</v>
      </c>
      <c r="G33" s="169"/>
      <c r="H33" s="169"/>
      <c r="I33" s="44"/>
      <c r="J33" s="115">
        <f>'Set2019'!AH36</f>
        <v>6214.6500000000078</v>
      </c>
      <c r="K33" s="73">
        <f t="shared" ref="K33:AM33" si="13">J40+K6+K30</f>
        <v>6203.2900000000081</v>
      </c>
      <c r="L33" s="73">
        <f t="shared" si="13"/>
        <v>6191.4400000000078</v>
      </c>
      <c r="M33" s="73">
        <f t="shared" si="13"/>
        <v>6176.7100000000082</v>
      </c>
      <c r="N33" s="73">
        <f t="shared" si="13"/>
        <v>6159.7100000000082</v>
      </c>
      <c r="O33" s="73">
        <f t="shared" si="13"/>
        <v>6149.410000000008</v>
      </c>
      <c r="P33" s="73">
        <f t="shared" si="13"/>
        <v>6149.410000000008</v>
      </c>
      <c r="Q33" s="73">
        <f t="shared" si="13"/>
        <v>7061.8800000000083</v>
      </c>
      <c r="R33" s="73">
        <f t="shared" si="13"/>
        <v>7031.4800000000087</v>
      </c>
      <c r="S33" s="73">
        <f t="shared" si="13"/>
        <v>7003.0300000000088</v>
      </c>
      <c r="T33" s="73">
        <f t="shared" si="13"/>
        <v>6999.9800000000087</v>
      </c>
      <c r="U33" s="73">
        <f t="shared" si="13"/>
        <v>6979.0400000000091</v>
      </c>
      <c r="V33" s="73">
        <f t="shared" si="13"/>
        <v>6929.2700000000086</v>
      </c>
      <c r="W33" s="73">
        <f t="shared" si="13"/>
        <v>6951.330000000009</v>
      </c>
      <c r="X33" s="73">
        <f t="shared" si="13"/>
        <v>6955.330000000009</v>
      </c>
      <c r="Y33" s="73">
        <f t="shared" si="13"/>
        <v>6912.3600000000088</v>
      </c>
      <c r="Z33" s="73">
        <f t="shared" si="13"/>
        <v>6908.370000000009</v>
      </c>
      <c r="AA33" s="73">
        <f t="shared" si="13"/>
        <v>6752.370000000009</v>
      </c>
      <c r="AB33" s="73">
        <f t="shared" si="13"/>
        <v>6752.370000000009</v>
      </c>
      <c r="AC33" s="73">
        <f t="shared" si="13"/>
        <v>6702.4700000000093</v>
      </c>
      <c r="AD33" s="73">
        <f t="shared" si="13"/>
        <v>6718.4300000000094</v>
      </c>
      <c r="AE33" s="73">
        <f t="shared" si="13"/>
        <v>6678.9000000000096</v>
      </c>
      <c r="AF33" s="73">
        <f t="shared" si="13"/>
        <v>6659.00000000001</v>
      </c>
      <c r="AG33" s="73">
        <f t="shared" si="13"/>
        <v>6643.3200000000097</v>
      </c>
      <c r="AH33" s="73">
        <f t="shared" si="13"/>
        <v>6643.3200000000097</v>
      </c>
      <c r="AI33" s="73">
        <f t="shared" si="13"/>
        <v>6627.1600000000099</v>
      </c>
      <c r="AJ33" s="73">
        <f t="shared" si="13"/>
        <v>6557.2700000000095</v>
      </c>
      <c r="AK33" s="73">
        <f t="shared" si="13"/>
        <v>6597.2700000000095</v>
      </c>
      <c r="AL33" s="73">
        <f t="shared" si="13"/>
        <v>6534.7700000000095</v>
      </c>
      <c r="AM33" s="73">
        <f t="shared" si="13"/>
        <v>6502.6100000000097</v>
      </c>
      <c r="AN33" s="73">
        <f t="shared" ref="AN33:AO33" si="14">AL40+AN6+AN30</f>
        <v>6494.9200000000092</v>
      </c>
      <c r="AO33" s="73">
        <f t="shared" si="14"/>
        <v>6502.6100000000097</v>
      </c>
      <c r="AP33" s="97"/>
    </row>
    <row r="34" spans="1:43" ht="15.75" customHeight="1" x14ac:dyDescent="0.25">
      <c r="E34" s="96"/>
      <c r="F34" s="83" t="s">
        <v>61</v>
      </c>
      <c r="G34" s="83"/>
      <c r="H34" s="83"/>
      <c r="I34" s="12"/>
      <c r="J34" s="12"/>
      <c r="Q34" s="7">
        <v>70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100</v>
      </c>
      <c r="AI34" s="1"/>
      <c r="AJ34" s="1"/>
      <c r="AK34" s="1"/>
      <c r="AL34" s="1"/>
      <c r="AM34" s="1"/>
      <c r="AN34" s="1"/>
      <c r="AO34" s="1"/>
      <c r="AP34" s="97"/>
    </row>
    <row r="35" spans="1:43" ht="15.75" customHeight="1" x14ac:dyDescent="0.25">
      <c r="E35" s="96"/>
      <c r="F35" s="83" t="s">
        <v>70</v>
      </c>
      <c r="G35" s="83"/>
      <c r="H35" s="83"/>
      <c r="I35" s="12"/>
      <c r="J35" s="12"/>
      <c r="Q35" s="7">
        <v>-195.15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f>-651.37-455.9*(9/10)</f>
        <v>-1061.68</v>
      </c>
      <c r="AI35" s="1"/>
      <c r="AJ35" s="1"/>
      <c r="AK35" s="1"/>
      <c r="AL35" s="1"/>
      <c r="AM35" s="1"/>
      <c r="AN35" s="1"/>
      <c r="AO35" s="1"/>
      <c r="AP35" s="97"/>
    </row>
    <row r="36" spans="1:43" ht="15.75" customHeight="1" x14ac:dyDescent="0.25">
      <c r="E36" s="96"/>
      <c r="F36" s="83" t="s">
        <v>71</v>
      </c>
      <c r="G36" s="83"/>
      <c r="H36" s="83"/>
      <c r="I36" s="12"/>
      <c r="J36" s="12"/>
      <c r="Q36" s="7">
        <v>96.71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F36" s="1"/>
      <c r="AG36" s="1"/>
      <c r="AH36" s="1">
        <v>76.709999999999994</v>
      </c>
      <c r="AI36" s="1"/>
      <c r="AJ36" s="1"/>
      <c r="AK36" s="1"/>
      <c r="AL36" s="1"/>
      <c r="AM36" s="1"/>
      <c r="AN36" s="1"/>
      <c r="AO36" s="1"/>
      <c r="AP36" s="97"/>
    </row>
    <row r="37" spans="1:43" ht="15.75" customHeight="1" x14ac:dyDescent="0.25">
      <c r="E37" s="96"/>
      <c r="F37" s="83" t="s">
        <v>95</v>
      </c>
      <c r="G37" s="83"/>
      <c r="H37" s="83"/>
      <c r="I37" s="12"/>
      <c r="J37" s="12"/>
      <c r="K37" s="1"/>
      <c r="Q37" s="7">
        <f>8325.53+698.11-550</f>
        <v>8473.6400000000012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43"/>
      <c r="AE37" s="1"/>
      <c r="AF37" s="1"/>
      <c r="AG37" s="1"/>
      <c r="AH37" s="1">
        <f>316.7+8644.44</f>
        <v>8961.1400000000012</v>
      </c>
      <c r="AI37" s="1"/>
      <c r="AJ37" s="1"/>
      <c r="AK37" s="1"/>
      <c r="AL37" s="1"/>
      <c r="AM37" s="1"/>
      <c r="AN37" s="1"/>
      <c r="AO37" s="1"/>
      <c r="AP37" s="97"/>
    </row>
    <row r="38" spans="1:43" ht="15.75" customHeight="1" x14ac:dyDescent="0.25">
      <c r="E38" s="96"/>
      <c r="F38" s="83" t="s">
        <v>73</v>
      </c>
      <c r="G38" s="83"/>
      <c r="H38" s="83"/>
      <c r="I38" s="12"/>
      <c r="J38" s="12"/>
      <c r="Q38" s="7">
        <v>1864</v>
      </c>
      <c r="R38" s="1"/>
      <c r="S38" s="1"/>
      <c r="T38" s="134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v>1864</v>
      </c>
      <c r="AI38" s="1"/>
      <c r="AJ38" s="1"/>
      <c r="AK38" s="1"/>
      <c r="AL38" s="1"/>
      <c r="AM38" s="1"/>
      <c r="AN38" s="1"/>
      <c r="AO38" s="1"/>
      <c r="AP38" s="97"/>
    </row>
    <row r="39" spans="1:43" ht="15.75" customHeight="1" x14ac:dyDescent="0.25">
      <c r="E39" s="96"/>
      <c r="F39" s="83" t="s">
        <v>119</v>
      </c>
      <c r="G39" s="83"/>
      <c r="H39" s="83"/>
      <c r="I39" s="12"/>
      <c r="J39" s="12"/>
      <c r="Q39" s="7">
        <v>50</v>
      </c>
      <c r="R39" s="1"/>
      <c r="S39" s="1"/>
      <c r="T39" s="134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>
        <v>50</v>
      </c>
      <c r="AI39" s="1"/>
      <c r="AJ39" s="1"/>
      <c r="AK39" s="1"/>
      <c r="AL39" s="1"/>
      <c r="AM39" s="1"/>
      <c r="AN39" s="1"/>
      <c r="AO39" s="1"/>
      <c r="AP39" s="97"/>
    </row>
    <row r="40" spans="1:43" ht="15.75" customHeight="1" x14ac:dyDescent="0.25">
      <c r="E40" s="96"/>
      <c r="F40" s="86" t="s">
        <v>80</v>
      </c>
      <c r="G40" s="86"/>
      <c r="H40" s="86"/>
      <c r="I40" s="12"/>
      <c r="J40" s="50">
        <f t="shared" ref="J40:AO40" si="15">J33</f>
        <v>6214.6500000000078</v>
      </c>
      <c r="K40" s="50">
        <f t="shared" si="15"/>
        <v>6203.2900000000081</v>
      </c>
      <c r="L40" s="50">
        <f t="shared" si="15"/>
        <v>6191.4400000000078</v>
      </c>
      <c r="M40" s="50">
        <f t="shared" si="15"/>
        <v>6176.7100000000082</v>
      </c>
      <c r="N40" s="50">
        <f t="shared" si="15"/>
        <v>6159.7100000000082</v>
      </c>
      <c r="O40" s="50">
        <f t="shared" si="15"/>
        <v>6149.410000000008</v>
      </c>
      <c r="P40" s="50">
        <f t="shared" si="15"/>
        <v>6149.410000000008</v>
      </c>
      <c r="Q40" s="50">
        <f t="shared" si="15"/>
        <v>7061.8800000000083</v>
      </c>
      <c r="R40" s="50">
        <f t="shared" si="15"/>
        <v>7031.4800000000087</v>
      </c>
      <c r="S40" s="50">
        <f t="shared" si="15"/>
        <v>7003.0300000000088</v>
      </c>
      <c r="T40" s="50">
        <f t="shared" si="15"/>
        <v>6999.9800000000087</v>
      </c>
      <c r="U40" s="50">
        <f t="shared" si="15"/>
        <v>6979.0400000000091</v>
      </c>
      <c r="V40" s="50">
        <f t="shared" si="15"/>
        <v>6929.2700000000086</v>
      </c>
      <c r="W40" s="50">
        <f t="shared" si="15"/>
        <v>6951.330000000009</v>
      </c>
      <c r="X40" s="50">
        <f t="shared" si="15"/>
        <v>6955.330000000009</v>
      </c>
      <c r="Y40" s="50">
        <f t="shared" si="15"/>
        <v>6912.3600000000088</v>
      </c>
      <c r="Z40" s="50">
        <f t="shared" si="15"/>
        <v>6908.370000000009</v>
      </c>
      <c r="AA40" s="50">
        <f t="shared" si="15"/>
        <v>6752.370000000009</v>
      </c>
      <c r="AB40" s="50">
        <f t="shared" si="15"/>
        <v>6752.370000000009</v>
      </c>
      <c r="AC40" s="50">
        <f t="shared" si="15"/>
        <v>6702.4700000000093</v>
      </c>
      <c r="AD40" s="50">
        <f t="shared" si="15"/>
        <v>6718.4300000000094</v>
      </c>
      <c r="AE40" s="50">
        <f t="shared" si="15"/>
        <v>6678.9000000000096</v>
      </c>
      <c r="AF40" s="50">
        <f t="shared" si="15"/>
        <v>6659.00000000001</v>
      </c>
      <c r="AG40" s="170">
        <f t="shared" si="15"/>
        <v>6643.3200000000097</v>
      </c>
      <c r="AH40" s="50">
        <f t="shared" si="15"/>
        <v>6643.3200000000097</v>
      </c>
      <c r="AI40" s="50">
        <f t="shared" si="15"/>
        <v>6627.1600000000099</v>
      </c>
      <c r="AJ40" s="50">
        <f t="shared" si="15"/>
        <v>6557.2700000000095</v>
      </c>
      <c r="AK40" s="50">
        <f t="shared" si="15"/>
        <v>6597.2700000000095</v>
      </c>
      <c r="AL40" s="50">
        <f t="shared" si="15"/>
        <v>6534.7700000000095</v>
      </c>
      <c r="AM40" s="50">
        <f t="shared" si="15"/>
        <v>6502.6100000000097</v>
      </c>
      <c r="AN40" s="50">
        <f t="shared" si="15"/>
        <v>6494.9200000000092</v>
      </c>
      <c r="AO40" s="50">
        <f t="shared" si="15"/>
        <v>6502.6100000000097</v>
      </c>
      <c r="AP40" s="97"/>
    </row>
    <row r="41" spans="1:43" ht="15.75" customHeight="1" x14ac:dyDescent="0.25">
      <c r="E41" s="96"/>
      <c r="F41" s="117" t="s">
        <v>74</v>
      </c>
      <c r="G41" s="117"/>
      <c r="H41" s="117"/>
      <c r="I41" s="70"/>
      <c r="J41" s="70"/>
      <c r="K41" s="138"/>
      <c r="L41" s="138"/>
      <c r="M41" s="138"/>
      <c r="N41" s="138"/>
      <c r="O41" s="138"/>
      <c r="P41" s="138"/>
      <c r="Q41" s="138">
        <f>SUM(Q34:Q39)</f>
        <v>10359.200000000001</v>
      </c>
      <c r="R41" s="69"/>
      <c r="S41" s="69"/>
      <c r="T41" s="69"/>
      <c r="U41" s="69"/>
      <c r="V41" s="71"/>
      <c r="W41" s="71"/>
      <c r="X41" s="71"/>
      <c r="Y41" s="71"/>
      <c r="Z41" s="71"/>
      <c r="AA41" s="69"/>
      <c r="AB41" s="71"/>
      <c r="AC41" s="71"/>
      <c r="AD41" s="71"/>
      <c r="AE41" s="71"/>
      <c r="AF41" s="71"/>
      <c r="AG41" s="1"/>
      <c r="AH41" s="71">
        <f>SUM(AH34:AH39)</f>
        <v>9990.1700000000019</v>
      </c>
      <c r="AI41" s="71"/>
      <c r="AJ41" s="71"/>
      <c r="AK41" s="71"/>
      <c r="AL41" s="71"/>
      <c r="AM41" s="71"/>
      <c r="AN41" s="71"/>
      <c r="AO41" s="71"/>
      <c r="AP41" s="97"/>
    </row>
    <row r="42" spans="1:43" ht="9" customHeight="1" x14ac:dyDescent="0.25">
      <c r="E42" s="96"/>
      <c r="F42" s="97"/>
      <c r="G42" s="97"/>
      <c r="H42" s="97"/>
      <c r="I42" s="127"/>
      <c r="J42" s="12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6"/>
    </row>
    <row r="43" spans="1:43" ht="15.75" customHeight="1" x14ac:dyDescent="0.25">
      <c r="B43" s="157" t="s">
        <v>124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3" ht="15.75" customHeight="1" x14ac:dyDescent="0.25">
      <c r="A44" s="5"/>
      <c r="B44" s="5"/>
      <c r="F44" s="1"/>
      <c r="G44" s="1"/>
      <c r="H44" s="1"/>
      <c r="I44" s="1"/>
      <c r="J44" s="1"/>
      <c r="Q44" s="5"/>
      <c r="R44" s="5"/>
      <c r="S44" s="5"/>
      <c r="T44" s="128"/>
      <c r="U44" s="5"/>
      <c r="V44" s="5"/>
      <c r="W44" s="5"/>
      <c r="X44" s="128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N44" s="5"/>
      <c r="AO44" s="5"/>
    </row>
    <row r="45" spans="1:43" ht="15.75" customHeight="1" x14ac:dyDescent="0.25">
      <c r="A45" s="8">
        <v>1</v>
      </c>
      <c r="B45" s="171" t="s">
        <v>125</v>
      </c>
      <c r="F45" s="1"/>
      <c r="G45" s="1"/>
      <c r="H45" s="1"/>
      <c r="I45" s="1"/>
      <c r="J45" s="1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N45" s="5"/>
      <c r="AO45" s="5"/>
    </row>
    <row r="46" spans="1:43" ht="15.75" customHeight="1" x14ac:dyDescent="0.25">
      <c r="A46" s="119">
        <v>2</v>
      </c>
      <c r="B46" s="171" t="s">
        <v>126</v>
      </c>
      <c r="F46" s="1"/>
      <c r="G46" s="1"/>
      <c r="H46" s="1"/>
      <c r="I46" s="1"/>
      <c r="J46" s="1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N46" s="8"/>
      <c r="AO46" s="8"/>
      <c r="AQ46" s="128"/>
    </row>
    <row r="47" spans="1:43" ht="15.75" customHeight="1" x14ac:dyDescent="0.25">
      <c r="F47" s="1"/>
      <c r="G47" s="1"/>
      <c r="H47" s="1"/>
      <c r="I47" s="1"/>
      <c r="J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</row>
    <row r="48" spans="1:43" ht="15.75" customHeight="1" x14ac:dyDescent="0.25">
      <c r="F48" s="1"/>
      <c r="G48" s="1"/>
      <c r="H48" s="1"/>
      <c r="I48" s="1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</row>
    <row r="49" spans="6:41" ht="15.75" customHeight="1" x14ac:dyDescent="0.25">
      <c r="I49" s="15"/>
      <c r="J49" s="1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6:41" ht="15.75" customHeight="1" x14ac:dyDescent="0.25">
      <c r="O50" s="1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</row>
    <row r="51" spans="6:41" ht="15.75" customHeight="1" x14ac:dyDescent="0.25"/>
    <row r="52" spans="6:41" ht="15.75" customHeight="1" x14ac:dyDescent="0.25"/>
    <row r="53" spans="6:41" ht="15.75" customHeight="1" x14ac:dyDescent="0.25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6:41" ht="15.75" customHeight="1" x14ac:dyDescent="0.25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6:41" ht="15.75" customHeight="1" x14ac:dyDescent="0.25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6:41" ht="15.75" customHeight="1" x14ac:dyDescent="0.25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6:41" ht="15.75" customHeight="1" x14ac:dyDescent="0.25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6:41" ht="15.75" customHeight="1" x14ac:dyDescent="0.25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6:41" ht="15.75" customHeight="1" x14ac:dyDescent="0.2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6:41" ht="15.75" customHeight="1" x14ac:dyDescent="0.2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6:41" ht="15.75" customHeight="1" x14ac:dyDescent="0.25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6:41" ht="15.75" customHeight="1" x14ac:dyDescent="0.25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6:41" ht="15.75" customHeight="1" x14ac:dyDescent="0.25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6:41" ht="15.75" customHeight="1" x14ac:dyDescent="0.25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6:41" ht="15.75" customHeight="1" x14ac:dyDescent="0.25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6:41" ht="15.75" customHeight="1" x14ac:dyDescent="0.25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6:41" ht="15.75" customHeight="1" x14ac:dyDescent="0.2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6:41" ht="15.75" customHeight="1" x14ac:dyDescent="0.25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6:41" ht="15.75" customHeight="1" x14ac:dyDescent="0.25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6:41" ht="15.75" customHeight="1" x14ac:dyDescent="0.2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6:41" ht="15.75" customHeight="1" x14ac:dyDescent="0.2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6:41" ht="15.75" customHeight="1" x14ac:dyDescent="0.25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6:41" ht="15.75" customHeight="1" x14ac:dyDescent="0.25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6:41" ht="15.75" customHeight="1" x14ac:dyDescent="0.2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6:41" ht="15.75" customHeight="1" x14ac:dyDescent="0.2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6:41" ht="15.75" customHeight="1" x14ac:dyDescent="0.25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6:41" ht="15.75" customHeight="1" x14ac:dyDescent="0.25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6:41" ht="15.75" customHeight="1" x14ac:dyDescent="0.25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6:41" ht="15.75" customHeight="1" x14ac:dyDescent="0.25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6:41" ht="15.75" customHeight="1" x14ac:dyDescent="0.25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6:41" ht="15.75" customHeight="1" x14ac:dyDescent="0.25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6:41" ht="15.75" customHeight="1" x14ac:dyDescent="0.25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6:41" ht="15.75" customHeight="1" x14ac:dyDescent="0.25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6:41" ht="15.75" customHeight="1" x14ac:dyDescent="0.25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6:41" ht="15.75" customHeight="1" x14ac:dyDescent="0.25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6:41" ht="15.75" customHeight="1" x14ac:dyDescent="0.25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6:41" ht="15.75" customHeight="1" x14ac:dyDescent="0.25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6:41" ht="15.75" customHeight="1" x14ac:dyDescent="0.25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6:41" ht="15.75" customHeight="1" x14ac:dyDescent="0.25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6:41" ht="15.75" customHeight="1" x14ac:dyDescent="0.25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6:41" ht="15.75" customHeight="1" x14ac:dyDescent="0.2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6:41" ht="15.75" customHeight="1" x14ac:dyDescent="0.25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6:41" ht="15.75" customHeight="1" x14ac:dyDescent="0.25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6:41" ht="15.75" customHeight="1" x14ac:dyDescent="0.25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6:41" ht="15.75" customHeight="1" x14ac:dyDescent="0.25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6:41" ht="15.75" customHeight="1" x14ac:dyDescent="0.25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6:41" ht="15.75" customHeight="1" x14ac:dyDescent="0.25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6:41" ht="15.75" customHeight="1" x14ac:dyDescent="0.25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6:41" ht="15.75" customHeight="1" x14ac:dyDescent="0.25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6:41" ht="15.75" customHeight="1" x14ac:dyDescent="0.25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6:41" ht="15.75" customHeight="1" x14ac:dyDescent="0.25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6:41" ht="15.75" customHeight="1" x14ac:dyDescent="0.25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6:41" ht="15.75" customHeight="1" x14ac:dyDescent="0.25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6:41" ht="15.75" customHeight="1" x14ac:dyDescent="0.25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6:41" ht="15.75" customHeight="1" x14ac:dyDescent="0.25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6:41" ht="15.75" customHeight="1" x14ac:dyDescent="0.25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6:41" ht="15.75" customHeight="1" x14ac:dyDescent="0.25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6:41" ht="15.75" customHeight="1" x14ac:dyDescent="0.25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6:41" ht="15.75" customHeight="1" x14ac:dyDescent="0.25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6:41" ht="15.75" customHeight="1" x14ac:dyDescent="0.25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6:41" ht="15.75" customHeight="1" x14ac:dyDescent="0.25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6:41" ht="15.75" customHeight="1" x14ac:dyDescent="0.25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6:41" ht="15.75" customHeight="1" x14ac:dyDescent="0.25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6:41" ht="15.75" customHeight="1" x14ac:dyDescent="0.25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6:41" ht="15.75" customHeight="1" x14ac:dyDescent="0.25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6:41" ht="15.75" customHeight="1" x14ac:dyDescent="0.25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6:41" ht="15.75" customHeight="1" x14ac:dyDescent="0.25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6:41" ht="15.75" customHeight="1" x14ac:dyDescent="0.25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6:41" ht="15.75" customHeight="1" x14ac:dyDescent="0.25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6:41" ht="15.75" customHeight="1" x14ac:dyDescent="0.25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6:41" ht="15.75" customHeight="1" x14ac:dyDescent="0.25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6:41" ht="15.75" customHeight="1" x14ac:dyDescent="0.25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6:41" ht="15.75" customHeight="1" x14ac:dyDescent="0.25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6:41" ht="15.75" customHeight="1" x14ac:dyDescent="0.25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6:41" ht="15.75" customHeight="1" x14ac:dyDescent="0.25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6:41" ht="15.75" customHeight="1" x14ac:dyDescent="0.25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6:41" ht="15.75" customHeight="1" x14ac:dyDescent="0.25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6:41" ht="15.75" customHeight="1" x14ac:dyDescent="0.25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6:41" ht="15.75" customHeight="1" x14ac:dyDescent="0.25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6:41" ht="15.75" customHeight="1" x14ac:dyDescent="0.25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6:41" ht="15.75" customHeight="1" x14ac:dyDescent="0.25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6:41" ht="15.75" customHeight="1" x14ac:dyDescent="0.25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6:41" ht="15.75" customHeight="1" x14ac:dyDescent="0.25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6:41" ht="15.75" customHeight="1" x14ac:dyDescent="0.25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6:41" ht="15.75" customHeight="1" x14ac:dyDescent="0.25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6:41" ht="15.75" customHeight="1" x14ac:dyDescent="0.25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6:41" ht="15.75" customHeight="1" x14ac:dyDescent="0.25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6:41" ht="15.75" customHeight="1" x14ac:dyDescent="0.25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6:41" ht="15.75" customHeight="1" x14ac:dyDescent="0.25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6:41" ht="15.75" customHeight="1" x14ac:dyDescent="0.25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6:41" ht="15.75" customHeight="1" x14ac:dyDescent="0.25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6:41" ht="15.75" customHeight="1" x14ac:dyDescent="0.25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6:41" ht="15.75" customHeight="1" x14ac:dyDescent="0.25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6:41" ht="15.75" customHeight="1" x14ac:dyDescent="0.25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6:41" ht="15.75" customHeight="1" x14ac:dyDescent="0.25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6:41" ht="15.75" customHeight="1" x14ac:dyDescent="0.25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6:41" ht="15.75" customHeight="1" x14ac:dyDescent="0.25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6:41" ht="15.75" customHeight="1" x14ac:dyDescent="0.25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6:41" ht="15.75" customHeight="1" x14ac:dyDescent="0.25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6:41" ht="15.75" customHeight="1" x14ac:dyDescent="0.25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6:41" ht="15.75" customHeight="1" x14ac:dyDescent="0.25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6:41" ht="15.75" customHeight="1" x14ac:dyDescent="0.25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6:41" ht="15.75" customHeight="1" x14ac:dyDescent="0.25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6:41" ht="15.75" customHeight="1" x14ac:dyDescent="0.25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6:41" ht="15.75" customHeight="1" x14ac:dyDescent="0.25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6:41" ht="15.75" customHeight="1" x14ac:dyDescent="0.25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6:41" ht="15.75" customHeight="1" x14ac:dyDescent="0.25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6:41" ht="15.75" customHeight="1" x14ac:dyDescent="0.25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6:41" ht="15.75" customHeight="1" x14ac:dyDescent="0.25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6:41" ht="15.75" customHeight="1" x14ac:dyDescent="0.25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6:41" ht="15.75" customHeight="1" x14ac:dyDescent="0.25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6:41" ht="15.75" customHeight="1" x14ac:dyDescent="0.25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6:41" ht="15.75" customHeight="1" x14ac:dyDescent="0.25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6:41" ht="15.75" customHeight="1" x14ac:dyDescent="0.25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6:41" ht="15.75" customHeight="1" x14ac:dyDescent="0.25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6:41" ht="15.75" customHeight="1" x14ac:dyDescent="0.25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6:41" ht="15.75" customHeight="1" x14ac:dyDescent="0.25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6:41" ht="15.75" customHeight="1" x14ac:dyDescent="0.25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6:41" ht="15.75" customHeight="1" x14ac:dyDescent="0.25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6:41" ht="15.75" customHeight="1" x14ac:dyDescent="0.25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6:41" ht="15.75" customHeight="1" x14ac:dyDescent="0.25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6:41" ht="15.75" customHeight="1" x14ac:dyDescent="0.25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6:41" ht="15.75" customHeight="1" x14ac:dyDescent="0.25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6:41" ht="15.75" customHeight="1" x14ac:dyDescent="0.25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6:41" ht="15.75" customHeight="1" x14ac:dyDescent="0.25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6:41" ht="15.75" customHeight="1" x14ac:dyDescent="0.25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6:41" ht="15.75" customHeight="1" x14ac:dyDescent="0.25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6:41" ht="15.75" customHeight="1" x14ac:dyDescent="0.25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6:41" ht="15.75" customHeight="1" x14ac:dyDescent="0.25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6:41" ht="15.75" customHeight="1" x14ac:dyDescent="0.25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6:41" ht="15.75" customHeight="1" x14ac:dyDescent="0.25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6:41" ht="15.75" customHeight="1" x14ac:dyDescent="0.25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6:41" ht="15.75" customHeight="1" x14ac:dyDescent="0.25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6:41" ht="15.75" customHeight="1" x14ac:dyDescent="0.25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6:41" ht="15.75" customHeight="1" x14ac:dyDescent="0.25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6:41" ht="15.75" customHeight="1" x14ac:dyDescent="0.25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6:41" ht="15.75" customHeight="1" x14ac:dyDescent="0.25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6:41" ht="15.75" customHeight="1" x14ac:dyDescent="0.25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6:41" ht="15.75" customHeight="1" x14ac:dyDescent="0.25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6:41" ht="15.75" customHeight="1" x14ac:dyDescent="0.25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6:41" ht="15.75" customHeight="1" x14ac:dyDescent="0.25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6:41" ht="15.75" customHeight="1" x14ac:dyDescent="0.2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6:41" ht="15.75" customHeight="1" x14ac:dyDescent="0.25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6:41" ht="15.75" customHeight="1" x14ac:dyDescent="0.25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6:41" ht="15.75" customHeight="1" x14ac:dyDescent="0.25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6:41" ht="15.75" customHeight="1" x14ac:dyDescent="0.25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6:41" ht="15.75" customHeight="1" x14ac:dyDescent="0.2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6:41" ht="15.75" customHeight="1" x14ac:dyDescent="0.25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6:41" ht="15.75" customHeight="1" x14ac:dyDescent="0.25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6:41" ht="15.75" customHeight="1" x14ac:dyDescent="0.25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6:41" ht="15.75" customHeight="1" x14ac:dyDescent="0.25"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6:41" ht="15.75" customHeight="1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6:41" ht="15.75" customHeight="1" x14ac:dyDescent="0.25"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6:41" ht="15.75" customHeight="1" x14ac:dyDescent="0.25"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6:41" ht="15.75" customHeight="1" x14ac:dyDescent="0.25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6:41" ht="15.75" customHeight="1" x14ac:dyDescent="0.25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6:41" ht="15.75" customHeight="1" x14ac:dyDescent="0.25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6:41" ht="15.75" customHeight="1" x14ac:dyDescent="0.25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6:41" ht="15.75" customHeight="1" x14ac:dyDescent="0.25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6:41" ht="15.75" customHeight="1" x14ac:dyDescent="0.25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6:41" ht="15.75" customHeight="1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6:41" ht="15.75" customHeight="1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6:41" ht="15.75" customHeight="1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6:41" ht="15.75" customHeight="1" x14ac:dyDescent="0.25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6:41" ht="15.75" customHeight="1" x14ac:dyDescent="0.25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6:41" ht="15.75" customHeight="1" x14ac:dyDescent="0.2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6:41" ht="15.75" customHeight="1" x14ac:dyDescent="0.2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6:41" ht="15.75" customHeight="1" x14ac:dyDescent="0.2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6:41" ht="15.75" customHeight="1" x14ac:dyDescent="0.25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6:41" ht="15.75" customHeight="1" x14ac:dyDescent="0.25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6:41" ht="15.75" customHeight="1" x14ac:dyDescent="0.25"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6:41" ht="15.75" customHeight="1" x14ac:dyDescent="0.25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6:41" ht="15.75" customHeight="1" x14ac:dyDescent="0.25"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6:41" ht="15.75" customHeight="1" x14ac:dyDescent="0.25"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6:41" ht="15.75" customHeight="1" x14ac:dyDescent="0.25"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6:41" ht="15.75" customHeight="1" x14ac:dyDescent="0.25"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6:41" ht="15.75" customHeight="1" x14ac:dyDescent="0.25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6:41" ht="15.75" customHeight="1" x14ac:dyDescent="0.25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6:41" ht="15.75" customHeight="1" x14ac:dyDescent="0.25"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6:41" ht="15.75" customHeight="1" x14ac:dyDescent="0.25"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6:41" ht="15.75" customHeight="1" x14ac:dyDescent="0.25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6:41" ht="15.75" customHeight="1" x14ac:dyDescent="0.25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6:41" ht="15.75" customHeight="1" x14ac:dyDescent="0.25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6:41" ht="15.75" customHeight="1" x14ac:dyDescent="0.25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6:41" ht="15.75" customHeight="1" x14ac:dyDescent="0.25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6:41" ht="15.75" customHeight="1" x14ac:dyDescent="0.25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6:41" ht="15.75" customHeight="1" x14ac:dyDescent="0.25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6:41" ht="15.75" customHeight="1" x14ac:dyDescent="0.25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6:41" ht="15.75" customHeight="1" x14ac:dyDescent="0.25"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6:41" ht="15.75" customHeight="1" x14ac:dyDescent="0.25"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6:41" ht="15.75" customHeight="1" x14ac:dyDescent="0.25"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6:41" ht="15.75" customHeight="1" x14ac:dyDescent="0.25"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6:41" ht="15.75" customHeight="1" x14ac:dyDescent="0.25"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6:41" ht="15.75" customHeight="1" x14ac:dyDescent="0.25"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6:41" ht="15.75" customHeight="1" x14ac:dyDescent="0.25"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6:41" ht="15.75" customHeight="1" x14ac:dyDescent="0.25"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6:41" ht="15.75" customHeight="1" x14ac:dyDescent="0.25"/>
    <row r="248" spans="6:41" ht="15.75" customHeight="1" x14ac:dyDescent="0.25"/>
    <row r="249" spans="6:41" ht="15.75" customHeight="1" x14ac:dyDescent="0.25"/>
    <row r="250" spans="6:41" ht="15.75" customHeight="1" x14ac:dyDescent="0.25"/>
    <row r="251" spans="6:41" ht="15.75" customHeight="1" x14ac:dyDescent="0.25"/>
    <row r="252" spans="6:41" ht="15.75" customHeight="1" x14ac:dyDescent="0.25"/>
    <row r="253" spans="6:41" ht="15.75" customHeight="1" x14ac:dyDescent="0.25"/>
    <row r="254" spans="6:41" ht="15.75" customHeight="1" x14ac:dyDescent="0.25"/>
    <row r="255" spans="6:41" ht="15.75" customHeight="1" x14ac:dyDescent="0.25"/>
    <row r="256" spans="6:41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B2:C2"/>
  </mergeCells>
  <conditionalFormatting sqref="D4 C5">
    <cfRule type="cellIs" dxfId="111" priority="1" operator="lessThan">
      <formula>0</formula>
    </cfRule>
  </conditionalFormatting>
  <conditionalFormatting sqref="D4 C5">
    <cfRule type="cellIs" dxfId="110" priority="2" operator="greaterThan">
      <formula>0</formula>
    </cfRule>
  </conditionalFormatting>
  <conditionalFormatting sqref="D4 C5">
    <cfRule type="cellIs" dxfId="109" priority="3" operator="lessThan">
      <formula>0</formula>
    </cfRule>
  </conditionalFormatting>
  <conditionalFormatting sqref="H7:H28">
    <cfRule type="cellIs" dxfId="108" priority="4" operator="equal">
      <formula>0</formula>
    </cfRule>
  </conditionalFormatting>
  <conditionalFormatting sqref="H7:H28">
    <cfRule type="cellIs" dxfId="107" priority="5" operator="lessThan">
      <formula>0</formula>
    </cfRule>
  </conditionalFormatting>
  <conditionalFormatting sqref="H7:H28">
    <cfRule type="cellIs" dxfId="106" priority="6" operator="greaterThan">
      <formula>0</formula>
    </cfRule>
  </conditionalFormatting>
  <conditionalFormatting sqref="D8">
    <cfRule type="cellIs" dxfId="105" priority="7" operator="lessThan">
      <formula>0</formula>
    </cfRule>
  </conditionalFormatting>
  <conditionalFormatting sqref="I4">
    <cfRule type="cellIs" dxfId="104" priority="8" operator="lessThan">
      <formula>0</formula>
    </cfRule>
  </conditionalFormatting>
  <conditionalFormatting sqref="I4">
    <cfRule type="cellIs" dxfId="103" priority="9" operator="greaterThan">
      <formula>0</formula>
    </cfRule>
  </conditionalFormatting>
  <conditionalFormatting sqref="I4">
    <cfRule type="cellIs" dxfId="102" priority="10" operator="lessThan">
      <formula>0</formula>
    </cfRule>
  </conditionalFormatting>
  <conditionalFormatting sqref="C8">
    <cfRule type="cellIs" dxfId="101" priority="11" operator="lessThan">
      <formula>0</formula>
    </cfRule>
  </conditionalFormatting>
  <pageMargins left="0.511811024" right="0.511811024" top="0.78740157499999996" bottom="0.78740157499999996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1001"/>
  <sheetViews>
    <sheetView showGridLines="0" zoomScale="80" zoomScaleNormal="80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I28" sqref="I28:J28"/>
    </sheetView>
  </sheetViews>
  <sheetFormatPr defaultColWidth="14.42578125" defaultRowHeight="15" customHeight="1" x14ac:dyDescent="0.25"/>
  <cols>
    <col min="1" max="1" width="3.42578125" customWidth="1"/>
    <col min="2" max="2" width="27.85546875" customWidth="1"/>
    <col min="3" max="3" width="16" customWidth="1"/>
    <col min="4" max="4" width="1.28515625" customWidth="1"/>
    <col min="5" max="5" width="1.7109375" customWidth="1"/>
    <col min="6" max="6" width="16.5703125" bestFit="1" customWidth="1"/>
    <col min="7" max="7" width="8.5703125" customWidth="1"/>
    <col min="8" max="8" width="7.42578125" customWidth="1"/>
    <col min="9" max="9" width="10.140625" customWidth="1"/>
    <col min="10" max="10" width="7.140625" customWidth="1"/>
    <col min="11" max="11" width="8.7109375" bestFit="1" customWidth="1"/>
    <col min="12" max="12" width="7.42578125" bestFit="1" customWidth="1"/>
    <col min="13" max="14" width="8.5703125" bestFit="1" customWidth="1"/>
    <col min="15" max="15" width="9.85546875" bestFit="1" customWidth="1"/>
    <col min="16" max="20" width="8.5703125" bestFit="1" customWidth="1"/>
    <col min="21" max="40" width="10.140625" bestFit="1" customWidth="1"/>
    <col min="41" max="41" width="2" customWidth="1"/>
    <col min="42" max="42" width="3.42578125" customWidth="1"/>
    <col min="43" max="43" width="5.5703125" customWidth="1"/>
    <col min="44" max="44" width="5.7109375" customWidth="1"/>
  </cols>
  <sheetData>
    <row r="1" spans="1:44" ht="6.75" customHeight="1" x14ac:dyDescent="0.25"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</row>
    <row r="2" spans="1:44" ht="17.25" x14ac:dyDescent="0.3">
      <c r="B2" s="285" t="s">
        <v>100</v>
      </c>
      <c r="C2" s="286"/>
      <c r="D2" s="121"/>
      <c r="E2" s="96"/>
      <c r="F2" s="74" t="s">
        <v>45</v>
      </c>
      <c r="G2" s="144"/>
      <c r="H2" s="144"/>
      <c r="I2" s="75">
        <f>SUM(I7:I31)</f>
        <v>-1933.5016666666666</v>
      </c>
      <c r="J2" s="12"/>
      <c r="K2" s="48">
        <f t="shared" ref="K2:AN2" si="0">K6/$C$4</f>
        <v>6.2352068591777421E-3</v>
      </c>
      <c r="L2" s="48">
        <f t="shared" si="0"/>
        <v>2.8118456925112622E-2</v>
      </c>
      <c r="M2" s="48">
        <f t="shared" si="0"/>
        <v>3.7414992783742253E-2</v>
      </c>
      <c r="N2" s="48">
        <f t="shared" si="0"/>
        <v>3.7516286757988816E-3</v>
      </c>
      <c r="O2" s="48">
        <f t="shared" si="0"/>
        <v>1.7974052985752442E-2</v>
      </c>
      <c r="P2" s="48">
        <f t="shared" si="0"/>
        <v>1.5006514703195528E-3</v>
      </c>
      <c r="Q2" s="48">
        <f t="shared" si="0"/>
        <v>0.21935022541660901</v>
      </c>
      <c r="R2" s="48">
        <f t="shared" si="0"/>
        <v>1.2342858343378321E-2</v>
      </c>
      <c r="S2" s="48">
        <f t="shared" si="0"/>
        <v>2.7443163763468822E-2</v>
      </c>
      <c r="T2" s="48">
        <f t="shared" si="0"/>
        <v>2.7882104318537288E-2</v>
      </c>
      <c r="U2" s="48">
        <f t="shared" si="0"/>
        <v>4.8771172785385467E-3</v>
      </c>
      <c r="V2" s="48">
        <f t="shared" si="0"/>
        <v>0</v>
      </c>
      <c r="W2" s="48">
        <f t="shared" si="0"/>
        <v>1.0838455244382969E-2</v>
      </c>
      <c r="X2" s="48">
        <f t="shared" si="0"/>
        <v>8.6662622410954169E-4</v>
      </c>
      <c r="Y2" s="48">
        <f t="shared" si="0"/>
        <v>9.8817899320542552E-3</v>
      </c>
      <c r="Z2" s="48">
        <f t="shared" si="0"/>
        <v>4.1455496867577643E-2</v>
      </c>
      <c r="AA2" s="48">
        <f t="shared" si="0"/>
        <v>1.875814337899441E-2</v>
      </c>
      <c r="AB2" s="48">
        <f t="shared" si="0"/>
        <v>1.1401199545752801E-2</v>
      </c>
      <c r="AC2" s="48">
        <f t="shared" si="0"/>
        <v>0</v>
      </c>
      <c r="AD2" s="48">
        <f t="shared" si="0"/>
        <v>1.0283214200364736E-2</v>
      </c>
      <c r="AE2" s="48">
        <f t="shared" si="0"/>
        <v>1.1254886027396646E-2</v>
      </c>
      <c r="AF2" s="48">
        <f t="shared" si="0"/>
        <v>6.1751808003649598E-3</v>
      </c>
      <c r="AG2" s="48">
        <f t="shared" si="0"/>
        <v>1.9452194684017203E-2</v>
      </c>
      <c r="AH2" s="48">
        <f t="shared" si="0"/>
        <v>1.5749337181003707E-2</v>
      </c>
      <c r="AI2" s="48">
        <f t="shared" si="0"/>
        <v>3.3925978115249292E-2</v>
      </c>
      <c r="AJ2" s="48">
        <f t="shared" si="0"/>
        <v>2.4010423525112844E-3</v>
      </c>
      <c r="AK2" s="48">
        <f t="shared" si="0"/>
        <v>7.4694926935155734E-3</v>
      </c>
      <c r="AL2" s="48">
        <f t="shared" si="0"/>
        <v>0</v>
      </c>
      <c r="AM2" s="48">
        <f t="shared" si="0"/>
        <v>2.1309250878537647E-2</v>
      </c>
      <c r="AN2" s="48">
        <f t="shared" si="0"/>
        <v>2.0390101852966924E-2</v>
      </c>
      <c r="AO2" s="97"/>
    </row>
    <row r="3" spans="1:44" hidden="1" x14ac:dyDescent="0.25">
      <c r="C3" s="172"/>
      <c r="D3" s="54"/>
      <c r="E3" s="96"/>
      <c r="F3" s="76"/>
      <c r="G3" s="54"/>
      <c r="H3" s="54"/>
      <c r="I3" s="77"/>
      <c r="J3" s="1"/>
      <c r="K3" s="55" t="str">
        <f t="shared" ref="K3:AN3" si="1">IF(OR(K4="sex",K4="sáb",K4="dom"),"fds","sem")</f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55" t="str">
        <f t="shared" si="1"/>
        <v>sem</v>
      </c>
      <c r="AK3" s="55" t="str">
        <f t="shared" si="1"/>
        <v>sem</v>
      </c>
      <c r="AL3" s="55" t="str">
        <f t="shared" si="1"/>
        <v>sem</v>
      </c>
      <c r="AM3" s="55" t="str">
        <f t="shared" si="1"/>
        <v>sem</v>
      </c>
      <c r="AN3" s="55" t="str">
        <f t="shared" si="1"/>
        <v>sem</v>
      </c>
      <c r="AO3" s="96"/>
      <c r="AQ3" s="78" t="s">
        <v>0</v>
      </c>
      <c r="AR3" s="1" t="s">
        <v>64</v>
      </c>
    </row>
    <row r="4" spans="1:44" x14ac:dyDescent="0.25">
      <c r="B4" s="145" t="s">
        <v>101</v>
      </c>
      <c r="C4" s="173">
        <f>-I32*(1-C6)</f>
        <v>-2665.5089999999996</v>
      </c>
      <c r="D4" s="146"/>
      <c r="E4" s="96"/>
      <c r="F4" s="79" t="s">
        <v>47</v>
      </c>
      <c r="G4" s="86"/>
      <c r="H4" s="86"/>
      <c r="I4" s="102">
        <f>I32+I2</f>
        <v>1874.3683333333333</v>
      </c>
      <c r="J4" s="104" t="s">
        <v>7</v>
      </c>
      <c r="K4" s="105" t="str">
        <f t="shared" ref="K4:AN4" si="2">TEXT(K5,"ddd")</f>
        <v>Fri</v>
      </c>
      <c r="L4" s="105" t="str">
        <f t="shared" si="2"/>
        <v>Sat</v>
      </c>
      <c r="M4" s="105" t="str">
        <f t="shared" si="2"/>
        <v>Sun</v>
      </c>
      <c r="N4" s="105" t="str">
        <f t="shared" si="2"/>
        <v>Mon</v>
      </c>
      <c r="O4" s="105" t="str">
        <f t="shared" si="2"/>
        <v>Tue</v>
      </c>
      <c r="P4" s="105" t="str">
        <f t="shared" si="2"/>
        <v>Wed</v>
      </c>
      <c r="Q4" s="105" t="str">
        <f t="shared" si="2"/>
        <v>Thu</v>
      </c>
      <c r="R4" s="105" t="str">
        <f t="shared" si="2"/>
        <v>Fri</v>
      </c>
      <c r="S4" s="105" t="str">
        <f t="shared" si="2"/>
        <v>Sat</v>
      </c>
      <c r="T4" s="105" t="str">
        <f t="shared" si="2"/>
        <v>Sun</v>
      </c>
      <c r="U4" s="105" t="str">
        <f t="shared" si="2"/>
        <v>Mon</v>
      </c>
      <c r="V4" s="105" t="str">
        <f t="shared" si="2"/>
        <v>Tue</v>
      </c>
      <c r="W4" s="105" t="str">
        <f t="shared" si="2"/>
        <v>Wed</v>
      </c>
      <c r="X4" s="105" t="str">
        <f t="shared" si="2"/>
        <v>Thu</v>
      </c>
      <c r="Y4" s="105" t="str">
        <f t="shared" si="2"/>
        <v>Fri</v>
      </c>
      <c r="Z4" s="105" t="str">
        <f t="shared" si="2"/>
        <v>Sat</v>
      </c>
      <c r="AA4" s="105" t="str">
        <f t="shared" si="2"/>
        <v>Sun</v>
      </c>
      <c r="AB4" s="105" t="str">
        <f t="shared" si="2"/>
        <v>Mon</v>
      </c>
      <c r="AC4" s="105" t="str">
        <f t="shared" si="2"/>
        <v>Tue</v>
      </c>
      <c r="AD4" s="105" t="str">
        <f t="shared" si="2"/>
        <v>Wed</v>
      </c>
      <c r="AE4" s="105" t="str">
        <f t="shared" si="2"/>
        <v>Thu</v>
      </c>
      <c r="AF4" s="105" t="str">
        <f t="shared" si="2"/>
        <v>Fri</v>
      </c>
      <c r="AG4" s="105" t="str">
        <f t="shared" si="2"/>
        <v>Sat</v>
      </c>
      <c r="AH4" s="105" t="str">
        <f t="shared" si="2"/>
        <v>Sun</v>
      </c>
      <c r="AI4" s="105" t="str">
        <f t="shared" si="2"/>
        <v>Mon</v>
      </c>
      <c r="AJ4" s="105" t="str">
        <f t="shared" si="2"/>
        <v>Tue</v>
      </c>
      <c r="AK4" s="105" t="str">
        <f t="shared" si="2"/>
        <v>Wed</v>
      </c>
      <c r="AL4" s="105" t="str">
        <f t="shared" si="2"/>
        <v>Thu</v>
      </c>
      <c r="AM4" s="105" t="str">
        <f t="shared" si="2"/>
        <v>Fri</v>
      </c>
      <c r="AN4" s="105" t="str">
        <f t="shared" si="2"/>
        <v>Sat</v>
      </c>
      <c r="AO4" s="96"/>
    </row>
    <row r="5" spans="1:44" x14ac:dyDescent="0.25">
      <c r="B5" s="147" t="s">
        <v>102</v>
      </c>
      <c r="C5" s="174"/>
      <c r="D5" s="149"/>
      <c r="E5" s="96"/>
      <c r="F5" s="81" t="s">
        <v>51</v>
      </c>
      <c r="G5" s="150"/>
      <c r="H5" s="150"/>
      <c r="I5" s="108">
        <f>-I4/-I32</f>
        <v>0.49223537918398824</v>
      </c>
      <c r="J5" s="109"/>
      <c r="K5" s="111">
        <f>DATE($AQ$10,$AQ$12,1)</f>
        <v>43770</v>
      </c>
      <c r="L5" s="111">
        <f t="shared" ref="L5:AN5" si="3">K5+1</f>
        <v>43771</v>
      </c>
      <c r="M5" s="111">
        <f t="shared" si="3"/>
        <v>43772</v>
      </c>
      <c r="N5" s="111">
        <f t="shared" si="3"/>
        <v>43773</v>
      </c>
      <c r="O5" s="111">
        <f t="shared" si="3"/>
        <v>43774</v>
      </c>
      <c r="P5" s="111">
        <f t="shared" si="3"/>
        <v>43775</v>
      </c>
      <c r="Q5" s="111">
        <f t="shared" si="3"/>
        <v>43776</v>
      </c>
      <c r="R5" s="111">
        <f t="shared" si="3"/>
        <v>43777</v>
      </c>
      <c r="S5" s="111">
        <f t="shared" si="3"/>
        <v>43778</v>
      </c>
      <c r="T5" s="111">
        <f t="shared" si="3"/>
        <v>43779</v>
      </c>
      <c r="U5" s="111">
        <f t="shared" si="3"/>
        <v>43780</v>
      </c>
      <c r="V5" s="111">
        <f t="shared" si="3"/>
        <v>43781</v>
      </c>
      <c r="W5" s="111">
        <f t="shared" si="3"/>
        <v>43782</v>
      </c>
      <c r="X5" s="111">
        <f t="shared" si="3"/>
        <v>43783</v>
      </c>
      <c r="Y5" s="111">
        <f t="shared" si="3"/>
        <v>43784</v>
      </c>
      <c r="Z5" s="111">
        <f t="shared" si="3"/>
        <v>43785</v>
      </c>
      <c r="AA5" s="111">
        <f t="shared" si="3"/>
        <v>43786</v>
      </c>
      <c r="AB5" s="111">
        <f t="shared" si="3"/>
        <v>43787</v>
      </c>
      <c r="AC5" s="111">
        <f t="shared" si="3"/>
        <v>43788</v>
      </c>
      <c r="AD5" s="111">
        <f t="shared" si="3"/>
        <v>43789</v>
      </c>
      <c r="AE5" s="111">
        <f t="shared" si="3"/>
        <v>43790</v>
      </c>
      <c r="AF5" s="111">
        <f t="shared" si="3"/>
        <v>43791</v>
      </c>
      <c r="AG5" s="111">
        <f t="shared" si="3"/>
        <v>43792</v>
      </c>
      <c r="AH5" s="111">
        <f t="shared" si="3"/>
        <v>43793</v>
      </c>
      <c r="AI5" s="111">
        <f t="shared" si="3"/>
        <v>43794</v>
      </c>
      <c r="AJ5" s="111">
        <f t="shared" si="3"/>
        <v>43795</v>
      </c>
      <c r="AK5" s="111">
        <f t="shared" si="3"/>
        <v>43796</v>
      </c>
      <c r="AL5" s="111">
        <f t="shared" si="3"/>
        <v>43797</v>
      </c>
      <c r="AM5" s="111">
        <f t="shared" si="3"/>
        <v>43798</v>
      </c>
      <c r="AN5" s="111">
        <f t="shared" si="3"/>
        <v>43799</v>
      </c>
      <c r="AO5" s="96"/>
    </row>
    <row r="6" spans="1:44" x14ac:dyDescent="0.25">
      <c r="B6" s="151" t="s">
        <v>103</v>
      </c>
      <c r="C6" s="175">
        <v>0.3</v>
      </c>
      <c r="E6" s="96"/>
      <c r="F6" s="83"/>
      <c r="G6" s="153" t="s">
        <v>104</v>
      </c>
      <c r="H6" s="153" t="s">
        <v>105</v>
      </c>
      <c r="I6" s="154" t="s">
        <v>106</v>
      </c>
      <c r="J6" s="155">
        <f>SUM(J8:J30)</f>
        <v>0.66743037321077026</v>
      </c>
      <c r="K6" s="156">
        <f>SUM(K7:K30)</f>
        <v>-16.62</v>
      </c>
      <c r="L6" s="156">
        <f t="shared" ref="L6:AN6" si="4">SUM(L7:L30)</f>
        <v>-74.95</v>
      </c>
      <c r="M6" s="156">
        <f t="shared" si="4"/>
        <v>-99.73</v>
      </c>
      <c r="N6" s="156">
        <f t="shared" si="4"/>
        <v>-10</v>
      </c>
      <c r="O6" s="156">
        <f t="shared" si="4"/>
        <v>-47.91</v>
      </c>
      <c r="P6" s="156">
        <f t="shared" si="4"/>
        <v>-4</v>
      </c>
      <c r="Q6" s="156">
        <f t="shared" si="4"/>
        <v>-584.67999999999995</v>
      </c>
      <c r="R6" s="156">
        <f t="shared" si="4"/>
        <v>-32.9</v>
      </c>
      <c r="S6" s="156">
        <f t="shared" si="4"/>
        <v>-73.150000000000006</v>
      </c>
      <c r="T6" s="156">
        <f t="shared" si="4"/>
        <v>-74.319999999999993</v>
      </c>
      <c r="U6" s="156">
        <f t="shared" si="4"/>
        <v>-13</v>
      </c>
      <c r="V6" s="156">
        <f t="shared" si="4"/>
        <v>0</v>
      </c>
      <c r="W6" s="156">
        <f t="shared" si="4"/>
        <v>-28.89</v>
      </c>
      <c r="X6" s="156">
        <f t="shared" si="4"/>
        <v>-2.31</v>
      </c>
      <c r="Y6" s="156">
        <f t="shared" si="4"/>
        <v>-26.34</v>
      </c>
      <c r="Z6" s="156">
        <f t="shared" si="4"/>
        <v>-110.5</v>
      </c>
      <c r="AA6" s="156">
        <f t="shared" si="4"/>
        <v>-50</v>
      </c>
      <c r="AB6" s="156">
        <f t="shared" si="4"/>
        <v>-30.39</v>
      </c>
      <c r="AC6" s="156">
        <f t="shared" si="4"/>
        <v>0</v>
      </c>
      <c r="AD6" s="156">
        <f t="shared" si="4"/>
        <v>-27.41</v>
      </c>
      <c r="AE6" s="156">
        <f t="shared" si="4"/>
        <v>-30</v>
      </c>
      <c r="AF6" s="156">
        <f t="shared" si="4"/>
        <v>-16.46</v>
      </c>
      <c r="AG6" s="156">
        <f t="shared" si="4"/>
        <v>-51.85</v>
      </c>
      <c r="AH6" s="156">
        <f t="shared" si="4"/>
        <v>-41.980000000000004</v>
      </c>
      <c r="AI6" s="156">
        <f t="shared" si="4"/>
        <v>-90.43</v>
      </c>
      <c r="AJ6" s="156">
        <f t="shared" si="4"/>
        <v>-6.4</v>
      </c>
      <c r="AK6" s="156">
        <f t="shared" si="4"/>
        <v>-19.91</v>
      </c>
      <c r="AL6" s="156">
        <f t="shared" si="4"/>
        <v>0</v>
      </c>
      <c r="AM6" s="156">
        <f t="shared" si="4"/>
        <v>-56.8</v>
      </c>
      <c r="AN6" s="156">
        <f t="shared" si="4"/>
        <v>-54.35</v>
      </c>
      <c r="AO6" s="96"/>
    </row>
    <row r="7" spans="1:44" x14ac:dyDescent="0.25">
      <c r="B7" s="157" t="s">
        <v>108</v>
      </c>
      <c r="C7" s="176">
        <f>C10-C4</f>
        <v>978.61899999999969</v>
      </c>
      <c r="E7" s="96"/>
      <c r="F7" s="86" t="s">
        <v>127</v>
      </c>
      <c r="G7" s="121">
        <f>C12</f>
        <v>-200</v>
      </c>
      <c r="H7" s="121">
        <f t="shared" ref="H7:H22" si="5">I7-G7</f>
        <v>45.54000000000002</v>
      </c>
      <c r="I7" s="87">
        <f t="shared" ref="I7:I22" si="6">SUM(K7:AN7)</f>
        <v>-154.45999999999998</v>
      </c>
      <c r="J7" s="88">
        <f t="shared" ref="J7:J22" si="7">I7/$C$4</f>
        <v>5.7947656526389522E-2</v>
      </c>
      <c r="K7" s="89" t="s">
        <v>66</v>
      </c>
      <c r="L7" s="89" t="s">
        <v>66</v>
      </c>
      <c r="M7" s="89" t="s">
        <v>66</v>
      </c>
      <c r="N7" s="89" t="s">
        <v>66</v>
      </c>
      <c r="O7" s="89">
        <v>-22.91</v>
      </c>
      <c r="P7" s="89" t="s">
        <v>66</v>
      </c>
      <c r="Q7" s="89" t="s">
        <v>66</v>
      </c>
      <c r="R7" s="89" t="s">
        <v>66</v>
      </c>
      <c r="S7" s="89" t="s">
        <v>66</v>
      </c>
      <c r="T7" s="89" t="s">
        <v>66</v>
      </c>
      <c r="U7" s="89" t="s">
        <v>66</v>
      </c>
      <c r="V7" s="89" t="s">
        <v>66</v>
      </c>
      <c r="W7" s="89">
        <v>-22.91</v>
      </c>
      <c r="X7" s="89" t="s">
        <v>66</v>
      </c>
      <c r="Y7" s="89" t="s">
        <v>66</v>
      </c>
      <c r="Z7" s="89" t="s">
        <v>66</v>
      </c>
      <c r="AA7" s="89">
        <v>-20</v>
      </c>
      <c r="AB7" s="177">
        <v>-22.91</v>
      </c>
      <c r="AC7" s="89" t="s">
        <v>66</v>
      </c>
      <c r="AD7" s="238">
        <v>-22.91</v>
      </c>
      <c r="AE7" s="89" t="s">
        <v>66</v>
      </c>
      <c r="AF7" s="89" t="s">
        <v>66</v>
      </c>
      <c r="AG7" s="238" t="s">
        <v>66</v>
      </c>
      <c r="AH7" s="89" t="s">
        <v>66</v>
      </c>
      <c r="AI7" s="89">
        <v>-22.91</v>
      </c>
      <c r="AJ7" s="89" t="s">
        <v>66</v>
      </c>
      <c r="AK7" s="89">
        <v>-19.91</v>
      </c>
      <c r="AL7" s="89" t="s">
        <v>66</v>
      </c>
      <c r="AM7" s="89" t="s">
        <v>66</v>
      </c>
      <c r="AN7" s="89" t="s">
        <v>66</v>
      </c>
      <c r="AO7" s="96"/>
    </row>
    <row r="8" spans="1:44" x14ac:dyDescent="0.25">
      <c r="B8" s="241" t="s">
        <v>188</v>
      </c>
      <c r="C8" s="174">
        <f>I32+C10</f>
        <v>2120.98</v>
      </c>
      <c r="E8" s="96"/>
      <c r="F8" s="86" t="s">
        <v>107</v>
      </c>
      <c r="G8" s="121">
        <f t="shared" ref="G8:G9" si="8">C19</f>
        <v>-200</v>
      </c>
      <c r="H8" s="121">
        <f t="shared" si="5"/>
        <v>73.55</v>
      </c>
      <c r="I8" s="87">
        <f t="shared" si="6"/>
        <v>-126.45</v>
      </c>
      <c r="J8" s="88">
        <f t="shared" si="7"/>
        <v>4.7439344605476864E-2</v>
      </c>
      <c r="K8" s="89" t="s">
        <v>66</v>
      </c>
      <c r="L8" s="89" t="s">
        <v>66</v>
      </c>
      <c r="M8" s="89" t="s">
        <v>66</v>
      </c>
      <c r="N8" s="89" t="s">
        <v>66</v>
      </c>
      <c r="O8" s="89" t="s">
        <v>66</v>
      </c>
      <c r="P8" s="89" t="s">
        <v>66</v>
      </c>
      <c r="Q8" s="89">
        <v>-14.9</v>
      </c>
      <c r="R8" s="89" t="s">
        <v>66</v>
      </c>
      <c r="S8" s="89">
        <f>-30.95-1.4-3</f>
        <v>-35.35</v>
      </c>
      <c r="T8" s="89" t="s">
        <v>66</v>
      </c>
      <c r="U8" s="89" t="s">
        <v>66</v>
      </c>
      <c r="V8" s="89" t="s">
        <v>66</v>
      </c>
      <c r="W8" s="89" t="s">
        <v>66</v>
      </c>
      <c r="X8" s="89" t="s">
        <v>66</v>
      </c>
      <c r="Y8" s="89" t="s">
        <v>66</v>
      </c>
      <c r="Z8" s="89">
        <v>-48.5</v>
      </c>
      <c r="AA8" s="89" t="s">
        <v>66</v>
      </c>
      <c r="AB8" s="89" t="s">
        <v>66</v>
      </c>
      <c r="AC8" s="89" t="s">
        <v>66</v>
      </c>
      <c r="AD8" s="238" t="s">
        <v>66</v>
      </c>
      <c r="AE8" s="89" t="s">
        <v>66</v>
      </c>
      <c r="AF8" s="238" t="s">
        <v>66</v>
      </c>
      <c r="AG8" s="238">
        <v>-18.899999999999999</v>
      </c>
      <c r="AH8" s="238" t="s">
        <v>66</v>
      </c>
      <c r="AI8" s="89" t="s">
        <v>66</v>
      </c>
      <c r="AJ8" s="89" t="s">
        <v>66</v>
      </c>
      <c r="AK8" s="89" t="s">
        <v>66</v>
      </c>
      <c r="AL8" s="89" t="s">
        <v>66</v>
      </c>
      <c r="AM8" s="89" t="s">
        <v>66</v>
      </c>
      <c r="AN8" s="89">
        <f>-4.8-4</f>
        <v>-8.8000000000000007</v>
      </c>
      <c r="AO8" s="96" t="s">
        <v>66</v>
      </c>
    </row>
    <row r="9" spans="1:44" ht="16.5" x14ac:dyDescent="0.25">
      <c r="B9" s="241" t="s">
        <v>189</v>
      </c>
      <c r="C9" s="178">
        <f>C8/I32</f>
        <v>0.55699905721571374</v>
      </c>
      <c r="D9" s="158"/>
      <c r="E9" s="96"/>
      <c r="F9" s="86" t="s">
        <v>22</v>
      </c>
      <c r="G9" s="121">
        <f t="shared" si="8"/>
        <v>-20</v>
      </c>
      <c r="H9" s="121">
        <f t="shared" si="5"/>
        <v>14</v>
      </c>
      <c r="I9" s="87">
        <f t="shared" si="6"/>
        <v>-6</v>
      </c>
      <c r="J9" s="91">
        <f t="shared" si="7"/>
        <v>2.2509772054793292E-3</v>
      </c>
      <c r="K9" s="92" t="s">
        <v>66</v>
      </c>
      <c r="L9" s="92" t="s">
        <v>66</v>
      </c>
      <c r="M9" s="92" t="s">
        <v>66</v>
      </c>
      <c r="N9" s="92" t="s">
        <v>66</v>
      </c>
      <c r="O9" s="92" t="s">
        <v>66</v>
      </c>
      <c r="P9" s="92" t="s">
        <v>66</v>
      </c>
      <c r="Q9" s="92" t="s">
        <v>66</v>
      </c>
      <c r="R9" s="92">
        <v>-6</v>
      </c>
      <c r="S9" s="92" t="s">
        <v>66</v>
      </c>
      <c r="T9" s="92" t="s">
        <v>66</v>
      </c>
      <c r="U9" s="92" t="s">
        <v>66</v>
      </c>
      <c r="V9" s="92" t="s">
        <v>66</v>
      </c>
      <c r="W9" s="92" t="s">
        <v>66</v>
      </c>
      <c r="X9" s="92" t="s">
        <v>66</v>
      </c>
      <c r="Y9" s="92" t="s">
        <v>66</v>
      </c>
      <c r="Z9" s="92" t="s">
        <v>66</v>
      </c>
      <c r="AA9" s="92" t="s">
        <v>66</v>
      </c>
      <c r="AB9" s="92" t="s">
        <v>66</v>
      </c>
      <c r="AC9" s="92" t="s">
        <v>66</v>
      </c>
      <c r="AD9" s="239" t="s">
        <v>66</v>
      </c>
      <c r="AE9" s="92" t="s">
        <v>66</v>
      </c>
      <c r="AF9" s="92" t="s">
        <v>66</v>
      </c>
      <c r="AG9" s="92" t="s">
        <v>66</v>
      </c>
      <c r="AH9" s="92" t="s">
        <v>66</v>
      </c>
      <c r="AI9" s="92" t="s">
        <v>66</v>
      </c>
      <c r="AJ9" s="92" t="s">
        <v>66</v>
      </c>
      <c r="AK9" s="92" t="s">
        <v>66</v>
      </c>
      <c r="AL9" s="239" t="s">
        <v>66</v>
      </c>
      <c r="AM9" s="92" t="s">
        <v>66</v>
      </c>
      <c r="AN9" s="92" t="s">
        <v>66</v>
      </c>
      <c r="AO9" s="96" t="s">
        <v>66</v>
      </c>
    </row>
    <row r="10" spans="1:44" ht="18.75" x14ac:dyDescent="0.3">
      <c r="B10" s="160" t="s">
        <v>110</v>
      </c>
      <c r="C10" s="179">
        <f>SUM(C11:C34)</f>
        <v>-1686.8899999999999</v>
      </c>
      <c r="E10" s="96"/>
      <c r="F10" s="86" t="s">
        <v>109</v>
      </c>
      <c r="G10" s="121">
        <f t="shared" ref="G10:G11" si="9">C26</f>
        <v>-15</v>
      </c>
      <c r="H10" s="121">
        <f t="shared" si="5"/>
        <v>9</v>
      </c>
      <c r="I10" s="87">
        <f t="shared" si="6"/>
        <v>-6</v>
      </c>
      <c r="J10" s="93">
        <f t="shared" si="7"/>
        <v>2.2509772054793292E-3</v>
      </c>
      <c r="K10" s="94" t="s">
        <v>66</v>
      </c>
      <c r="L10" s="94" t="s">
        <v>66</v>
      </c>
      <c r="M10" s="94" t="s">
        <v>66</v>
      </c>
      <c r="N10" s="94" t="s">
        <v>66</v>
      </c>
      <c r="O10" s="94" t="s">
        <v>66</v>
      </c>
      <c r="P10" s="94" t="s">
        <v>66</v>
      </c>
      <c r="Q10" s="94" t="s">
        <v>66</v>
      </c>
      <c r="R10" s="94" t="s">
        <v>66</v>
      </c>
      <c r="S10" s="94" t="s">
        <v>66</v>
      </c>
      <c r="T10" s="94" t="s">
        <v>66</v>
      </c>
      <c r="U10" s="94" t="s">
        <v>66</v>
      </c>
      <c r="V10" s="94" t="s">
        <v>66</v>
      </c>
      <c r="W10" s="94" t="s">
        <v>66</v>
      </c>
      <c r="X10" s="94" t="s">
        <v>66</v>
      </c>
      <c r="Y10" s="94" t="s">
        <v>66</v>
      </c>
      <c r="Z10" s="94" t="s">
        <v>66</v>
      </c>
      <c r="AA10" s="94" t="s">
        <v>66</v>
      </c>
      <c r="AB10" s="94" t="s">
        <v>66</v>
      </c>
      <c r="AC10" s="94" t="s">
        <v>66</v>
      </c>
      <c r="AD10" s="94">
        <f>-2.5-2</f>
        <v>-4.5</v>
      </c>
      <c r="AE10" s="94" t="s">
        <v>66</v>
      </c>
      <c r="AF10" s="94" t="s">
        <v>66</v>
      </c>
      <c r="AG10" s="94" t="s">
        <v>66</v>
      </c>
      <c r="AH10" s="94">
        <v>-1.5</v>
      </c>
      <c r="AI10" s="94" t="s">
        <v>66</v>
      </c>
      <c r="AJ10" s="94" t="s">
        <v>66</v>
      </c>
      <c r="AK10" s="240" t="s">
        <v>66</v>
      </c>
      <c r="AL10" s="94" t="s">
        <v>66</v>
      </c>
      <c r="AM10" s="94" t="s">
        <v>66</v>
      </c>
      <c r="AN10" s="94" t="s">
        <v>66</v>
      </c>
      <c r="AO10" s="96" t="s">
        <v>66</v>
      </c>
      <c r="AQ10" s="78">
        <v>2019</v>
      </c>
      <c r="AR10" s="56">
        <f ca="1">TODAY()</f>
        <v>43926</v>
      </c>
    </row>
    <row r="11" spans="1:44" x14ac:dyDescent="0.25">
      <c r="A11" s="147">
        <v>1</v>
      </c>
      <c r="B11" s="54" t="s">
        <v>72</v>
      </c>
      <c r="C11" s="87">
        <v>-550</v>
      </c>
      <c r="E11" s="96"/>
      <c r="F11" s="86" t="s">
        <v>81</v>
      </c>
      <c r="G11" s="121">
        <f t="shared" si="9"/>
        <v>-50</v>
      </c>
      <c r="H11" s="121">
        <f t="shared" si="5"/>
        <v>-30</v>
      </c>
      <c r="I11" s="87">
        <f t="shared" si="6"/>
        <v>-80</v>
      </c>
      <c r="J11" s="91">
        <f t="shared" si="7"/>
        <v>3.0013029406391053E-2</v>
      </c>
      <c r="K11" s="92" t="s">
        <v>66</v>
      </c>
      <c r="L11" s="92">
        <v>-10</v>
      </c>
      <c r="M11" s="92" t="s">
        <v>66</v>
      </c>
      <c r="N11" s="92">
        <v>-10</v>
      </c>
      <c r="O11" s="92" t="s">
        <v>66</v>
      </c>
      <c r="P11" s="92" t="s">
        <v>66</v>
      </c>
      <c r="Q11" s="92" t="s">
        <v>66</v>
      </c>
      <c r="R11" s="92" t="s">
        <v>66</v>
      </c>
      <c r="S11" s="92" t="s">
        <v>66</v>
      </c>
      <c r="T11" s="92">
        <v>-10</v>
      </c>
      <c r="U11" s="92">
        <v>-10</v>
      </c>
      <c r="V11" s="92" t="s">
        <v>66</v>
      </c>
      <c r="W11" s="92" t="s">
        <v>66</v>
      </c>
      <c r="X11" s="92" t="s">
        <v>66</v>
      </c>
      <c r="Y11" s="92" t="s">
        <v>66</v>
      </c>
      <c r="Z11" s="92" t="s">
        <v>66</v>
      </c>
      <c r="AA11" s="180">
        <v>-20</v>
      </c>
      <c r="AB11" s="92" t="s">
        <v>66</v>
      </c>
      <c r="AC11" s="92" t="s">
        <v>66</v>
      </c>
      <c r="AD11" s="92" t="s">
        <v>66</v>
      </c>
      <c r="AE11" s="92">
        <v>-20</v>
      </c>
      <c r="AF11" s="92" t="s">
        <v>66</v>
      </c>
      <c r="AG11" s="180" t="s">
        <v>66</v>
      </c>
      <c r="AH11" s="92" t="s">
        <v>66</v>
      </c>
      <c r="AI11" s="92" t="s">
        <v>66</v>
      </c>
      <c r="AJ11" s="92" t="s">
        <v>66</v>
      </c>
      <c r="AK11" s="92" t="s">
        <v>66</v>
      </c>
      <c r="AL11" s="92" t="s">
        <v>66</v>
      </c>
      <c r="AM11" s="92" t="s">
        <v>66</v>
      </c>
      <c r="AN11" s="92" t="s">
        <v>66</v>
      </c>
      <c r="AO11" s="96" t="s">
        <v>66</v>
      </c>
      <c r="AQ11" s="78" t="s">
        <v>1</v>
      </c>
      <c r="AR11" s="1" t="str">
        <f ca="1">IF(AB5=AR10,"sim","não")</f>
        <v>não</v>
      </c>
    </row>
    <row r="12" spans="1:44" x14ac:dyDescent="0.25">
      <c r="A12" s="7">
        <f t="shared" ref="A12:A34" si="10">A11+1</f>
        <v>2</v>
      </c>
      <c r="B12" s="54" t="s">
        <v>127</v>
      </c>
      <c r="C12" s="87">
        <v>-200</v>
      </c>
      <c r="E12" s="96"/>
      <c r="F12" s="86" t="s">
        <v>130</v>
      </c>
      <c r="G12" s="121">
        <f>C14</f>
        <v>-200</v>
      </c>
      <c r="H12" s="121">
        <f t="shared" si="5"/>
        <v>36.94</v>
      </c>
      <c r="I12" s="87">
        <f t="shared" si="6"/>
        <v>-163.06</v>
      </c>
      <c r="J12" s="93">
        <f t="shared" si="7"/>
        <v>6.1174057187576569E-2</v>
      </c>
      <c r="K12" s="94" t="s">
        <v>66</v>
      </c>
      <c r="L12" s="94">
        <v>-1.29</v>
      </c>
      <c r="M12" s="94">
        <f>-36.09+14-3.99</f>
        <v>-26.080000000000005</v>
      </c>
      <c r="N12" s="94" t="s">
        <v>66</v>
      </c>
      <c r="O12" s="94" t="s">
        <v>66</v>
      </c>
      <c r="P12" s="94">
        <v>-4</v>
      </c>
      <c r="Q12" s="94">
        <f>-5.89-1.89</f>
        <v>-7.7799999999999994</v>
      </c>
      <c r="R12" s="94" t="s">
        <v>66</v>
      </c>
      <c r="S12" s="94" t="s">
        <v>66</v>
      </c>
      <c r="T12" s="94">
        <v>-27.99</v>
      </c>
      <c r="U12" s="94" t="s">
        <v>66</v>
      </c>
      <c r="V12" s="94" t="s">
        <v>66</v>
      </c>
      <c r="W12" s="94" t="s">
        <v>66</v>
      </c>
      <c r="X12" s="94" t="s">
        <v>66</v>
      </c>
      <c r="Y12" s="94" t="s">
        <v>66</v>
      </c>
      <c r="Z12" s="94">
        <v>-47</v>
      </c>
      <c r="AA12" s="94" t="s">
        <v>66</v>
      </c>
      <c r="AB12" s="181">
        <v>-7.48</v>
      </c>
      <c r="AC12" s="94" t="s">
        <v>66</v>
      </c>
      <c r="AD12" s="240" t="s">
        <v>66</v>
      </c>
      <c r="AE12" s="94">
        <v>-10</v>
      </c>
      <c r="AF12" s="94" t="s">
        <v>66</v>
      </c>
      <c r="AG12" s="94" t="s">
        <v>66</v>
      </c>
      <c r="AH12" s="94">
        <v>-24.45</v>
      </c>
      <c r="AI12" s="94">
        <v>-6.99</v>
      </c>
      <c r="AJ12" s="94" t="s">
        <v>66</v>
      </c>
      <c r="AK12" s="240" t="s">
        <v>66</v>
      </c>
      <c r="AL12" s="94" t="s">
        <v>66</v>
      </c>
      <c r="AM12" s="94" t="s">
        <v>66</v>
      </c>
      <c r="AN12" s="94" t="s">
        <v>66</v>
      </c>
      <c r="AO12" s="96" t="s">
        <v>66</v>
      </c>
      <c r="AQ12" s="78">
        <v>11</v>
      </c>
    </row>
    <row r="13" spans="1:44" x14ac:dyDescent="0.25">
      <c r="A13" s="147">
        <f t="shared" si="10"/>
        <v>3</v>
      </c>
      <c r="B13" s="54" t="s">
        <v>29</v>
      </c>
      <c r="C13" s="87">
        <v>-81.89</v>
      </c>
      <c r="E13" s="96"/>
      <c r="F13" s="86" t="s">
        <v>131</v>
      </c>
      <c r="G13" s="121">
        <f>C23</f>
        <v>-30</v>
      </c>
      <c r="H13" s="121">
        <f t="shared" si="5"/>
        <v>-7.6499999999999986</v>
      </c>
      <c r="I13" s="87">
        <f t="shared" si="6"/>
        <v>-37.65</v>
      </c>
      <c r="J13" s="93">
        <f t="shared" si="7"/>
        <v>1.4124881964382789E-2</v>
      </c>
      <c r="K13" s="94" t="s">
        <v>66</v>
      </c>
      <c r="L13" s="94" t="s">
        <v>66</v>
      </c>
      <c r="M13" s="94">
        <f>-23.65-14</f>
        <v>-37.65</v>
      </c>
      <c r="N13" s="94" t="s">
        <v>66</v>
      </c>
      <c r="O13" s="94" t="s">
        <v>66</v>
      </c>
      <c r="P13" s="94" t="s">
        <v>66</v>
      </c>
      <c r="Q13" s="94" t="s">
        <v>66</v>
      </c>
      <c r="R13" s="94" t="s">
        <v>66</v>
      </c>
      <c r="S13" s="94" t="s">
        <v>66</v>
      </c>
      <c r="T13" s="94" t="s">
        <v>66</v>
      </c>
      <c r="U13" s="94" t="s">
        <v>66</v>
      </c>
      <c r="V13" s="94" t="s">
        <v>66</v>
      </c>
      <c r="W13" s="94" t="s">
        <v>66</v>
      </c>
      <c r="X13" s="94" t="s">
        <v>66</v>
      </c>
      <c r="Y13" s="94" t="s">
        <v>66</v>
      </c>
      <c r="Z13" s="94" t="s">
        <v>66</v>
      </c>
      <c r="AA13" s="94" t="s">
        <v>66</v>
      </c>
      <c r="AB13" s="133" t="s">
        <v>66</v>
      </c>
      <c r="AC13" s="94" t="s">
        <v>66</v>
      </c>
      <c r="AD13" s="94" t="s">
        <v>66</v>
      </c>
      <c r="AE13" s="94" t="s">
        <v>66</v>
      </c>
      <c r="AF13" s="94" t="s">
        <v>66</v>
      </c>
      <c r="AG13" s="94" t="s">
        <v>66</v>
      </c>
      <c r="AH13" s="94" t="s">
        <v>66</v>
      </c>
      <c r="AI13" s="94" t="s">
        <v>66</v>
      </c>
      <c r="AJ13" s="94" t="s">
        <v>66</v>
      </c>
      <c r="AK13" s="94" t="s">
        <v>66</v>
      </c>
      <c r="AL13" s="94" t="s">
        <v>66</v>
      </c>
      <c r="AM13" s="94" t="s">
        <v>66</v>
      </c>
      <c r="AN13" s="94" t="s">
        <v>66</v>
      </c>
      <c r="AO13" s="96"/>
      <c r="AQ13" s="78"/>
    </row>
    <row r="14" spans="1:44" x14ac:dyDescent="0.25">
      <c r="A14" s="147">
        <f t="shared" si="10"/>
        <v>4</v>
      </c>
      <c r="B14" s="54" t="s">
        <v>130</v>
      </c>
      <c r="C14" s="87">
        <v>-200</v>
      </c>
      <c r="E14" s="96"/>
      <c r="F14" s="86" t="s">
        <v>27</v>
      </c>
      <c r="G14" s="121">
        <f>C17</f>
        <v>0</v>
      </c>
      <c r="H14" s="121">
        <f t="shared" si="5"/>
        <v>-28.8</v>
      </c>
      <c r="I14" s="87">
        <f t="shared" si="6"/>
        <v>-28.8</v>
      </c>
      <c r="J14" s="91">
        <f t="shared" si="7"/>
        <v>1.0804690586300779E-2</v>
      </c>
      <c r="K14" s="92" t="s">
        <v>66</v>
      </c>
      <c r="L14" s="92" t="s">
        <v>66</v>
      </c>
      <c r="M14" s="92" t="s">
        <v>66</v>
      </c>
      <c r="N14" s="92" t="s">
        <v>66</v>
      </c>
      <c r="O14" s="92" t="s">
        <v>66</v>
      </c>
      <c r="P14" s="92" t="s">
        <v>66</v>
      </c>
      <c r="Q14" s="92" t="s">
        <v>67</v>
      </c>
      <c r="R14" s="92" t="s">
        <v>66</v>
      </c>
      <c r="S14" s="92" t="s">
        <v>66</v>
      </c>
      <c r="T14" s="92" t="s">
        <v>66</v>
      </c>
      <c r="U14" s="92" t="s">
        <v>66</v>
      </c>
      <c r="V14" s="92" t="s">
        <v>66</v>
      </c>
      <c r="W14" s="92" t="s">
        <v>66</v>
      </c>
      <c r="X14" s="92" t="s">
        <v>77</v>
      </c>
      <c r="Y14" s="92" t="s">
        <v>66</v>
      </c>
      <c r="Z14" s="92" t="s">
        <v>66</v>
      </c>
      <c r="AA14" s="92" t="s">
        <v>66</v>
      </c>
      <c r="AB14" s="92" t="s">
        <v>66</v>
      </c>
      <c r="AC14" s="92" t="s">
        <v>66</v>
      </c>
      <c r="AD14" s="92" t="s">
        <v>66</v>
      </c>
      <c r="AE14" s="92" t="s">
        <v>67</v>
      </c>
      <c r="AF14" s="92" t="s">
        <v>66</v>
      </c>
      <c r="AG14" s="92" t="s">
        <v>66</v>
      </c>
      <c r="AH14" s="92" t="s">
        <v>66</v>
      </c>
      <c r="AI14" s="92" t="s">
        <v>66</v>
      </c>
      <c r="AJ14" s="92" t="s">
        <v>66</v>
      </c>
      <c r="AK14" s="92" t="s">
        <v>66</v>
      </c>
      <c r="AL14" s="92" t="s">
        <v>77</v>
      </c>
      <c r="AM14" s="92" t="s">
        <v>66</v>
      </c>
      <c r="AN14" s="92">
        <v>-28.8</v>
      </c>
      <c r="AO14" s="96" t="s">
        <v>66</v>
      </c>
    </row>
    <row r="15" spans="1:44" x14ac:dyDescent="0.25">
      <c r="A15" s="147">
        <f t="shared" si="10"/>
        <v>5</v>
      </c>
      <c r="B15" s="54" t="s">
        <v>31</v>
      </c>
      <c r="C15" s="87">
        <v>0</v>
      </c>
      <c r="E15" s="96"/>
      <c r="F15" s="86" t="s">
        <v>111</v>
      </c>
      <c r="G15" s="121">
        <f>C29</f>
        <v>-60</v>
      </c>
      <c r="H15" s="121">
        <f t="shared" si="5"/>
        <v>38.370000000000005</v>
      </c>
      <c r="I15" s="87">
        <f t="shared" si="6"/>
        <v>-21.63</v>
      </c>
      <c r="J15" s="93">
        <f t="shared" si="7"/>
        <v>8.1147728257529809E-3</v>
      </c>
      <c r="K15" s="94" t="s">
        <v>66</v>
      </c>
      <c r="L15" s="94">
        <v>-21.63</v>
      </c>
      <c r="M15" s="94" t="s">
        <v>66</v>
      </c>
      <c r="N15" s="94" t="s">
        <v>66</v>
      </c>
      <c r="O15" s="94" t="s">
        <v>66</v>
      </c>
      <c r="P15" s="94" t="s">
        <v>66</v>
      </c>
      <c r="Q15" s="94" t="s">
        <v>66</v>
      </c>
      <c r="R15" s="94" t="s">
        <v>66</v>
      </c>
      <c r="S15" s="94" t="s">
        <v>66</v>
      </c>
      <c r="T15" s="94" t="s">
        <v>66</v>
      </c>
      <c r="U15" s="94" t="s">
        <v>66</v>
      </c>
      <c r="V15" s="94" t="s">
        <v>66</v>
      </c>
      <c r="W15" s="94" t="s">
        <v>66</v>
      </c>
      <c r="X15" s="94" t="s">
        <v>66</v>
      </c>
      <c r="Y15" s="94" t="s">
        <v>66</v>
      </c>
      <c r="Z15" s="94" t="s">
        <v>66</v>
      </c>
      <c r="AA15" s="94" t="s">
        <v>66</v>
      </c>
      <c r="AB15" s="94" t="s">
        <v>66</v>
      </c>
      <c r="AC15" s="94" t="s">
        <v>66</v>
      </c>
      <c r="AD15" s="94" t="s">
        <v>66</v>
      </c>
      <c r="AE15" s="94" t="s">
        <v>66</v>
      </c>
      <c r="AF15" s="94" t="s">
        <v>66</v>
      </c>
      <c r="AG15" s="94" t="s">
        <v>66</v>
      </c>
      <c r="AH15" s="94" t="s">
        <v>66</v>
      </c>
      <c r="AI15" s="94" t="s">
        <v>66</v>
      </c>
      <c r="AJ15" s="94" t="s">
        <v>66</v>
      </c>
      <c r="AK15" s="94" t="s">
        <v>66</v>
      </c>
      <c r="AL15" s="94" t="s">
        <v>66</v>
      </c>
      <c r="AM15" s="94" t="s">
        <v>66</v>
      </c>
      <c r="AN15" s="94" t="s">
        <v>66</v>
      </c>
      <c r="AO15" s="96" t="s">
        <v>66</v>
      </c>
    </row>
    <row r="16" spans="1:44" x14ac:dyDescent="0.25">
      <c r="A16" s="147">
        <f t="shared" si="10"/>
        <v>6</v>
      </c>
      <c r="B16" s="54" t="s">
        <v>32</v>
      </c>
      <c r="C16" s="87">
        <v>0</v>
      </c>
      <c r="E16" s="96"/>
      <c r="F16" s="86" t="s">
        <v>89</v>
      </c>
      <c r="G16" s="121">
        <f>C25</f>
        <v>-15</v>
      </c>
      <c r="H16" s="121">
        <f t="shared" si="5"/>
        <v>-5</v>
      </c>
      <c r="I16" s="87">
        <f t="shared" si="6"/>
        <v>-20</v>
      </c>
      <c r="J16" s="91">
        <f t="shared" si="7"/>
        <v>7.5032573515977632E-3</v>
      </c>
      <c r="K16" s="92">
        <v>-10</v>
      </c>
      <c r="L16" s="92" t="s">
        <v>66</v>
      </c>
      <c r="M16" s="92" t="s">
        <v>66</v>
      </c>
      <c r="N16" s="92" t="s">
        <v>66</v>
      </c>
      <c r="O16" s="92" t="s">
        <v>66</v>
      </c>
      <c r="P16" s="92" t="s">
        <v>66</v>
      </c>
      <c r="Q16" s="92" t="s">
        <v>66</v>
      </c>
      <c r="R16" s="92" t="s">
        <v>66</v>
      </c>
      <c r="S16" s="92" t="s">
        <v>66</v>
      </c>
      <c r="T16" s="92" t="s">
        <v>66</v>
      </c>
      <c r="U16" s="92" t="s">
        <v>66</v>
      </c>
      <c r="V16" s="92" t="s">
        <v>66</v>
      </c>
      <c r="W16" s="92" t="s">
        <v>66</v>
      </c>
      <c r="X16" s="92" t="s">
        <v>66</v>
      </c>
      <c r="Y16" s="92" t="s">
        <v>66</v>
      </c>
      <c r="Z16" s="92" t="s">
        <v>66</v>
      </c>
      <c r="AA16" s="180">
        <v>-10</v>
      </c>
      <c r="AB16" s="180" t="s">
        <v>66</v>
      </c>
      <c r="AC16" s="92" t="s">
        <v>66</v>
      </c>
      <c r="AD16" s="92" t="s">
        <v>66</v>
      </c>
      <c r="AE16" s="92" t="s">
        <v>66</v>
      </c>
      <c r="AF16" s="92" t="s">
        <v>66</v>
      </c>
      <c r="AG16" s="92" t="s">
        <v>66</v>
      </c>
      <c r="AH16" s="92" t="s">
        <v>66</v>
      </c>
      <c r="AI16" s="92" t="s">
        <v>66</v>
      </c>
      <c r="AJ16" s="92" t="s">
        <v>66</v>
      </c>
      <c r="AK16" s="92" t="s">
        <v>66</v>
      </c>
      <c r="AL16" s="92" t="s">
        <v>66</v>
      </c>
      <c r="AM16" s="92" t="s">
        <v>66</v>
      </c>
      <c r="AN16" s="92" t="s">
        <v>66</v>
      </c>
      <c r="AO16" s="96" t="s">
        <v>66</v>
      </c>
    </row>
    <row r="17" spans="1:41" x14ac:dyDescent="0.25">
      <c r="A17" s="147">
        <f t="shared" si="10"/>
        <v>7</v>
      </c>
      <c r="B17" s="54" t="s">
        <v>27</v>
      </c>
      <c r="C17" s="87">
        <v>0</v>
      </c>
      <c r="E17" s="96"/>
      <c r="F17" s="86" t="s">
        <v>112</v>
      </c>
      <c r="G17" s="121">
        <f>C13</f>
        <v>-81.89</v>
      </c>
      <c r="H17" s="121">
        <f t="shared" si="5"/>
        <v>-2.3100000000000023</v>
      </c>
      <c r="I17" s="87">
        <f t="shared" si="6"/>
        <v>-84.2</v>
      </c>
      <c r="J17" s="93">
        <f t="shared" si="7"/>
        <v>3.1588713450226583E-2</v>
      </c>
      <c r="K17" s="94" t="s">
        <v>66</v>
      </c>
      <c r="L17" s="94" t="s">
        <v>66</v>
      </c>
      <c r="M17" s="94" t="s">
        <v>66</v>
      </c>
      <c r="N17" s="94" t="s">
        <v>66</v>
      </c>
      <c r="O17" s="94" t="s">
        <v>66</v>
      </c>
      <c r="P17" s="94" t="s">
        <v>66</v>
      </c>
      <c r="Q17" s="94" t="s">
        <v>66</v>
      </c>
      <c r="R17" s="94">
        <v>-26.9</v>
      </c>
      <c r="S17" s="94" t="s">
        <v>66</v>
      </c>
      <c r="T17" s="94" t="s">
        <v>66</v>
      </c>
      <c r="U17" s="94" t="s">
        <v>66</v>
      </c>
      <c r="V17" s="94" t="s">
        <v>66</v>
      </c>
      <c r="W17" s="94" t="s">
        <v>66</v>
      </c>
      <c r="X17" s="94">
        <v>-2.31</v>
      </c>
      <c r="Y17" s="94" t="s">
        <v>66</v>
      </c>
      <c r="Z17" s="94" t="s">
        <v>66</v>
      </c>
      <c r="AA17" s="94" t="s">
        <v>66</v>
      </c>
      <c r="AB17" s="182" t="s">
        <v>66</v>
      </c>
      <c r="AC17" s="94" t="s">
        <v>66</v>
      </c>
      <c r="AD17" s="94" t="s">
        <v>66</v>
      </c>
      <c r="AE17" s="94" t="s">
        <v>66</v>
      </c>
      <c r="AF17" s="94" t="s">
        <v>66</v>
      </c>
      <c r="AG17" s="94" t="s">
        <v>66</v>
      </c>
      <c r="AH17" s="94" t="s">
        <v>66</v>
      </c>
      <c r="AI17" s="94">
        <v>-54.99</v>
      </c>
      <c r="AJ17" s="94" t="s">
        <v>66</v>
      </c>
      <c r="AK17" s="94" t="s">
        <v>66</v>
      </c>
      <c r="AL17" s="94" t="s">
        <v>66</v>
      </c>
      <c r="AM17" s="94" t="s">
        <v>66</v>
      </c>
      <c r="AN17" s="94" t="s">
        <v>66</v>
      </c>
      <c r="AO17" s="96" t="s">
        <v>66</v>
      </c>
    </row>
    <row r="18" spans="1:41" x14ac:dyDescent="0.25">
      <c r="A18" s="147">
        <f t="shared" si="10"/>
        <v>8</v>
      </c>
      <c r="B18" s="54" t="s">
        <v>114</v>
      </c>
      <c r="C18" s="87">
        <v>-50</v>
      </c>
      <c r="E18" s="96"/>
      <c r="F18" s="86" t="s">
        <v>113</v>
      </c>
      <c r="G18" s="121">
        <f t="shared" ref="G18:G19" si="11">C15</f>
        <v>0</v>
      </c>
      <c r="H18" s="121">
        <f t="shared" si="5"/>
        <v>0</v>
      </c>
      <c r="I18" s="87">
        <f t="shared" si="6"/>
        <v>0</v>
      </c>
      <c r="J18" s="91">
        <f t="shared" si="7"/>
        <v>0</v>
      </c>
      <c r="K18" s="92" t="s">
        <v>66</v>
      </c>
      <c r="L18" s="92" t="s">
        <v>66</v>
      </c>
      <c r="M18" s="92" t="s">
        <v>66</v>
      </c>
      <c r="N18" s="92" t="s">
        <v>66</v>
      </c>
      <c r="O18" s="92" t="s">
        <v>66</v>
      </c>
      <c r="P18" s="92" t="s">
        <v>66</v>
      </c>
      <c r="Q18" s="92" t="s">
        <v>66</v>
      </c>
      <c r="R18" s="92" t="s">
        <v>66</v>
      </c>
      <c r="S18" s="92" t="s">
        <v>66</v>
      </c>
      <c r="T18" s="92" t="s">
        <v>66</v>
      </c>
      <c r="U18" s="92" t="s">
        <v>66</v>
      </c>
      <c r="V18" s="92" t="s">
        <v>66</v>
      </c>
      <c r="W18" s="92" t="s">
        <v>66</v>
      </c>
      <c r="X18" s="92" t="s">
        <v>66</v>
      </c>
      <c r="Y18" s="92" t="s">
        <v>66</v>
      </c>
      <c r="Z18" s="92" t="s">
        <v>66</v>
      </c>
      <c r="AA18" s="92" t="s">
        <v>66</v>
      </c>
      <c r="AB18" s="92" t="s">
        <v>66</v>
      </c>
      <c r="AC18" s="92" t="s">
        <v>66</v>
      </c>
      <c r="AD18" s="92" t="s">
        <v>66</v>
      </c>
      <c r="AE18" s="92" t="s">
        <v>66</v>
      </c>
      <c r="AF18" s="92" t="s">
        <v>66</v>
      </c>
      <c r="AG18" s="92" t="s">
        <v>66</v>
      </c>
      <c r="AH18" s="92" t="s">
        <v>66</v>
      </c>
      <c r="AI18" s="92" t="s">
        <v>66</v>
      </c>
      <c r="AJ18" s="92" t="s">
        <v>66</v>
      </c>
      <c r="AK18" s="92" t="s">
        <v>66</v>
      </c>
      <c r="AL18" s="92" t="s">
        <v>66</v>
      </c>
      <c r="AM18" s="92" t="s">
        <v>66</v>
      </c>
      <c r="AN18" s="92" t="s">
        <v>66</v>
      </c>
      <c r="AO18" s="96" t="s">
        <v>66</v>
      </c>
    </row>
    <row r="19" spans="1:41" x14ac:dyDescent="0.25">
      <c r="A19" s="147">
        <f t="shared" si="10"/>
        <v>9</v>
      </c>
      <c r="B19" s="54" t="s">
        <v>20</v>
      </c>
      <c r="C19" s="87">
        <v>-200</v>
      </c>
      <c r="E19" s="96"/>
      <c r="F19" s="86" t="s">
        <v>115</v>
      </c>
      <c r="G19" s="121">
        <f t="shared" si="11"/>
        <v>0</v>
      </c>
      <c r="H19" s="121">
        <f t="shared" si="5"/>
        <v>0</v>
      </c>
      <c r="I19" s="87">
        <f t="shared" si="6"/>
        <v>0</v>
      </c>
      <c r="J19" s="93">
        <f t="shared" si="7"/>
        <v>0</v>
      </c>
      <c r="K19" s="94" t="s">
        <v>66</v>
      </c>
      <c r="L19" s="94" t="s">
        <v>66</v>
      </c>
      <c r="M19" s="94" t="s">
        <v>66</v>
      </c>
      <c r="N19" s="94" t="s">
        <v>66</v>
      </c>
      <c r="O19" s="94" t="s">
        <v>66</v>
      </c>
      <c r="P19" s="94" t="s">
        <v>66</v>
      </c>
      <c r="Q19" s="94" t="s">
        <v>66</v>
      </c>
      <c r="R19" s="94" t="s">
        <v>66</v>
      </c>
      <c r="S19" s="94" t="s">
        <v>66</v>
      </c>
      <c r="T19" s="94" t="s">
        <v>66</v>
      </c>
      <c r="U19" s="94" t="s">
        <v>66</v>
      </c>
      <c r="V19" s="94" t="s">
        <v>66</v>
      </c>
      <c r="W19" s="94" t="s">
        <v>66</v>
      </c>
      <c r="X19" s="94" t="s">
        <v>66</v>
      </c>
      <c r="Y19" s="94" t="s">
        <v>66</v>
      </c>
      <c r="Z19" s="94" t="s">
        <v>66</v>
      </c>
      <c r="AA19" s="94" t="s">
        <v>66</v>
      </c>
      <c r="AB19" s="94" t="s">
        <v>66</v>
      </c>
      <c r="AC19" s="94" t="s">
        <v>66</v>
      </c>
      <c r="AD19" s="94" t="s">
        <v>66</v>
      </c>
      <c r="AE19" s="94" t="s">
        <v>66</v>
      </c>
      <c r="AF19" s="94" t="s">
        <v>66</v>
      </c>
      <c r="AG19" s="94" t="s">
        <v>66</v>
      </c>
      <c r="AH19" s="94" t="s">
        <v>66</v>
      </c>
      <c r="AI19" s="94" t="s">
        <v>66</v>
      </c>
      <c r="AJ19" s="94" t="s">
        <v>66</v>
      </c>
      <c r="AK19" s="94" t="s">
        <v>66</v>
      </c>
      <c r="AL19" s="94" t="s">
        <v>66</v>
      </c>
      <c r="AM19" s="94" t="s">
        <v>66</v>
      </c>
      <c r="AN19" s="94" t="s">
        <v>66</v>
      </c>
      <c r="AO19" s="96" t="s">
        <v>66</v>
      </c>
    </row>
    <row r="20" spans="1:41" x14ac:dyDescent="0.25">
      <c r="A20" s="147">
        <f t="shared" si="10"/>
        <v>10</v>
      </c>
      <c r="B20" s="54" t="s">
        <v>22</v>
      </c>
      <c r="C20" s="87">
        <v>-20</v>
      </c>
      <c r="E20" s="96"/>
      <c r="F20" s="86" t="s">
        <v>116</v>
      </c>
      <c r="G20" s="121">
        <f>C22</f>
        <v>-140</v>
      </c>
      <c r="H20" s="121">
        <f t="shared" si="5"/>
        <v>-60.420000000000016</v>
      </c>
      <c r="I20" s="87">
        <f t="shared" si="6"/>
        <v>-200.42000000000002</v>
      </c>
      <c r="J20" s="91">
        <f t="shared" si="7"/>
        <v>7.5190141920361192E-2</v>
      </c>
      <c r="K20" s="92">
        <v>-6.62</v>
      </c>
      <c r="L20" s="92">
        <f>-18.04-16</f>
        <v>-34.04</v>
      </c>
      <c r="M20" s="92">
        <v>-36</v>
      </c>
      <c r="N20" s="92" t="s">
        <v>66</v>
      </c>
      <c r="O20" s="92" t="s">
        <v>66</v>
      </c>
      <c r="P20" s="92" t="s">
        <v>66</v>
      </c>
      <c r="Q20" s="92" t="s">
        <v>66</v>
      </c>
      <c r="R20" s="92" t="s">
        <v>66</v>
      </c>
      <c r="S20" s="92" t="s">
        <v>66</v>
      </c>
      <c r="T20" s="92">
        <v>-36.33</v>
      </c>
      <c r="U20" s="92" t="s">
        <v>66</v>
      </c>
      <c r="V20" s="92" t="s">
        <v>66</v>
      </c>
      <c r="W20" s="92" t="s">
        <v>66</v>
      </c>
      <c r="X20" s="92" t="s">
        <v>66</v>
      </c>
      <c r="Y20" s="92" t="s">
        <v>66</v>
      </c>
      <c r="Z20" s="92" t="s">
        <v>66</v>
      </c>
      <c r="AA20" s="92" t="s">
        <v>66</v>
      </c>
      <c r="AB20" s="92" t="s">
        <v>66</v>
      </c>
      <c r="AC20" s="92" t="s">
        <v>66</v>
      </c>
      <c r="AD20" s="92" t="s">
        <v>66</v>
      </c>
      <c r="AE20" s="92" t="s">
        <v>66</v>
      </c>
      <c r="AF20" s="92">
        <v>-9.9</v>
      </c>
      <c r="AG20" s="92">
        <f>-14.1-18.85</f>
        <v>-32.950000000000003</v>
      </c>
      <c r="AH20" s="92">
        <v>-16.03</v>
      </c>
      <c r="AI20" s="92" t="s">
        <v>66</v>
      </c>
      <c r="AJ20" s="92" t="s">
        <v>66</v>
      </c>
      <c r="AK20" s="92" t="s">
        <v>66</v>
      </c>
      <c r="AL20" s="92" t="s">
        <v>66</v>
      </c>
      <c r="AM20" s="92">
        <v>-11.8</v>
      </c>
      <c r="AN20" s="92">
        <v>-16.75</v>
      </c>
      <c r="AO20" s="96" t="s">
        <v>66</v>
      </c>
    </row>
    <row r="21" spans="1:41" ht="15.75" customHeight="1" x14ac:dyDescent="0.25">
      <c r="A21" s="147">
        <f t="shared" si="10"/>
        <v>11</v>
      </c>
      <c r="B21" s="54" t="s">
        <v>35</v>
      </c>
      <c r="C21" s="87">
        <v>-5</v>
      </c>
      <c r="E21" s="96"/>
      <c r="F21" s="86" t="s">
        <v>117</v>
      </c>
      <c r="G21" s="121">
        <f>C32</f>
        <v>0</v>
      </c>
      <c r="H21" s="121">
        <f t="shared" si="5"/>
        <v>0</v>
      </c>
      <c r="I21" s="87">
        <f t="shared" si="6"/>
        <v>0</v>
      </c>
      <c r="J21" s="93">
        <f t="shared" si="7"/>
        <v>0</v>
      </c>
      <c r="K21" s="94" t="s">
        <v>66</v>
      </c>
      <c r="L21" s="94" t="s">
        <v>66</v>
      </c>
      <c r="M21" s="94" t="s">
        <v>66</v>
      </c>
      <c r="N21" s="94" t="s">
        <v>66</v>
      </c>
      <c r="O21" s="94" t="s">
        <v>66</v>
      </c>
      <c r="P21" s="94" t="s">
        <v>66</v>
      </c>
      <c r="Q21" s="94" t="s">
        <v>66</v>
      </c>
      <c r="R21" s="94" t="s">
        <v>66</v>
      </c>
      <c r="S21" s="94" t="s">
        <v>66</v>
      </c>
      <c r="T21" s="94" t="s">
        <v>66</v>
      </c>
      <c r="U21" s="94" t="s">
        <v>66</v>
      </c>
      <c r="V21" s="94" t="s">
        <v>66</v>
      </c>
      <c r="W21" s="94" t="s">
        <v>66</v>
      </c>
      <c r="X21" s="94" t="s">
        <v>66</v>
      </c>
      <c r="Y21" s="94" t="s">
        <v>66</v>
      </c>
      <c r="Z21" s="94" t="s">
        <v>66</v>
      </c>
      <c r="AA21" s="94" t="s">
        <v>66</v>
      </c>
      <c r="AB21" s="94" t="s">
        <v>66</v>
      </c>
      <c r="AC21" s="94" t="s">
        <v>66</v>
      </c>
      <c r="AD21" s="94" t="s">
        <v>66</v>
      </c>
      <c r="AE21" s="94" t="s">
        <v>66</v>
      </c>
      <c r="AF21" s="94" t="s">
        <v>66</v>
      </c>
      <c r="AG21" s="94" t="s">
        <v>66</v>
      </c>
      <c r="AH21" s="94" t="s">
        <v>66</v>
      </c>
      <c r="AI21" s="94" t="s">
        <v>66</v>
      </c>
      <c r="AJ21" s="94" t="s">
        <v>66</v>
      </c>
      <c r="AK21" s="94" t="s">
        <v>66</v>
      </c>
      <c r="AL21" s="94" t="s">
        <v>66</v>
      </c>
      <c r="AM21" s="94" t="s">
        <v>66</v>
      </c>
      <c r="AN21" s="94" t="s">
        <v>66</v>
      </c>
      <c r="AO21" s="96" t="s">
        <v>66</v>
      </c>
    </row>
    <row r="22" spans="1:41" ht="15.75" customHeight="1" x14ac:dyDescent="0.25">
      <c r="A22" s="147">
        <f t="shared" si="10"/>
        <v>12</v>
      </c>
      <c r="B22" s="54" t="s">
        <v>33</v>
      </c>
      <c r="C22" s="87">
        <v>-140</v>
      </c>
      <c r="E22" s="96"/>
      <c r="F22" s="86" t="s">
        <v>118</v>
      </c>
      <c r="G22" s="121">
        <f>C30</f>
        <v>-30</v>
      </c>
      <c r="H22" s="121">
        <f t="shared" si="5"/>
        <v>-23.759999999999998</v>
      </c>
      <c r="I22" s="87">
        <f t="shared" si="6"/>
        <v>-53.76</v>
      </c>
      <c r="J22" s="91">
        <f t="shared" si="7"/>
        <v>2.0168755761094788E-2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 t="s">
        <v>66</v>
      </c>
      <c r="Q22" s="92" t="s">
        <v>66</v>
      </c>
      <c r="R22" s="92" t="s">
        <v>66</v>
      </c>
      <c r="S22" s="92">
        <f>-4-11.8-22</f>
        <v>-37.799999999999997</v>
      </c>
      <c r="T22" s="92" t="s">
        <v>66</v>
      </c>
      <c r="U22" s="92">
        <v>-3</v>
      </c>
      <c r="V22" s="92" t="s">
        <v>66</v>
      </c>
      <c r="W22" s="92" t="s">
        <v>66</v>
      </c>
      <c r="X22" s="92" t="s">
        <v>66</v>
      </c>
      <c r="Y22" s="92" t="s">
        <v>66</v>
      </c>
      <c r="Z22" s="92" t="s">
        <v>66</v>
      </c>
      <c r="AA22" s="92" t="s">
        <v>66</v>
      </c>
      <c r="AB22" s="92" t="s">
        <v>66</v>
      </c>
      <c r="AC22" s="92" t="s">
        <v>66</v>
      </c>
      <c r="AD22" s="92" t="s">
        <v>66</v>
      </c>
      <c r="AE22" s="92" t="s">
        <v>66</v>
      </c>
      <c r="AF22" s="92">
        <v>-6.56</v>
      </c>
      <c r="AG22" s="92" t="s">
        <v>66</v>
      </c>
      <c r="AH22" s="92" t="s">
        <v>66</v>
      </c>
      <c r="AI22" s="92" t="s">
        <v>66</v>
      </c>
      <c r="AJ22" s="92">
        <v>-6.4</v>
      </c>
      <c r="AK22" s="92" t="s">
        <v>66</v>
      </c>
      <c r="AL22" s="92" t="s">
        <v>66</v>
      </c>
      <c r="AM22" s="92" t="s">
        <v>66</v>
      </c>
      <c r="AN22" s="92" t="s">
        <v>66</v>
      </c>
      <c r="AO22" s="96" t="s">
        <v>66</v>
      </c>
    </row>
    <row r="23" spans="1:41" ht="15.75" customHeight="1" x14ac:dyDescent="0.25">
      <c r="A23" s="147">
        <f t="shared" si="10"/>
        <v>13</v>
      </c>
      <c r="B23" s="54" t="s">
        <v>131</v>
      </c>
      <c r="C23" s="87">
        <v>-30</v>
      </c>
      <c r="E23" s="96"/>
      <c r="F23" s="86" t="s">
        <v>35</v>
      </c>
      <c r="G23" s="121">
        <f>C21</f>
        <v>-5</v>
      </c>
      <c r="H23" s="121">
        <f>I23-G23</f>
        <v>5</v>
      </c>
      <c r="I23" s="87">
        <f t="shared" ref="I23:I31" si="12">SUM(K23:AN23)</f>
        <v>0</v>
      </c>
      <c r="J23" s="93">
        <f>I23/$C$4</f>
        <v>0</v>
      </c>
      <c r="K23" s="94" t="s">
        <v>66</v>
      </c>
      <c r="L23" s="94" t="s">
        <v>66</v>
      </c>
      <c r="M23" s="94" t="s">
        <v>66</v>
      </c>
      <c r="N23" s="94" t="s">
        <v>66</v>
      </c>
      <c r="O23" s="94" t="s">
        <v>66</v>
      </c>
      <c r="P23" s="94" t="s">
        <v>66</v>
      </c>
      <c r="Q23" s="94" t="s">
        <v>66</v>
      </c>
      <c r="R23" s="94" t="s">
        <v>66</v>
      </c>
      <c r="S23" s="94" t="s">
        <v>66</v>
      </c>
      <c r="T23" s="94" t="s">
        <v>66</v>
      </c>
      <c r="U23" s="94" t="s">
        <v>66</v>
      </c>
      <c r="V23" s="94" t="s">
        <v>66</v>
      </c>
      <c r="W23" s="94" t="s">
        <v>66</v>
      </c>
      <c r="X23" s="94" t="s">
        <v>66</v>
      </c>
      <c r="Y23" s="94" t="s">
        <v>66</v>
      </c>
      <c r="Z23" s="94" t="s">
        <v>66</v>
      </c>
      <c r="AA23" s="94" t="s">
        <v>66</v>
      </c>
      <c r="AB23" s="94" t="s">
        <v>66</v>
      </c>
      <c r="AC23" s="94" t="s">
        <v>66</v>
      </c>
      <c r="AD23" s="94" t="s">
        <v>66</v>
      </c>
      <c r="AE23" s="94" t="s">
        <v>66</v>
      </c>
      <c r="AF23" s="94" t="s">
        <v>66</v>
      </c>
      <c r="AG23" s="94" t="s">
        <v>66</v>
      </c>
      <c r="AH23" s="94" t="s">
        <v>66</v>
      </c>
      <c r="AI23" s="94" t="s">
        <v>66</v>
      </c>
      <c r="AJ23" s="94" t="s">
        <v>66</v>
      </c>
      <c r="AK23" s="94" t="s">
        <v>66</v>
      </c>
      <c r="AL23" s="94" t="s">
        <v>66</v>
      </c>
      <c r="AM23" s="94" t="s">
        <v>66</v>
      </c>
      <c r="AN23" s="94" t="s">
        <v>66</v>
      </c>
      <c r="AO23" s="96" t="s">
        <v>66</v>
      </c>
    </row>
    <row r="24" spans="1:41" ht="15.75" customHeight="1" x14ac:dyDescent="0.25">
      <c r="A24" s="147">
        <f t="shared" si="10"/>
        <v>14</v>
      </c>
      <c r="B24" s="54" t="s">
        <v>42</v>
      </c>
      <c r="C24" s="87">
        <v>0</v>
      </c>
      <c r="E24" s="96"/>
      <c r="F24" s="86" t="s">
        <v>36</v>
      </c>
      <c r="G24" s="121">
        <f>C33</f>
        <v>0</v>
      </c>
      <c r="H24" s="121">
        <f>I24-G24</f>
        <v>0</v>
      </c>
      <c r="I24" s="87">
        <f t="shared" si="12"/>
        <v>0</v>
      </c>
      <c r="J24" s="91">
        <f>I24/$C$4</f>
        <v>0</v>
      </c>
      <c r="K24" s="92" t="s">
        <v>66</v>
      </c>
      <c r="L24" s="92" t="s">
        <v>66</v>
      </c>
      <c r="M24" s="92" t="s">
        <v>66</v>
      </c>
      <c r="N24" s="92" t="s">
        <v>66</v>
      </c>
      <c r="O24" s="92" t="s">
        <v>66</v>
      </c>
      <c r="P24" s="92" t="s">
        <v>66</v>
      </c>
      <c r="Q24" s="92" t="s">
        <v>66</v>
      </c>
      <c r="R24" s="92" t="s">
        <v>66</v>
      </c>
      <c r="S24" s="92" t="s">
        <v>66</v>
      </c>
      <c r="T24" s="92" t="s">
        <v>66</v>
      </c>
      <c r="U24" s="92" t="s">
        <v>66</v>
      </c>
      <c r="V24" s="92" t="s">
        <v>66</v>
      </c>
      <c r="W24" s="92" t="s">
        <v>66</v>
      </c>
      <c r="X24" s="92" t="s">
        <v>66</v>
      </c>
      <c r="Y24" s="92" t="s">
        <v>66</v>
      </c>
      <c r="Z24" s="92" t="s">
        <v>66</v>
      </c>
      <c r="AA24" s="92" t="s">
        <v>66</v>
      </c>
      <c r="AB24" s="92" t="s">
        <v>66</v>
      </c>
      <c r="AC24" s="92" t="s">
        <v>66</v>
      </c>
      <c r="AD24" s="92" t="s">
        <v>66</v>
      </c>
      <c r="AE24" s="92" t="s">
        <v>66</v>
      </c>
      <c r="AF24" s="92" t="s">
        <v>66</v>
      </c>
      <c r="AG24" s="92" t="s">
        <v>66</v>
      </c>
      <c r="AH24" s="92" t="s">
        <v>66</v>
      </c>
      <c r="AI24" s="92" t="s">
        <v>66</v>
      </c>
      <c r="AJ24" s="92" t="s">
        <v>66</v>
      </c>
      <c r="AK24" s="92" t="s">
        <v>66</v>
      </c>
      <c r="AL24" s="92" t="s">
        <v>66</v>
      </c>
      <c r="AM24" s="92" t="s">
        <v>66</v>
      </c>
      <c r="AN24" s="92" t="s">
        <v>66</v>
      </c>
      <c r="AO24" s="96" t="s">
        <v>66</v>
      </c>
    </row>
    <row r="25" spans="1:41" ht="15.75" customHeight="1" x14ac:dyDescent="0.25">
      <c r="A25" s="147">
        <f t="shared" si="10"/>
        <v>15</v>
      </c>
      <c r="B25" s="54" t="s">
        <v>89</v>
      </c>
      <c r="C25" s="87">
        <v>-15</v>
      </c>
      <c r="E25" s="96"/>
      <c r="F25" s="86" t="s">
        <v>39</v>
      </c>
      <c r="G25" s="121">
        <f>C18</f>
        <v>-50</v>
      </c>
      <c r="H25" s="121">
        <f>I25-G25</f>
        <v>-21.510000000000005</v>
      </c>
      <c r="I25" s="87">
        <f t="shared" si="12"/>
        <v>-71.510000000000005</v>
      </c>
      <c r="J25" s="93">
        <f>I25/$C$4</f>
        <v>2.6827896660637805E-2</v>
      </c>
      <c r="K25" s="94" t="s">
        <v>66</v>
      </c>
      <c r="L25" s="94">
        <v>-7.99</v>
      </c>
      <c r="M25" s="94" t="s">
        <v>66</v>
      </c>
      <c r="N25" s="94" t="s">
        <v>66</v>
      </c>
      <c r="O25" s="94">
        <v>-25</v>
      </c>
      <c r="P25" s="94" t="s">
        <v>66</v>
      </c>
      <c r="Q25" s="94">
        <v>-12</v>
      </c>
      <c r="R25" s="94" t="s">
        <v>66</v>
      </c>
      <c r="S25" s="94" t="s">
        <v>66</v>
      </c>
      <c r="T25" s="94" t="s">
        <v>66</v>
      </c>
      <c r="U25" s="94" t="s">
        <v>66</v>
      </c>
      <c r="V25" s="94" t="s">
        <v>66</v>
      </c>
      <c r="W25" s="94">
        <v>-5.98</v>
      </c>
      <c r="X25" s="94" t="s">
        <v>66</v>
      </c>
      <c r="Y25" s="94" t="s">
        <v>66</v>
      </c>
      <c r="Z25" s="94">
        <v>-15</v>
      </c>
      <c r="AA25" s="94" t="s">
        <v>66</v>
      </c>
      <c r="AB25" s="94" t="s">
        <v>66</v>
      </c>
      <c r="AC25" s="94" t="s">
        <v>66</v>
      </c>
      <c r="AD25" s="94" t="s">
        <v>66</v>
      </c>
      <c r="AE25" s="240" t="s">
        <v>66</v>
      </c>
      <c r="AF25" s="94" t="s">
        <v>66</v>
      </c>
      <c r="AG25" s="94" t="s">
        <v>66</v>
      </c>
      <c r="AH25" s="94" t="s">
        <v>66</v>
      </c>
      <c r="AI25" s="94">
        <v>-5.54</v>
      </c>
      <c r="AJ25" s="94" t="s">
        <v>66</v>
      </c>
      <c r="AK25" s="94" t="s">
        <v>66</v>
      </c>
      <c r="AL25" s="94" t="s">
        <v>66</v>
      </c>
      <c r="AM25" s="94" t="s">
        <v>66</v>
      </c>
      <c r="AN25" s="94" t="s">
        <v>66</v>
      </c>
      <c r="AO25" s="96" t="s">
        <v>66</v>
      </c>
    </row>
    <row r="26" spans="1:41" ht="15.75" customHeight="1" x14ac:dyDescent="0.25">
      <c r="A26" s="147">
        <f t="shared" si="10"/>
        <v>16</v>
      </c>
      <c r="B26" s="54" t="s">
        <v>109</v>
      </c>
      <c r="C26" s="87">
        <v>-15</v>
      </c>
      <c r="E26" s="96"/>
      <c r="F26" s="86" t="s">
        <v>40</v>
      </c>
      <c r="G26" s="121">
        <f>C31</f>
        <v>-40</v>
      </c>
      <c r="H26" s="121">
        <f>I26-G26</f>
        <v>40</v>
      </c>
      <c r="I26" s="87">
        <f t="shared" si="12"/>
        <v>0</v>
      </c>
      <c r="J26" s="91">
        <f>I26/$C$4</f>
        <v>0</v>
      </c>
      <c r="K26" s="92" t="s">
        <v>66</v>
      </c>
      <c r="L26" s="92" t="s">
        <v>66</v>
      </c>
      <c r="M26" s="92" t="s">
        <v>66</v>
      </c>
      <c r="N26" s="92" t="s">
        <v>66</v>
      </c>
      <c r="O26" s="92" t="s">
        <v>66</v>
      </c>
      <c r="P26" s="92" t="s">
        <v>66</v>
      </c>
      <c r="Q26" s="92" t="s">
        <v>66</v>
      </c>
      <c r="R26" s="92" t="s">
        <v>66</v>
      </c>
      <c r="S26" s="92" t="s">
        <v>66</v>
      </c>
      <c r="T26" s="92" t="s">
        <v>66</v>
      </c>
      <c r="U26" s="92" t="s">
        <v>66</v>
      </c>
      <c r="V26" s="92" t="s">
        <v>66</v>
      </c>
      <c r="W26" s="92" t="s">
        <v>66</v>
      </c>
      <c r="X26" s="92" t="s">
        <v>66</v>
      </c>
      <c r="Y26" s="92" t="s">
        <v>66</v>
      </c>
      <c r="Z26" s="92" t="s">
        <v>66</v>
      </c>
      <c r="AA26" s="92" t="s">
        <v>66</v>
      </c>
      <c r="AB26" s="92" t="s">
        <v>66</v>
      </c>
      <c r="AC26" s="92" t="s">
        <v>66</v>
      </c>
      <c r="AD26" s="92" t="s">
        <v>66</v>
      </c>
      <c r="AE26" s="92" t="s">
        <v>66</v>
      </c>
      <c r="AF26" s="92" t="s">
        <v>66</v>
      </c>
      <c r="AG26" s="92" t="s">
        <v>66</v>
      </c>
      <c r="AH26" s="92" t="s">
        <v>66</v>
      </c>
      <c r="AI26" s="92" t="s">
        <v>66</v>
      </c>
      <c r="AJ26" s="92" t="s">
        <v>66</v>
      </c>
      <c r="AK26" s="92" t="s">
        <v>66</v>
      </c>
      <c r="AL26" s="239" t="s">
        <v>66</v>
      </c>
      <c r="AM26" s="239" t="s">
        <v>66</v>
      </c>
      <c r="AN26" s="92" t="s">
        <v>66</v>
      </c>
      <c r="AO26" s="96" t="s">
        <v>66</v>
      </c>
    </row>
    <row r="27" spans="1:41" ht="15.75" customHeight="1" x14ac:dyDescent="0.25">
      <c r="A27" s="147">
        <f t="shared" si="10"/>
        <v>17</v>
      </c>
      <c r="B27" s="54" t="s">
        <v>81</v>
      </c>
      <c r="C27" s="87">
        <v>-50</v>
      </c>
      <c r="E27" s="96"/>
      <c r="F27" s="86" t="s">
        <v>41</v>
      </c>
      <c r="G27" s="121">
        <f>C33</f>
        <v>0</v>
      </c>
      <c r="H27" s="121">
        <f>I27-G27</f>
        <v>-26.34</v>
      </c>
      <c r="I27" s="87">
        <f t="shared" si="12"/>
        <v>-26.34</v>
      </c>
      <c r="J27" s="93">
        <f>I27/$C$4</f>
        <v>9.8817899320542552E-3</v>
      </c>
      <c r="K27" s="94" t="s">
        <v>66</v>
      </c>
      <c r="L27" s="94" t="s">
        <v>66</v>
      </c>
      <c r="M27" s="94" t="s">
        <v>66</v>
      </c>
      <c r="N27" s="94" t="s">
        <v>66</v>
      </c>
      <c r="O27" s="94" t="s">
        <v>66</v>
      </c>
      <c r="P27" s="94" t="s">
        <v>66</v>
      </c>
      <c r="Q27" s="94" t="s">
        <v>66</v>
      </c>
      <c r="R27" s="94" t="s">
        <v>66</v>
      </c>
      <c r="S27" s="94" t="s">
        <v>66</v>
      </c>
      <c r="T27" s="94" t="s">
        <v>66</v>
      </c>
      <c r="U27" s="94" t="s">
        <v>66</v>
      </c>
      <c r="V27" s="94" t="s">
        <v>66</v>
      </c>
      <c r="W27" s="94" t="s">
        <v>66</v>
      </c>
      <c r="X27" s="94" t="s">
        <v>66</v>
      </c>
      <c r="Y27" s="94">
        <v>-26.34</v>
      </c>
      <c r="Z27" s="94" t="s">
        <v>66</v>
      </c>
      <c r="AA27" s="94" t="s">
        <v>66</v>
      </c>
      <c r="AB27" s="94" t="s">
        <v>66</v>
      </c>
      <c r="AC27" s="94" t="s">
        <v>66</v>
      </c>
      <c r="AD27" s="94" t="s">
        <v>66</v>
      </c>
      <c r="AE27" s="94" t="s">
        <v>66</v>
      </c>
      <c r="AF27" s="94" t="s">
        <v>66</v>
      </c>
      <c r="AG27" s="94" t="s">
        <v>66</v>
      </c>
      <c r="AH27" s="94" t="s">
        <v>66</v>
      </c>
      <c r="AI27" s="94" t="s">
        <v>66</v>
      </c>
      <c r="AJ27" s="94" t="s">
        <v>66</v>
      </c>
      <c r="AK27" s="94" t="s">
        <v>66</v>
      </c>
      <c r="AL27" s="94" t="s">
        <v>66</v>
      </c>
      <c r="AM27" s="94" t="s">
        <v>66</v>
      </c>
      <c r="AN27" s="94" t="s">
        <v>66</v>
      </c>
      <c r="AO27" s="96" t="s">
        <v>66</v>
      </c>
    </row>
    <row r="28" spans="1:41" ht="15.75" customHeight="1" x14ac:dyDescent="0.25">
      <c r="A28" s="147"/>
      <c r="B28" s="54"/>
      <c r="C28" s="87"/>
      <c r="E28" s="246"/>
      <c r="F28" s="86" t="s">
        <v>207</v>
      </c>
      <c r="G28" s="121">
        <v>0</v>
      </c>
      <c r="H28" s="121">
        <v>0</v>
      </c>
      <c r="I28" s="87">
        <f>-(2587+511.66)/12</f>
        <v>-258.22166666666664</v>
      </c>
      <c r="J28" s="93">
        <f t="shared" ref="J28" si="13">I28/$C$4</f>
        <v>9.6875180937924688E-2</v>
      </c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246"/>
    </row>
    <row r="29" spans="1:41" ht="15.75" customHeight="1" x14ac:dyDescent="0.25">
      <c r="A29" s="147">
        <f>A27+1</f>
        <v>18</v>
      </c>
      <c r="B29" s="54" t="s">
        <v>28</v>
      </c>
      <c r="C29" s="87">
        <v>-60</v>
      </c>
      <c r="E29" s="96"/>
      <c r="F29" s="86" t="s">
        <v>72</v>
      </c>
      <c r="G29" s="121">
        <f>C11</f>
        <v>-550</v>
      </c>
      <c r="H29" s="121">
        <f>I29-G29</f>
        <v>0</v>
      </c>
      <c r="I29" s="87">
        <f t="shared" si="12"/>
        <v>-550</v>
      </c>
      <c r="J29" s="91">
        <f>I29/$C$4</f>
        <v>0.2063395771689385</v>
      </c>
      <c r="K29" s="92" t="s">
        <v>66</v>
      </c>
      <c r="L29" s="92" t="s">
        <v>66</v>
      </c>
      <c r="M29" s="92" t="s">
        <v>66</v>
      </c>
      <c r="N29" s="92" t="s">
        <v>66</v>
      </c>
      <c r="O29" s="92" t="s">
        <v>66</v>
      </c>
      <c r="P29" s="92" t="s">
        <v>66</v>
      </c>
      <c r="Q29" s="92">
        <v>-550</v>
      </c>
      <c r="R29" s="92" t="s">
        <v>66</v>
      </c>
      <c r="S29" s="92" t="s">
        <v>66</v>
      </c>
      <c r="T29" s="92" t="s">
        <v>66</v>
      </c>
      <c r="U29" s="92" t="s">
        <v>66</v>
      </c>
      <c r="V29" s="92" t="s">
        <v>66</v>
      </c>
      <c r="W29" s="92" t="s">
        <v>66</v>
      </c>
      <c r="X29" s="92" t="s">
        <v>66</v>
      </c>
      <c r="Y29" s="92" t="s">
        <v>66</v>
      </c>
      <c r="Z29" s="92" t="s">
        <v>66</v>
      </c>
      <c r="AA29" s="92" t="s">
        <v>66</v>
      </c>
      <c r="AB29" s="92" t="s">
        <v>66</v>
      </c>
      <c r="AC29" s="92" t="s">
        <v>66</v>
      </c>
      <c r="AD29" s="92" t="s">
        <v>66</v>
      </c>
      <c r="AE29" s="92" t="s">
        <v>66</v>
      </c>
      <c r="AF29" s="92" t="s">
        <v>66</v>
      </c>
      <c r="AG29" s="92" t="s">
        <v>66</v>
      </c>
      <c r="AH29" s="92" t="s">
        <v>66</v>
      </c>
      <c r="AI29" s="92" t="s">
        <v>66</v>
      </c>
      <c r="AJ29" s="92" t="s">
        <v>66</v>
      </c>
      <c r="AK29" s="92" t="s">
        <v>66</v>
      </c>
      <c r="AL29" s="92" t="s">
        <v>66</v>
      </c>
      <c r="AM29" s="92" t="s">
        <v>66</v>
      </c>
      <c r="AN29" s="92" t="s">
        <v>66</v>
      </c>
      <c r="AO29" s="96" t="s">
        <v>66</v>
      </c>
    </row>
    <row r="30" spans="1:41" ht="15.75" customHeight="1" x14ac:dyDescent="0.25">
      <c r="A30" s="147">
        <f t="shared" si="10"/>
        <v>19</v>
      </c>
      <c r="B30" s="54" t="s">
        <v>120</v>
      </c>
      <c r="C30" s="87">
        <f>-8-22</f>
        <v>-30</v>
      </c>
      <c r="E30" s="96"/>
      <c r="F30" s="86" t="s">
        <v>121</v>
      </c>
      <c r="G30" s="121">
        <f>C24</f>
        <v>0</v>
      </c>
      <c r="H30" s="121">
        <f>I30-G30</f>
        <v>-45</v>
      </c>
      <c r="I30" s="87">
        <f t="shared" si="12"/>
        <v>-45</v>
      </c>
      <c r="J30" s="93">
        <f>I30/$C$4</f>
        <v>1.6882329041094969E-2</v>
      </c>
      <c r="K30" s="94" t="s">
        <v>66</v>
      </c>
      <c r="L30" s="94" t="s">
        <v>66</v>
      </c>
      <c r="M30" s="94" t="s">
        <v>66</v>
      </c>
      <c r="N30" s="94" t="s">
        <v>66</v>
      </c>
      <c r="O30" s="94" t="s">
        <v>66</v>
      </c>
      <c r="P30" s="94" t="s">
        <v>66</v>
      </c>
      <c r="Q30" s="94" t="s">
        <v>66</v>
      </c>
      <c r="R30" s="94" t="s">
        <v>66</v>
      </c>
      <c r="S30" s="94" t="s">
        <v>66</v>
      </c>
      <c r="T30" s="94" t="s">
        <v>66</v>
      </c>
      <c r="U30" s="94" t="s">
        <v>66</v>
      </c>
      <c r="V30" s="94" t="s">
        <v>66</v>
      </c>
      <c r="W30" s="94" t="s">
        <v>66</v>
      </c>
      <c r="X30" s="94" t="s">
        <v>66</v>
      </c>
      <c r="Y30" s="94" t="s">
        <v>66</v>
      </c>
      <c r="Z30" s="94" t="s">
        <v>66</v>
      </c>
      <c r="AA30" s="94" t="s">
        <v>66</v>
      </c>
      <c r="AB30" s="94" t="s">
        <v>66</v>
      </c>
      <c r="AC30" s="94" t="s">
        <v>66</v>
      </c>
      <c r="AD30" s="94" t="s">
        <v>66</v>
      </c>
      <c r="AE30" s="94" t="s">
        <v>66</v>
      </c>
      <c r="AF30" s="94" t="s">
        <v>66</v>
      </c>
      <c r="AG30" s="94" t="s">
        <v>66</v>
      </c>
      <c r="AH30" s="94" t="s">
        <v>66</v>
      </c>
      <c r="AI30" s="94" t="s">
        <v>66</v>
      </c>
      <c r="AJ30" s="94" t="s">
        <v>66</v>
      </c>
      <c r="AK30" s="94" t="s">
        <v>66</v>
      </c>
      <c r="AL30" s="94" t="s">
        <v>66</v>
      </c>
      <c r="AM30" s="94">
        <v>-45</v>
      </c>
      <c r="AN30" s="94" t="s">
        <v>66</v>
      </c>
      <c r="AO30" s="96" t="s">
        <v>66</v>
      </c>
    </row>
    <row r="31" spans="1:41" ht="15.75" customHeight="1" x14ac:dyDescent="0.25">
      <c r="A31" s="147">
        <f t="shared" si="10"/>
        <v>20</v>
      </c>
      <c r="B31" s="54" t="s">
        <v>40</v>
      </c>
      <c r="C31" s="87">
        <v>-40</v>
      </c>
      <c r="E31" s="96"/>
      <c r="F31" s="86"/>
      <c r="G31" s="86"/>
      <c r="H31" s="121">
        <f>SUM(H7:H30)</f>
        <v>11.610000000000028</v>
      </c>
      <c r="I31" s="87">
        <f t="shared" si="12"/>
        <v>0</v>
      </c>
      <c r="J31" s="91">
        <f>I31/$C$4</f>
        <v>0</v>
      </c>
      <c r="K31" s="92" t="s">
        <v>66</v>
      </c>
      <c r="L31" s="92" t="s">
        <v>66</v>
      </c>
      <c r="M31" s="92" t="s">
        <v>66</v>
      </c>
      <c r="N31" s="92" t="s">
        <v>66</v>
      </c>
      <c r="O31" s="92" t="s">
        <v>66</v>
      </c>
      <c r="P31" s="92" t="s">
        <v>66</v>
      </c>
      <c r="Q31" s="92" t="s">
        <v>66</v>
      </c>
      <c r="R31" s="92" t="s">
        <v>66</v>
      </c>
      <c r="S31" s="92" t="s">
        <v>66</v>
      </c>
      <c r="T31" s="92" t="s">
        <v>66</v>
      </c>
      <c r="U31" s="92" t="s">
        <v>66</v>
      </c>
      <c r="V31" s="92" t="s">
        <v>66</v>
      </c>
      <c r="W31" s="92" t="s">
        <v>66</v>
      </c>
      <c r="X31" s="92" t="s">
        <v>66</v>
      </c>
      <c r="Y31" s="92" t="s">
        <v>66</v>
      </c>
      <c r="Z31" s="92" t="s">
        <v>66</v>
      </c>
      <c r="AA31" s="92" t="s">
        <v>66</v>
      </c>
      <c r="AB31" s="92" t="s">
        <v>66</v>
      </c>
      <c r="AC31" s="92" t="s">
        <v>66</v>
      </c>
      <c r="AD31" s="92" t="s">
        <v>66</v>
      </c>
      <c r="AE31" s="92" t="s">
        <v>66</v>
      </c>
      <c r="AF31" s="92" t="s">
        <v>66</v>
      </c>
      <c r="AG31" s="92" t="s">
        <v>66</v>
      </c>
      <c r="AH31" s="92" t="s">
        <v>66</v>
      </c>
      <c r="AI31" s="92" t="s">
        <v>66</v>
      </c>
      <c r="AJ31" s="92" t="s">
        <v>66</v>
      </c>
      <c r="AK31" s="92" t="s">
        <v>66</v>
      </c>
      <c r="AL31" s="92" t="s">
        <v>66</v>
      </c>
      <c r="AM31" s="92" t="s">
        <v>66</v>
      </c>
      <c r="AN31" s="92" t="s">
        <v>66</v>
      </c>
      <c r="AO31" s="96" t="s">
        <v>66</v>
      </c>
    </row>
    <row r="32" spans="1:41" ht="15.75" customHeight="1" x14ac:dyDescent="0.25">
      <c r="A32" s="147">
        <f t="shared" si="10"/>
        <v>21</v>
      </c>
      <c r="B32" s="54" t="s">
        <v>122</v>
      </c>
      <c r="C32" s="87">
        <v>0</v>
      </c>
      <c r="E32" s="96"/>
      <c r="F32" s="99" t="s">
        <v>44</v>
      </c>
      <c r="G32" s="99"/>
      <c r="H32" s="99"/>
      <c r="I32" s="124">
        <f>SUM(K32:AL32)</f>
        <v>3807.87</v>
      </c>
      <c r="J32" s="125"/>
      <c r="K32" s="126"/>
      <c r="L32" s="126"/>
      <c r="M32" s="126">
        <v>70</v>
      </c>
      <c r="N32" s="126"/>
      <c r="O32" s="126">
        <v>3260.39</v>
      </c>
      <c r="P32" s="126"/>
      <c r="Q32" s="126">
        <f>299.7+5.89+1.89</f>
        <v>307.47999999999996</v>
      </c>
      <c r="R32" s="126"/>
      <c r="S32" s="126"/>
      <c r="T32" s="126">
        <v>50</v>
      </c>
      <c r="U32" s="126"/>
      <c r="V32" s="126"/>
      <c r="W32" s="126"/>
      <c r="X32" s="126"/>
      <c r="Y32" s="126"/>
      <c r="Z32" s="126">
        <v>50</v>
      </c>
      <c r="AA32" s="126"/>
      <c r="AB32" s="126"/>
      <c r="AC32" s="126"/>
      <c r="AD32" s="126"/>
      <c r="AE32" s="126"/>
      <c r="AF32" s="126"/>
      <c r="AG32" s="126"/>
      <c r="AH32" s="126">
        <v>70</v>
      </c>
      <c r="AI32" s="126"/>
      <c r="AJ32" s="126"/>
      <c r="AK32" s="126"/>
      <c r="AL32" s="126"/>
      <c r="AM32" s="126"/>
      <c r="AN32" s="126"/>
      <c r="AO32" s="96"/>
    </row>
    <row r="33" spans="1:41" ht="15.75" customHeight="1" x14ac:dyDescent="0.25">
      <c r="A33" s="147">
        <f t="shared" si="10"/>
        <v>22</v>
      </c>
      <c r="B33" s="54" t="s">
        <v>36</v>
      </c>
      <c r="C33" s="87">
        <f>BaseDeDados!X22</f>
        <v>0</v>
      </c>
      <c r="E33" s="96"/>
      <c r="F33" s="163"/>
      <c r="G33" s="164"/>
      <c r="H33" s="164"/>
      <c r="I33" s="165"/>
      <c r="J33" s="166"/>
      <c r="K33" s="167"/>
      <c r="L33" s="167"/>
      <c r="M33" s="168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97"/>
    </row>
    <row r="34" spans="1:41" ht="15.75" customHeight="1" x14ac:dyDescent="0.25">
      <c r="A34" s="151">
        <f t="shared" si="10"/>
        <v>23</v>
      </c>
      <c r="B34" s="63" t="s">
        <v>41</v>
      </c>
      <c r="C34" s="98">
        <v>0</v>
      </c>
      <c r="E34" s="96"/>
      <c r="F34" s="110" t="s">
        <v>79</v>
      </c>
      <c r="G34" s="110"/>
      <c r="H34" s="110"/>
      <c r="I34" s="58"/>
      <c r="J34" s="66"/>
      <c r="K34" s="112">
        <f>SUM($K6:K$6)</f>
        <v>-16.62</v>
      </c>
      <c r="L34" s="112">
        <f>SUM($K6:L$6)</f>
        <v>-91.570000000000007</v>
      </c>
      <c r="M34" s="112">
        <f>SUM($K6:M$6)</f>
        <v>-191.3</v>
      </c>
      <c r="N34" s="112">
        <f>SUM($K6:N$6)</f>
        <v>-201.3</v>
      </c>
      <c r="O34" s="112">
        <f>SUM($K6:O$6)</f>
        <v>-249.21</v>
      </c>
      <c r="P34" s="112">
        <f>SUM($K6:P$6)</f>
        <v>-253.21</v>
      </c>
      <c r="Q34" s="112">
        <f>SUM($K6:Q$6)</f>
        <v>-837.89</v>
      </c>
      <c r="R34" s="112">
        <f>SUM($K6:R$6)</f>
        <v>-870.79</v>
      </c>
      <c r="S34" s="112">
        <f>SUM($K6:S$6)</f>
        <v>-943.93999999999994</v>
      </c>
      <c r="T34" s="112">
        <f>SUM($K6:T$6)</f>
        <v>-1018.26</v>
      </c>
      <c r="U34" s="112">
        <f>SUM($K6:U$6)</f>
        <v>-1031.26</v>
      </c>
      <c r="V34" s="112">
        <f>SUM($K6:V$6)</f>
        <v>-1031.26</v>
      </c>
      <c r="W34" s="112">
        <f>SUM($K6:W$6)</f>
        <v>-1060.1500000000001</v>
      </c>
      <c r="X34" s="112">
        <f>SUM($K6:X$6)</f>
        <v>-1062.46</v>
      </c>
      <c r="Y34" s="112">
        <f>SUM($K6:Y$6)</f>
        <v>-1088.8</v>
      </c>
      <c r="Z34" s="112">
        <f>SUM($K6:Z$6)</f>
        <v>-1199.3</v>
      </c>
      <c r="AA34" s="112">
        <f>SUM($K6:AA$6)</f>
        <v>-1249.3</v>
      </c>
      <c r="AB34" s="112">
        <f>SUM($K6:AB$6)</f>
        <v>-1279.69</v>
      </c>
      <c r="AC34" s="112">
        <f>SUM($K6:AC$6)</f>
        <v>-1279.69</v>
      </c>
      <c r="AD34" s="112">
        <f>SUM($K6:AD$6)</f>
        <v>-1307.1000000000001</v>
      </c>
      <c r="AE34" s="112">
        <f>SUM($K6:AE$6)</f>
        <v>-1337.1000000000001</v>
      </c>
      <c r="AF34" s="112">
        <f>SUM($K6:AF$6)</f>
        <v>-1353.5600000000002</v>
      </c>
      <c r="AG34" s="112">
        <f>SUM($K6:AG$6)</f>
        <v>-1405.41</v>
      </c>
      <c r="AH34" s="112">
        <f>SUM($K6:AH$6)</f>
        <v>-1447.39</v>
      </c>
      <c r="AI34" s="112">
        <f>SUM($K6:AI$6)</f>
        <v>-1537.8200000000002</v>
      </c>
      <c r="AJ34" s="112">
        <f>SUM($K6:AJ$6)</f>
        <v>-1544.2200000000003</v>
      </c>
      <c r="AK34" s="112">
        <f>SUM($K6:AK$6)</f>
        <v>-1564.1300000000003</v>
      </c>
      <c r="AL34" s="112">
        <f>SUM($K6:AL$6)</f>
        <v>-1564.1300000000003</v>
      </c>
      <c r="AM34" s="112">
        <f>SUM($K6:AM$6)</f>
        <v>-1620.9300000000003</v>
      </c>
      <c r="AN34" s="112">
        <f>SUM($K6:AN$6)</f>
        <v>-1675.2800000000002</v>
      </c>
      <c r="AO34" s="97"/>
    </row>
    <row r="35" spans="1:41" ht="15.75" customHeight="1" x14ac:dyDescent="0.25">
      <c r="E35" s="96"/>
      <c r="F35" s="99" t="s">
        <v>69</v>
      </c>
      <c r="G35" s="169"/>
      <c r="H35" s="169"/>
      <c r="I35" s="44"/>
      <c r="J35" s="115">
        <f>'Out2019'!AO33</f>
        <v>6502.6100000000097</v>
      </c>
      <c r="K35" s="73">
        <f t="shared" ref="K35:AM35" si="14">J44+K6+K32</f>
        <v>6485.9900000000098</v>
      </c>
      <c r="L35" s="73">
        <f t="shared" si="14"/>
        <v>6411.04000000001</v>
      </c>
      <c r="M35" s="73">
        <f t="shared" si="14"/>
        <v>6381.3100000000104</v>
      </c>
      <c r="N35" s="73">
        <f t="shared" si="14"/>
        <v>6371.3100000000104</v>
      </c>
      <c r="O35" s="73">
        <f t="shared" si="14"/>
        <v>9583.79000000001</v>
      </c>
      <c r="P35" s="73">
        <f t="shared" si="14"/>
        <v>9579.79000000001</v>
      </c>
      <c r="Q35" s="73">
        <f t="shared" si="14"/>
        <v>9302.5900000000092</v>
      </c>
      <c r="R35" s="73">
        <f t="shared" si="14"/>
        <v>9269.6900000000096</v>
      </c>
      <c r="S35" s="73">
        <f t="shared" si="14"/>
        <v>9196.54000000001</v>
      </c>
      <c r="T35" s="73">
        <f t="shared" si="14"/>
        <v>9172.2200000000103</v>
      </c>
      <c r="U35" s="73">
        <f t="shared" si="14"/>
        <v>9159.2200000000103</v>
      </c>
      <c r="V35" s="73">
        <f t="shared" si="14"/>
        <v>9159.2200000000103</v>
      </c>
      <c r="W35" s="73">
        <f t="shared" si="14"/>
        <v>9130.3300000000108</v>
      </c>
      <c r="X35" s="73">
        <f t="shared" si="14"/>
        <v>9128.0200000000114</v>
      </c>
      <c r="Y35" s="73">
        <f t="shared" si="14"/>
        <v>9101.6800000000112</v>
      </c>
      <c r="Z35" s="73">
        <f t="shared" si="14"/>
        <v>9041.1800000000112</v>
      </c>
      <c r="AA35" s="73">
        <f t="shared" si="14"/>
        <v>8991.1800000000112</v>
      </c>
      <c r="AB35" s="73">
        <f t="shared" si="14"/>
        <v>8960.7900000000118</v>
      </c>
      <c r="AC35" s="73">
        <f t="shared" si="14"/>
        <v>8960.7900000000118</v>
      </c>
      <c r="AD35" s="73">
        <f t="shared" si="14"/>
        <v>8933.3800000000119</v>
      </c>
      <c r="AE35" s="73">
        <f t="shared" si="14"/>
        <v>8903.3800000000119</v>
      </c>
      <c r="AF35" s="73">
        <f t="shared" si="14"/>
        <v>8886.9200000000128</v>
      </c>
      <c r="AG35" s="73">
        <f t="shared" si="14"/>
        <v>8835.0700000000124</v>
      </c>
      <c r="AH35" s="73">
        <f t="shared" si="14"/>
        <v>8863.0900000000129</v>
      </c>
      <c r="AI35" s="73">
        <f t="shared" si="14"/>
        <v>8772.6600000000126</v>
      </c>
      <c r="AJ35" s="73">
        <f t="shared" si="14"/>
        <v>8766.260000000013</v>
      </c>
      <c r="AK35" s="73">
        <f t="shared" si="14"/>
        <v>8746.3500000000131</v>
      </c>
      <c r="AL35" s="73">
        <f t="shared" si="14"/>
        <v>8746.3500000000131</v>
      </c>
      <c r="AM35" s="73">
        <f t="shared" si="14"/>
        <v>8689.5500000000138</v>
      </c>
      <c r="AN35" s="73">
        <f>AL44+AN6+AN32</f>
        <v>8692.0000000000127</v>
      </c>
      <c r="AO35" s="97"/>
    </row>
    <row r="36" spans="1:41" ht="15.75" customHeight="1" x14ac:dyDescent="0.25">
      <c r="E36" s="96"/>
      <c r="F36" s="83" t="s">
        <v>61</v>
      </c>
      <c r="G36" s="83"/>
      <c r="H36" s="83"/>
      <c r="I36" s="12"/>
      <c r="J36" s="12"/>
      <c r="K36" s="7">
        <v>48</v>
      </c>
      <c r="O36" s="7">
        <f>36-91.29</f>
        <v>-55.290000000000006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>
        <v>45</v>
      </c>
      <c r="AF36" s="1"/>
      <c r="AG36" s="1"/>
      <c r="AH36" s="1"/>
      <c r="AI36" s="1"/>
      <c r="AJ36" s="1"/>
      <c r="AK36" s="1"/>
      <c r="AL36" s="1"/>
      <c r="AM36" s="1"/>
      <c r="AN36" s="1">
        <v>12</v>
      </c>
      <c r="AO36" s="97"/>
    </row>
    <row r="37" spans="1:41" ht="15.75" customHeight="1" x14ac:dyDescent="0.25">
      <c r="E37" s="96"/>
      <c r="F37" s="83" t="s">
        <v>134</v>
      </c>
      <c r="G37" s="83"/>
      <c r="H37" s="83"/>
      <c r="I37" s="12"/>
      <c r="J37" s="12"/>
      <c r="K37" s="54">
        <f>-455.9*(9/10)</f>
        <v>-410.31</v>
      </c>
      <c r="O37" s="7">
        <f>-410.31+45.59</f>
        <v>-364.72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>
        <f>O37</f>
        <v>-364.72</v>
      </c>
      <c r="AF37" s="1"/>
      <c r="AG37" s="1"/>
      <c r="AH37" s="1"/>
      <c r="AI37" s="1"/>
      <c r="AJ37" s="1"/>
      <c r="AK37" s="1"/>
      <c r="AL37" s="1"/>
      <c r="AM37" s="1"/>
      <c r="AN37" s="1">
        <f>AE37</f>
        <v>-364.72</v>
      </c>
      <c r="AO37" s="97"/>
    </row>
    <row r="38" spans="1:41" ht="15.75" customHeight="1" x14ac:dyDescent="0.25">
      <c r="E38" s="96"/>
      <c r="F38" s="83" t="s">
        <v>70</v>
      </c>
      <c r="G38" s="83"/>
      <c r="H38" s="83"/>
      <c r="I38" s="12"/>
      <c r="J38" s="12"/>
      <c r="K38" s="185">
        <f>-(802.67)</f>
        <v>-802.67</v>
      </c>
      <c r="O38" s="7">
        <f>-163.73</f>
        <v>-163.72999999999999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>
        <v>-579.84</v>
      </c>
      <c r="AF38" s="1"/>
      <c r="AG38" s="1"/>
      <c r="AH38" s="1"/>
      <c r="AI38" s="1"/>
      <c r="AJ38" s="1"/>
      <c r="AK38" s="1"/>
      <c r="AL38" s="1"/>
      <c r="AM38" s="1"/>
      <c r="AN38" s="1">
        <f>-686.05-107.59</f>
        <v>-793.64</v>
      </c>
      <c r="AO38" s="97"/>
    </row>
    <row r="39" spans="1:41" ht="15.75" customHeight="1" x14ac:dyDescent="0.25">
      <c r="E39" s="96"/>
      <c r="F39" s="83" t="s">
        <v>137</v>
      </c>
      <c r="G39" s="83"/>
      <c r="H39" s="83"/>
      <c r="I39" s="12"/>
      <c r="J39" s="12"/>
      <c r="K39" s="7">
        <v>71.72</v>
      </c>
      <c r="O39" s="7">
        <v>171.72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>
        <v>71.72</v>
      </c>
      <c r="AF39" s="1"/>
      <c r="AG39" s="1"/>
      <c r="AH39" s="1"/>
      <c r="AI39" s="1"/>
      <c r="AJ39" s="1"/>
      <c r="AK39" s="1"/>
      <c r="AL39" s="1"/>
      <c r="AM39" s="1"/>
      <c r="AN39" s="1">
        <v>71.72</v>
      </c>
      <c r="AO39" s="97"/>
    </row>
    <row r="40" spans="1:41" ht="15.75" customHeight="1" x14ac:dyDescent="0.25">
      <c r="E40" s="96"/>
      <c r="F40" s="83" t="s">
        <v>138</v>
      </c>
      <c r="G40" s="83"/>
      <c r="H40" s="83"/>
      <c r="I40" s="12"/>
      <c r="J40" s="12"/>
      <c r="K40" s="7">
        <v>0</v>
      </c>
      <c r="O40" s="7">
        <v>450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>
        <v>188.71</v>
      </c>
      <c r="AF40" s="1"/>
      <c r="AG40" s="1"/>
      <c r="AH40" s="1"/>
      <c r="AI40" s="1"/>
      <c r="AJ40" s="1"/>
      <c r="AK40" s="1"/>
      <c r="AL40" s="1"/>
      <c r="AM40" s="1"/>
      <c r="AN40" s="1">
        <v>171.75</v>
      </c>
      <c r="AO40" s="97"/>
    </row>
    <row r="41" spans="1:41" ht="15.75" customHeight="1" x14ac:dyDescent="0.25">
      <c r="E41" s="96"/>
      <c r="F41" s="83" t="s">
        <v>95</v>
      </c>
      <c r="G41" s="83"/>
      <c r="H41" s="83"/>
      <c r="I41" s="12"/>
      <c r="J41" s="12"/>
      <c r="K41" s="1">
        <f>8753.54+267</f>
        <v>9020.5400000000009</v>
      </c>
      <c r="O41" s="7">
        <f>8756.82+249.05+1457.72+550</f>
        <v>11013.589999999998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43"/>
      <c r="AE41" s="1">
        <f>401.98+10472.91</f>
        <v>10874.89</v>
      </c>
      <c r="AF41" s="1"/>
      <c r="AG41" s="1"/>
      <c r="AH41" s="1"/>
      <c r="AI41" s="1"/>
      <c r="AJ41" s="1"/>
      <c r="AK41" s="1"/>
      <c r="AL41" s="1"/>
      <c r="AM41" s="1"/>
      <c r="AN41" s="1">
        <f>10484.34+448.46+500</f>
        <v>11432.8</v>
      </c>
      <c r="AO41" s="97"/>
    </row>
    <row r="42" spans="1:41" ht="15.75" customHeight="1" x14ac:dyDescent="0.25">
      <c r="E42" s="96"/>
      <c r="F42" s="83" t="s">
        <v>73</v>
      </c>
      <c r="G42" s="83"/>
      <c r="H42" s="83"/>
      <c r="I42" s="12"/>
      <c r="J42" s="12"/>
      <c r="K42" s="7">
        <v>1864</v>
      </c>
      <c r="O42" s="7">
        <v>1864</v>
      </c>
      <c r="R42" s="1"/>
      <c r="S42" s="1"/>
      <c r="T42" s="134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>
        <v>1864</v>
      </c>
      <c r="AF42" s="1"/>
      <c r="AG42" s="1"/>
      <c r="AH42" s="1"/>
      <c r="AI42" s="1"/>
      <c r="AJ42" s="1"/>
      <c r="AK42" s="1"/>
      <c r="AL42" s="1"/>
      <c r="AM42" s="1"/>
      <c r="AN42" s="1">
        <v>1864</v>
      </c>
      <c r="AO42" s="97"/>
    </row>
    <row r="43" spans="1:41" ht="15.75" customHeight="1" x14ac:dyDescent="0.25">
      <c r="E43" s="96"/>
      <c r="F43" s="83" t="s">
        <v>119</v>
      </c>
      <c r="G43" s="83"/>
      <c r="H43" s="83"/>
      <c r="I43" s="12"/>
      <c r="J43" s="12"/>
      <c r="K43" s="7">
        <v>50</v>
      </c>
      <c r="O43" s="7">
        <v>50</v>
      </c>
      <c r="R43" s="1"/>
      <c r="S43" s="1"/>
      <c r="T43" s="134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>
        <v>50</v>
      </c>
      <c r="AF43" s="1"/>
      <c r="AG43" s="1"/>
      <c r="AH43" s="1"/>
      <c r="AI43" s="1"/>
      <c r="AJ43" s="1"/>
      <c r="AK43" s="1"/>
      <c r="AL43" s="1"/>
      <c r="AM43" s="1"/>
      <c r="AN43" s="1">
        <v>0</v>
      </c>
      <c r="AO43" s="97"/>
    </row>
    <row r="44" spans="1:41" ht="15.75" customHeight="1" x14ac:dyDescent="0.25">
      <c r="E44" s="96"/>
      <c r="F44" s="86" t="s">
        <v>80</v>
      </c>
      <c r="G44" s="86"/>
      <c r="H44" s="86"/>
      <c r="I44" s="12"/>
      <c r="J44" s="50">
        <f t="shared" ref="J44:AN44" si="15">J35</f>
        <v>6502.6100000000097</v>
      </c>
      <c r="K44" s="50">
        <f t="shared" si="15"/>
        <v>6485.9900000000098</v>
      </c>
      <c r="L44" s="50">
        <f t="shared" si="15"/>
        <v>6411.04000000001</v>
      </c>
      <c r="M44" s="50">
        <f t="shared" si="15"/>
        <v>6381.3100000000104</v>
      </c>
      <c r="N44" s="50">
        <f t="shared" si="15"/>
        <v>6371.3100000000104</v>
      </c>
      <c r="O44" s="50">
        <f t="shared" si="15"/>
        <v>9583.79000000001</v>
      </c>
      <c r="P44" s="50">
        <f t="shared" si="15"/>
        <v>9579.79000000001</v>
      </c>
      <c r="Q44" s="50">
        <f t="shared" si="15"/>
        <v>9302.5900000000092</v>
      </c>
      <c r="R44" s="50">
        <f t="shared" si="15"/>
        <v>9269.6900000000096</v>
      </c>
      <c r="S44" s="50">
        <f t="shared" si="15"/>
        <v>9196.54000000001</v>
      </c>
      <c r="T44" s="50">
        <f t="shared" si="15"/>
        <v>9172.2200000000103</v>
      </c>
      <c r="U44" s="50">
        <f t="shared" si="15"/>
        <v>9159.2200000000103</v>
      </c>
      <c r="V44" s="50">
        <f t="shared" si="15"/>
        <v>9159.2200000000103</v>
      </c>
      <c r="W44" s="50">
        <f t="shared" si="15"/>
        <v>9130.3300000000108</v>
      </c>
      <c r="X44" s="50">
        <f t="shared" si="15"/>
        <v>9128.0200000000114</v>
      </c>
      <c r="Y44" s="50">
        <f t="shared" si="15"/>
        <v>9101.6800000000112</v>
      </c>
      <c r="Z44" s="50">
        <f t="shared" si="15"/>
        <v>9041.1800000000112</v>
      </c>
      <c r="AA44" s="50">
        <f t="shared" si="15"/>
        <v>8991.1800000000112</v>
      </c>
      <c r="AB44" s="50">
        <f t="shared" si="15"/>
        <v>8960.7900000000118</v>
      </c>
      <c r="AC44" s="50">
        <f t="shared" si="15"/>
        <v>8960.7900000000118</v>
      </c>
      <c r="AD44" s="50">
        <f t="shared" si="15"/>
        <v>8933.3800000000119</v>
      </c>
      <c r="AE44" s="50">
        <f t="shared" si="15"/>
        <v>8903.3800000000119</v>
      </c>
      <c r="AF44" s="50">
        <f t="shared" si="15"/>
        <v>8886.9200000000128</v>
      </c>
      <c r="AG44" s="170">
        <f t="shared" si="15"/>
        <v>8835.0700000000124</v>
      </c>
      <c r="AH44" s="50">
        <f t="shared" si="15"/>
        <v>8863.0900000000129</v>
      </c>
      <c r="AI44" s="50">
        <f t="shared" si="15"/>
        <v>8772.6600000000126</v>
      </c>
      <c r="AJ44" s="50">
        <f t="shared" si="15"/>
        <v>8766.260000000013</v>
      </c>
      <c r="AK44" s="50">
        <f t="shared" si="15"/>
        <v>8746.3500000000131</v>
      </c>
      <c r="AL44" s="50">
        <f t="shared" si="15"/>
        <v>8746.3500000000131</v>
      </c>
      <c r="AM44" s="50">
        <f t="shared" si="15"/>
        <v>8689.5500000000138</v>
      </c>
      <c r="AN44" s="50">
        <f t="shared" si="15"/>
        <v>8692.0000000000127</v>
      </c>
      <c r="AO44" s="97"/>
    </row>
    <row r="45" spans="1:41" ht="15.75" customHeight="1" x14ac:dyDescent="0.25">
      <c r="E45" s="96"/>
      <c r="F45" s="117" t="s">
        <v>74</v>
      </c>
      <c r="G45" s="117"/>
      <c r="H45" s="117"/>
      <c r="I45" s="70"/>
      <c r="J45" s="70"/>
      <c r="K45" s="138">
        <f>SUM(K36:K43)</f>
        <v>9841.2800000000007</v>
      </c>
      <c r="L45" s="138"/>
      <c r="M45" s="138"/>
      <c r="N45" s="138"/>
      <c r="O45" s="138">
        <f>SUM(O36:O43)</f>
        <v>12965.569999999998</v>
      </c>
      <c r="P45" s="138"/>
      <c r="Q45" s="138"/>
      <c r="R45" s="69"/>
      <c r="S45" s="69"/>
      <c r="T45" s="69"/>
      <c r="U45" s="69"/>
      <c r="V45" s="71"/>
      <c r="W45" s="71"/>
      <c r="X45" s="71"/>
      <c r="Y45" s="71"/>
      <c r="Z45" s="71"/>
      <c r="AA45" s="69"/>
      <c r="AB45" s="71"/>
      <c r="AC45" s="71"/>
      <c r="AD45" s="71"/>
      <c r="AE45" s="71">
        <f>SUM(AE36:AE43)</f>
        <v>12149.76</v>
      </c>
      <c r="AF45" s="71"/>
      <c r="AG45" s="1"/>
      <c r="AH45" s="71"/>
      <c r="AI45" s="71"/>
      <c r="AJ45" s="71"/>
      <c r="AK45" s="71"/>
      <c r="AL45" s="71"/>
      <c r="AM45" s="71"/>
      <c r="AN45" s="71">
        <f>SUM(AN36:AN43)</f>
        <v>12393.91</v>
      </c>
      <c r="AO45" s="97"/>
    </row>
    <row r="46" spans="1:41" ht="15.75" customHeight="1" x14ac:dyDescent="0.25">
      <c r="E46" s="96"/>
      <c r="F46" s="97"/>
      <c r="G46" s="97"/>
      <c r="H46" s="97"/>
      <c r="I46" s="127"/>
      <c r="J46" s="12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6"/>
    </row>
    <row r="47" spans="1:41" ht="9" customHeight="1" x14ac:dyDescent="0.25"/>
    <row r="48" spans="1:41" ht="15.75" customHeight="1" x14ac:dyDescent="0.25">
      <c r="B48" s="157" t="s">
        <v>124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2" ht="15.75" customHeight="1" x14ac:dyDescent="0.25">
      <c r="A49" s="5"/>
      <c r="B49" s="5"/>
      <c r="F49" s="1"/>
      <c r="G49" s="1"/>
      <c r="H49" s="1"/>
      <c r="I49" s="1"/>
      <c r="J49" s="1"/>
      <c r="Q49" s="5"/>
      <c r="R49" s="5"/>
      <c r="S49" s="5"/>
      <c r="T49" s="128"/>
      <c r="U49" s="5"/>
      <c r="V49" s="5"/>
      <c r="W49" s="5"/>
      <c r="X49" s="128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 t="s">
        <v>190</v>
      </c>
      <c r="AM49" s="242">
        <f>AN45</f>
        <v>12393.91</v>
      </c>
      <c r="AN49" s="5"/>
    </row>
    <row r="50" spans="1:42" ht="15.75" customHeight="1" x14ac:dyDescent="0.25">
      <c r="A50" s="8">
        <v>1</v>
      </c>
      <c r="B50" s="171" t="s">
        <v>125</v>
      </c>
      <c r="F50" s="1"/>
      <c r="G50" s="1"/>
      <c r="H50" s="1"/>
      <c r="I50" s="1"/>
      <c r="J50" s="1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s">
        <v>191</v>
      </c>
      <c r="AM50" s="243">
        <f>'Dez2019'!I33</f>
        <v>3673.39</v>
      </c>
      <c r="AN50" s="5"/>
    </row>
    <row r="51" spans="1:42" ht="15.75" customHeight="1" x14ac:dyDescent="0.25">
      <c r="A51" s="119">
        <v>2</v>
      </c>
      <c r="B51" s="171" t="s">
        <v>126</v>
      </c>
      <c r="F51" s="1"/>
      <c r="G51" s="1"/>
      <c r="H51" s="1"/>
      <c r="I51" s="1"/>
      <c r="J51" s="1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 t="s">
        <v>192</v>
      </c>
      <c r="AM51">
        <f>'Dez2019'!C10</f>
        <v>-1851.8899999999999</v>
      </c>
      <c r="AN51" s="8"/>
      <c r="AP51" s="128"/>
    </row>
    <row r="52" spans="1:42" ht="15.75" customHeight="1" x14ac:dyDescent="0.25">
      <c r="F52" s="1"/>
      <c r="G52" s="1"/>
      <c r="H52" s="1"/>
      <c r="I52" s="1"/>
      <c r="J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>
        <f>SUM(AM49:AM51)</f>
        <v>14215.41</v>
      </c>
      <c r="AN52" s="119"/>
    </row>
    <row r="53" spans="1:42" ht="15.75" customHeight="1" x14ac:dyDescent="0.25">
      <c r="F53" s="1"/>
      <c r="G53" s="1"/>
      <c r="H53" s="1"/>
      <c r="I53" s="1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 t="s">
        <v>193</v>
      </c>
      <c r="AL53" s="119"/>
      <c r="AM53" s="119">
        <v>-3000</v>
      </c>
      <c r="AN53" s="244">
        <f>AM53/AM52</f>
        <v>-0.21103858418434643</v>
      </c>
    </row>
    <row r="54" spans="1:42" ht="15.75" customHeight="1" x14ac:dyDescent="0.25">
      <c r="I54" s="15"/>
      <c r="J54" s="1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31">
        <f>SUM(AM52:AM53)</f>
        <v>11215.41</v>
      </c>
      <c r="AN54" s="1"/>
    </row>
    <row r="55" spans="1:42" ht="15.75" customHeight="1" x14ac:dyDescent="0.25">
      <c r="O55" s="1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</row>
    <row r="56" spans="1:42" ht="15.75" customHeight="1" x14ac:dyDescent="0.25"/>
    <row r="57" spans="1:42" ht="15.75" customHeight="1" x14ac:dyDescent="0.25"/>
    <row r="58" spans="1:42" ht="15.75" customHeight="1" x14ac:dyDescent="0.25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2" ht="15.75" customHeight="1" x14ac:dyDescent="0.2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2" ht="15.75" customHeight="1" x14ac:dyDescent="0.2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2" ht="15.75" customHeight="1" x14ac:dyDescent="0.25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2" ht="15.75" customHeight="1" x14ac:dyDescent="0.25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2" ht="15.75" customHeight="1" x14ac:dyDescent="0.25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2" ht="15.75" customHeight="1" x14ac:dyDescent="0.25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6:40" ht="15.75" customHeight="1" x14ac:dyDescent="0.25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6:40" ht="15.75" customHeight="1" x14ac:dyDescent="0.25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6:40" ht="15.75" customHeight="1" x14ac:dyDescent="0.2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6:40" ht="15.75" customHeight="1" x14ac:dyDescent="0.25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6:40" ht="15.75" customHeight="1" x14ac:dyDescent="0.25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6:40" ht="15.75" customHeight="1" x14ac:dyDescent="0.2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6:40" ht="15.75" customHeight="1" x14ac:dyDescent="0.2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6:40" ht="15.75" customHeight="1" x14ac:dyDescent="0.25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6:40" ht="15.75" customHeight="1" x14ac:dyDescent="0.25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6:40" ht="15.75" customHeight="1" x14ac:dyDescent="0.2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6:40" ht="15.75" customHeight="1" x14ac:dyDescent="0.2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6:40" ht="15.75" customHeight="1" x14ac:dyDescent="0.25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6:40" ht="15.75" customHeight="1" x14ac:dyDescent="0.25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6:40" ht="15.75" customHeight="1" x14ac:dyDescent="0.25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6:40" ht="15.75" customHeight="1" x14ac:dyDescent="0.25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6:40" ht="15.75" customHeight="1" x14ac:dyDescent="0.25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6:40" ht="15.75" customHeight="1" x14ac:dyDescent="0.25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6:40" ht="15.75" customHeight="1" x14ac:dyDescent="0.25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6:40" ht="15.75" customHeight="1" x14ac:dyDescent="0.25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6:40" ht="15.75" customHeight="1" x14ac:dyDescent="0.25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6:40" ht="15.75" customHeight="1" x14ac:dyDescent="0.25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6:40" ht="15.75" customHeight="1" x14ac:dyDescent="0.25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6:40" ht="15.75" customHeight="1" x14ac:dyDescent="0.25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6:40" ht="15.75" customHeight="1" x14ac:dyDescent="0.25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6:40" ht="15.75" customHeight="1" x14ac:dyDescent="0.25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6:40" ht="15.75" customHeight="1" x14ac:dyDescent="0.25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6:40" ht="15.75" customHeight="1" x14ac:dyDescent="0.2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6:40" ht="15.75" customHeight="1" x14ac:dyDescent="0.25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6:40" ht="15.75" customHeight="1" x14ac:dyDescent="0.25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6:40" ht="15.75" customHeight="1" x14ac:dyDescent="0.25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6:40" ht="15.75" customHeight="1" x14ac:dyDescent="0.25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6:40" ht="15.75" customHeight="1" x14ac:dyDescent="0.25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6:40" ht="15.75" customHeight="1" x14ac:dyDescent="0.25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6:40" ht="15.75" customHeight="1" x14ac:dyDescent="0.25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6:40" ht="15.75" customHeight="1" x14ac:dyDescent="0.25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6:40" ht="15.75" customHeight="1" x14ac:dyDescent="0.25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6:40" ht="15.75" customHeight="1" x14ac:dyDescent="0.25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6:40" ht="15.75" customHeight="1" x14ac:dyDescent="0.25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6:40" ht="15.75" customHeight="1" x14ac:dyDescent="0.25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6:40" ht="15.75" customHeight="1" x14ac:dyDescent="0.25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6:40" ht="15.75" customHeight="1" x14ac:dyDescent="0.25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6:40" ht="15.75" customHeight="1" x14ac:dyDescent="0.25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6:40" ht="15.75" customHeight="1" x14ac:dyDescent="0.25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6:40" ht="15.75" customHeight="1" x14ac:dyDescent="0.25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6:40" ht="15.75" customHeight="1" x14ac:dyDescent="0.25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6:40" ht="15.75" customHeight="1" x14ac:dyDescent="0.25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6:40" ht="15.75" customHeight="1" x14ac:dyDescent="0.25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6:40" ht="15.75" customHeight="1" x14ac:dyDescent="0.25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6:40" ht="15.75" customHeight="1" x14ac:dyDescent="0.25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6:40" ht="15.75" customHeight="1" x14ac:dyDescent="0.25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6:40" ht="15.75" customHeight="1" x14ac:dyDescent="0.25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6:40" ht="15.75" customHeight="1" x14ac:dyDescent="0.25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6:40" ht="15.75" customHeight="1" x14ac:dyDescent="0.25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6:40" ht="15.75" customHeight="1" x14ac:dyDescent="0.25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6:40" ht="15.75" customHeight="1" x14ac:dyDescent="0.25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6:40" ht="15.75" customHeight="1" x14ac:dyDescent="0.25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6:40" ht="15.75" customHeight="1" x14ac:dyDescent="0.25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6:40" ht="15.75" customHeight="1" x14ac:dyDescent="0.25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6:40" ht="15.75" customHeight="1" x14ac:dyDescent="0.25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6:40" ht="15.75" customHeight="1" x14ac:dyDescent="0.25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6:40" ht="15.75" customHeight="1" x14ac:dyDescent="0.25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6:40" ht="15.75" customHeight="1" x14ac:dyDescent="0.25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6:40" ht="15.75" customHeight="1" x14ac:dyDescent="0.25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6:40" ht="15.75" customHeight="1" x14ac:dyDescent="0.25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6:40" ht="15.75" customHeight="1" x14ac:dyDescent="0.25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6:40" ht="15.75" customHeight="1" x14ac:dyDescent="0.25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6:40" ht="15.75" customHeight="1" x14ac:dyDescent="0.25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6:40" ht="15.75" customHeight="1" x14ac:dyDescent="0.25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6:40" ht="15.75" customHeight="1" x14ac:dyDescent="0.25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6:40" ht="15.75" customHeight="1" x14ac:dyDescent="0.25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6:40" ht="15.75" customHeight="1" x14ac:dyDescent="0.25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6:40" ht="15.75" customHeight="1" x14ac:dyDescent="0.25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6:40" ht="15.75" customHeight="1" x14ac:dyDescent="0.25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6:40" ht="15.75" customHeight="1" x14ac:dyDescent="0.25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6:40" ht="15.75" customHeight="1" x14ac:dyDescent="0.25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6:40" ht="15.75" customHeight="1" x14ac:dyDescent="0.25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6:40" ht="15.75" customHeight="1" x14ac:dyDescent="0.25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6:40" ht="15.75" customHeight="1" x14ac:dyDescent="0.25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6:40" ht="15.75" customHeight="1" x14ac:dyDescent="0.25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6:40" ht="15.75" customHeight="1" x14ac:dyDescent="0.25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6:40" ht="15.75" customHeight="1" x14ac:dyDescent="0.25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6:40" ht="15.75" customHeight="1" x14ac:dyDescent="0.25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6:40" ht="15.75" customHeight="1" x14ac:dyDescent="0.25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6:40" ht="15.75" customHeight="1" x14ac:dyDescent="0.25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6:40" ht="15.75" customHeight="1" x14ac:dyDescent="0.25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6:40" ht="15.75" customHeight="1" x14ac:dyDescent="0.25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6:40" ht="15.75" customHeight="1" x14ac:dyDescent="0.25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6:40" ht="15.75" customHeight="1" x14ac:dyDescent="0.25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6:40" ht="15.75" customHeight="1" x14ac:dyDescent="0.25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6:40" ht="15.75" customHeight="1" x14ac:dyDescent="0.25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6:40" ht="15.75" customHeight="1" x14ac:dyDescent="0.25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6:40" ht="15.75" customHeight="1" x14ac:dyDescent="0.25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6:40" ht="15.75" customHeight="1" x14ac:dyDescent="0.25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6:40" ht="15.75" customHeight="1" x14ac:dyDescent="0.25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6:40" ht="15.75" customHeight="1" x14ac:dyDescent="0.25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6:40" ht="15.75" customHeight="1" x14ac:dyDescent="0.25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6:40" ht="15.75" customHeight="1" x14ac:dyDescent="0.25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6:40" ht="15.75" customHeight="1" x14ac:dyDescent="0.25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6:40" ht="15.75" customHeight="1" x14ac:dyDescent="0.25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6:40" ht="15.75" customHeight="1" x14ac:dyDescent="0.25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6:40" ht="15.75" customHeight="1" x14ac:dyDescent="0.25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6:40" ht="15.75" customHeight="1" x14ac:dyDescent="0.25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6:40" ht="15.75" customHeight="1" x14ac:dyDescent="0.25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6:40" ht="15.75" customHeight="1" x14ac:dyDescent="0.25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6:40" ht="15.75" customHeight="1" x14ac:dyDescent="0.25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6:40" ht="15.75" customHeight="1" x14ac:dyDescent="0.25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6:40" ht="15.75" customHeight="1" x14ac:dyDescent="0.25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6:40" ht="15.75" customHeight="1" x14ac:dyDescent="0.25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6:40" ht="15.75" customHeight="1" x14ac:dyDescent="0.25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6:40" ht="15.75" customHeight="1" x14ac:dyDescent="0.25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6:40" ht="15.75" customHeight="1" x14ac:dyDescent="0.25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6:40" ht="15.75" customHeight="1" x14ac:dyDescent="0.25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6:40" ht="15.75" customHeight="1" x14ac:dyDescent="0.25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6:40" ht="15.75" customHeight="1" x14ac:dyDescent="0.25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6:40" ht="15.75" customHeight="1" x14ac:dyDescent="0.25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6:40" ht="15.75" customHeight="1" x14ac:dyDescent="0.25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6:40" ht="15.75" customHeight="1" x14ac:dyDescent="0.25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6:40" ht="15.75" customHeight="1" x14ac:dyDescent="0.25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6:40" ht="15.75" customHeight="1" x14ac:dyDescent="0.25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6:40" ht="15.75" customHeight="1" x14ac:dyDescent="0.25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6:40" ht="15.75" customHeight="1" x14ac:dyDescent="0.25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6:40" ht="15.75" customHeight="1" x14ac:dyDescent="0.25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6:40" ht="15.75" customHeight="1" x14ac:dyDescent="0.25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6:40" ht="15.75" customHeight="1" x14ac:dyDescent="0.25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6:40" ht="15.75" customHeight="1" x14ac:dyDescent="0.25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6:40" ht="15.75" customHeight="1" x14ac:dyDescent="0.25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6:40" ht="15.75" customHeight="1" x14ac:dyDescent="0.25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6:40" ht="15.75" customHeight="1" x14ac:dyDescent="0.2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6:40" ht="15.75" customHeight="1" x14ac:dyDescent="0.25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6:40" ht="15.75" customHeight="1" x14ac:dyDescent="0.25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6:40" ht="15.75" customHeight="1" x14ac:dyDescent="0.25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6:40" ht="15.75" customHeight="1" x14ac:dyDescent="0.25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6:40" ht="15.75" customHeight="1" x14ac:dyDescent="0.2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6:40" ht="15.75" customHeight="1" x14ac:dyDescent="0.25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6:40" ht="15.75" customHeight="1" x14ac:dyDescent="0.25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6:40" ht="15.75" customHeight="1" x14ac:dyDescent="0.25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6:40" ht="15.75" customHeight="1" x14ac:dyDescent="0.25"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6:40" ht="15.75" customHeight="1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6:40" ht="15.75" customHeight="1" x14ac:dyDescent="0.25"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6:40" ht="15.75" customHeight="1" x14ac:dyDescent="0.25"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6:40" ht="15.75" customHeight="1" x14ac:dyDescent="0.25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6:40" ht="15.75" customHeight="1" x14ac:dyDescent="0.25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6:40" ht="15.75" customHeight="1" x14ac:dyDescent="0.25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6:40" ht="15.75" customHeight="1" x14ac:dyDescent="0.25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6:40" ht="15.75" customHeight="1" x14ac:dyDescent="0.25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6:40" ht="15.75" customHeight="1" x14ac:dyDescent="0.25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6:40" ht="15.75" customHeight="1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6:40" ht="15.75" customHeight="1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6:40" ht="15.75" customHeight="1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6:40" ht="15.75" customHeight="1" x14ac:dyDescent="0.25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6:40" ht="15.75" customHeight="1" x14ac:dyDescent="0.25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6:40" ht="15.75" customHeight="1" x14ac:dyDescent="0.2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6:40" ht="15.75" customHeight="1" x14ac:dyDescent="0.2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6:40" ht="15.75" customHeight="1" x14ac:dyDescent="0.2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6:40" ht="15.75" customHeight="1" x14ac:dyDescent="0.25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6:40" ht="15.75" customHeight="1" x14ac:dyDescent="0.25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6:40" ht="15.75" customHeight="1" x14ac:dyDescent="0.25"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6:40" ht="15.75" customHeight="1" x14ac:dyDescent="0.25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6:40" ht="15.75" customHeight="1" x14ac:dyDescent="0.25"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6:40" ht="15.75" customHeight="1" x14ac:dyDescent="0.25"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6:40" ht="15.75" customHeight="1" x14ac:dyDescent="0.25"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6:40" ht="15.75" customHeight="1" x14ac:dyDescent="0.25"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6:40" ht="15.75" customHeight="1" x14ac:dyDescent="0.25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6:40" ht="15.75" customHeight="1" x14ac:dyDescent="0.25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6:40" ht="15.75" customHeight="1" x14ac:dyDescent="0.25"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6:40" ht="15.75" customHeight="1" x14ac:dyDescent="0.25"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6:40" ht="15.75" customHeight="1" x14ac:dyDescent="0.25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6:40" ht="15.75" customHeight="1" x14ac:dyDescent="0.25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6:40" ht="15.75" customHeight="1" x14ac:dyDescent="0.25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6:40" ht="15.75" customHeight="1" x14ac:dyDescent="0.25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6:40" ht="15.75" customHeight="1" x14ac:dyDescent="0.25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6:40" ht="15.75" customHeight="1" x14ac:dyDescent="0.25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6:40" ht="15.75" customHeight="1" x14ac:dyDescent="0.25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6:40" ht="15.75" customHeight="1" x14ac:dyDescent="0.25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6:40" ht="15.75" customHeight="1" x14ac:dyDescent="0.25"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6:40" ht="15.75" customHeight="1" x14ac:dyDescent="0.25"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6:40" ht="15.75" customHeight="1" x14ac:dyDescent="0.25"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6:40" ht="15.75" customHeight="1" x14ac:dyDescent="0.25"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6:40" ht="15.75" customHeight="1" x14ac:dyDescent="0.25"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6:40" ht="15.75" customHeight="1" x14ac:dyDescent="0.25"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6:40" ht="15.75" customHeight="1" x14ac:dyDescent="0.25"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6:40" ht="15.75" customHeight="1" x14ac:dyDescent="0.25"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6:40" ht="15.75" customHeight="1" x14ac:dyDescent="0.25"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6:40" ht="15.75" customHeight="1" x14ac:dyDescent="0.25"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6:40" ht="15.75" customHeight="1" x14ac:dyDescent="0.25"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6:40" ht="15.75" customHeight="1" x14ac:dyDescent="0.25"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6:40" ht="15.75" customHeight="1" x14ac:dyDescent="0.25"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6:40" ht="15.75" customHeight="1" x14ac:dyDescent="0.25"/>
    <row r="253" spans="6:40" ht="15.75" customHeight="1" x14ac:dyDescent="0.25"/>
    <row r="254" spans="6:40" ht="15.75" customHeight="1" x14ac:dyDescent="0.25"/>
    <row r="255" spans="6:40" ht="15.75" customHeight="1" x14ac:dyDescent="0.25"/>
    <row r="256" spans="6:4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B2:C2"/>
  </mergeCells>
  <conditionalFormatting sqref="D4 C5 H8:H30">
    <cfRule type="cellIs" dxfId="100" priority="4" operator="lessThan">
      <formula>0</formula>
    </cfRule>
  </conditionalFormatting>
  <conditionalFormatting sqref="D4 C5 H8:H30">
    <cfRule type="cellIs" dxfId="99" priority="5" operator="greaterThan">
      <formula>0</formula>
    </cfRule>
  </conditionalFormatting>
  <conditionalFormatting sqref="D4 C5">
    <cfRule type="cellIs" dxfId="98" priority="6" operator="lessThan">
      <formula>0</formula>
    </cfRule>
  </conditionalFormatting>
  <conditionalFormatting sqref="H8:H30">
    <cfRule type="cellIs" dxfId="97" priority="7" operator="equal">
      <formula>0</formula>
    </cfRule>
  </conditionalFormatting>
  <conditionalFormatting sqref="D9">
    <cfRule type="cellIs" dxfId="96" priority="10" operator="lessThan">
      <formula>0</formula>
    </cfRule>
  </conditionalFormatting>
  <conditionalFormatting sqref="I4">
    <cfRule type="cellIs" dxfId="95" priority="11" operator="lessThan">
      <formula>0</formula>
    </cfRule>
  </conditionalFormatting>
  <conditionalFormatting sqref="I4">
    <cfRule type="cellIs" dxfId="94" priority="12" operator="greaterThan">
      <formula>0</formula>
    </cfRule>
  </conditionalFormatting>
  <conditionalFormatting sqref="I4">
    <cfRule type="cellIs" dxfId="93" priority="13" operator="lessThan">
      <formula>0</formula>
    </cfRule>
  </conditionalFormatting>
  <conditionalFormatting sqref="C7">
    <cfRule type="cellIs" dxfId="92" priority="14" operator="lessThan">
      <formula>0</formula>
    </cfRule>
  </conditionalFormatting>
  <conditionalFormatting sqref="C8">
    <cfRule type="cellIs" dxfId="91" priority="15" operator="lessThan">
      <formula>0</formula>
    </cfRule>
  </conditionalFormatting>
  <conditionalFormatting sqref="C8">
    <cfRule type="cellIs" dxfId="90" priority="16" operator="greaterThan">
      <formula>0</formula>
    </cfRule>
  </conditionalFormatting>
  <conditionalFormatting sqref="C8">
    <cfRule type="cellIs" dxfId="89" priority="17" operator="lessThan">
      <formula>0</formula>
    </cfRule>
  </conditionalFormatting>
  <conditionalFormatting sqref="H7">
    <cfRule type="cellIs" dxfId="88" priority="18" operator="equal">
      <formula>0</formula>
    </cfRule>
  </conditionalFormatting>
  <conditionalFormatting sqref="H7">
    <cfRule type="cellIs" dxfId="87" priority="19" operator="lessThan">
      <formula>0</formula>
    </cfRule>
  </conditionalFormatting>
  <conditionalFormatting sqref="H7">
    <cfRule type="cellIs" dxfId="86" priority="20" operator="greaterThan">
      <formula>0</formula>
    </cfRule>
  </conditionalFormatting>
  <conditionalFormatting sqref="H31">
    <cfRule type="cellIs" dxfId="85" priority="1" operator="equal">
      <formula>0</formula>
    </cfRule>
  </conditionalFormatting>
  <conditionalFormatting sqref="H31">
    <cfRule type="cellIs" dxfId="84" priority="2" operator="lessThan">
      <formula>0</formula>
    </cfRule>
  </conditionalFormatting>
  <conditionalFormatting sqref="H31">
    <cfRule type="cellIs" dxfId="83" priority="3" operator="greater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S1002"/>
  <sheetViews>
    <sheetView showGridLines="0" zoomScale="80" zoomScaleNormal="80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J29" sqref="J29"/>
    </sheetView>
  </sheetViews>
  <sheetFormatPr defaultColWidth="14.42578125" defaultRowHeight="15" customHeight="1" x14ac:dyDescent="0.25"/>
  <cols>
    <col min="1" max="1" width="3.42578125" customWidth="1"/>
    <col min="2" max="2" width="27.85546875" customWidth="1"/>
    <col min="3" max="3" width="16" customWidth="1"/>
    <col min="4" max="4" width="1.28515625" customWidth="1"/>
    <col min="5" max="5" width="1.7109375" customWidth="1"/>
    <col min="6" max="6" width="16.5703125" bestFit="1" customWidth="1"/>
    <col min="7" max="7" width="8.5703125" customWidth="1"/>
    <col min="8" max="8" width="8.5703125" bestFit="1" customWidth="1"/>
    <col min="9" max="9" width="10.140625" customWidth="1"/>
    <col min="10" max="10" width="7.140625" customWidth="1"/>
    <col min="11" max="11" width="7.140625" bestFit="1" customWidth="1"/>
    <col min="12" max="14" width="7.42578125" bestFit="1" customWidth="1"/>
    <col min="15" max="15" width="8.7109375" customWidth="1"/>
    <col min="16" max="18" width="8.5703125" customWidth="1"/>
    <col min="19" max="19" width="9.85546875" bestFit="1" customWidth="1"/>
    <col min="20" max="23" width="8.5703125" customWidth="1"/>
    <col min="24" max="26" width="10.140625" bestFit="1" customWidth="1"/>
    <col min="27" max="41" width="10.140625" customWidth="1"/>
    <col min="42" max="42" width="2" customWidth="1"/>
    <col min="43" max="43" width="3.42578125" customWidth="1"/>
    <col min="44" max="44" width="5.5703125" customWidth="1"/>
    <col min="45" max="45" width="5.7109375" customWidth="1"/>
  </cols>
  <sheetData>
    <row r="1" spans="1:45" ht="6.75" customHeight="1" x14ac:dyDescent="0.25"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</row>
    <row r="2" spans="1:45" ht="17.25" x14ac:dyDescent="0.3">
      <c r="B2" s="285" t="s">
        <v>100</v>
      </c>
      <c r="C2" s="286"/>
      <c r="D2" s="121"/>
      <c r="E2" s="96"/>
      <c r="F2" s="74" t="s">
        <v>45</v>
      </c>
      <c r="G2" s="144"/>
      <c r="H2" s="144"/>
      <c r="I2" s="75">
        <f>SUM(I7:I32)</f>
        <v>-2151.7416666666668</v>
      </c>
      <c r="J2" s="12"/>
      <c r="K2" s="48">
        <f t="shared" ref="K2:AO2" si="0">K6/$C$4</f>
        <v>0</v>
      </c>
      <c r="L2" s="48">
        <f t="shared" si="0"/>
        <v>2.3501063439648785E-2</v>
      </c>
      <c r="M2" s="48">
        <f t="shared" si="0"/>
        <v>0</v>
      </c>
      <c r="N2" s="48">
        <f t="shared" si="0"/>
        <v>7.7429451114249094E-3</v>
      </c>
      <c r="O2" s="48">
        <f t="shared" si="0"/>
        <v>1.1083572861657957E-2</v>
      </c>
      <c r="P2" s="48">
        <f t="shared" si="0"/>
        <v>1.7500378202617826E-3</v>
      </c>
      <c r="Q2" s="48">
        <f t="shared" si="0"/>
        <v>0.24592309244905353</v>
      </c>
      <c r="R2" s="48">
        <f t="shared" si="0"/>
        <v>1.0461337192231544E-2</v>
      </c>
      <c r="S2" s="48">
        <f t="shared" si="0"/>
        <v>2.3602176735930572E-2</v>
      </c>
      <c r="T2" s="48">
        <f t="shared" si="0"/>
        <v>0</v>
      </c>
      <c r="U2" s="48">
        <f t="shared" si="0"/>
        <v>1.3965301805689024E-2</v>
      </c>
      <c r="V2" s="48">
        <f t="shared" si="0"/>
        <v>1.0694675568266448E-3</v>
      </c>
      <c r="W2" s="48">
        <f t="shared" si="0"/>
        <v>8.6335199132914608E-3</v>
      </c>
      <c r="X2" s="48">
        <f t="shared" si="0"/>
        <v>5.9054054001500371E-2</v>
      </c>
      <c r="Y2" s="48">
        <f t="shared" si="0"/>
        <v>5.9890183182292117E-3</v>
      </c>
      <c r="Z2" s="48">
        <f t="shared" si="0"/>
        <v>9.4113145000744754E-3</v>
      </c>
      <c r="AA2" s="48">
        <f t="shared" si="0"/>
        <v>3.1111783471320584E-2</v>
      </c>
      <c r="AB2" s="48">
        <f t="shared" si="0"/>
        <v>0</v>
      </c>
      <c r="AC2" s="48">
        <f t="shared" si="0"/>
        <v>1.4723651527802464E-2</v>
      </c>
      <c r="AD2" s="48">
        <f t="shared" si="0"/>
        <v>0</v>
      </c>
      <c r="AE2" s="48">
        <f t="shared" si="0"/>
        <v>9.2503110206103911E-2</v>
      </c>
      <c r="AF2" s="48">
        <f t="shared" si="0"/>
        <v>2.2902161607825863E-2</v>
      </c>
      <c r="AG2" s="48">
        <f t="shared" si="0"/>
        <v>8.5907412110183944E-3</v>
      </c>
      <c r="AH2" s="48">
        <f t="shared" si="0"/>
        <v>1.3611405268702753E-3</v>
      </c>
      <c r="AI2" s="48">
        <f t="shared" si="0"/>
        <v>2.310049922745553E-2</v>
      </c>
      <c r="AJ2" s="48">
        <f t="shared" si="0"/>
        <v>3.0096761535568745E-2</v>
      </c>
      <c r="AK2" s="48">
        <f t="shared" si="0"/>
        <v>1.9293194725152674E-2</v>
      </c>
      <c r="AL2" s="48">
        <f t="shared" si="0"/>
        <v>7.2879352781568462E-3</v>
      </c>
      <c r="AM2" s="48">
        <f t="shared" si="0"/>
        <v>1.5023102443713923E-2</v>
      </c>
      <c r="AN2" s="48">
        <f t="shared" si="0"/>
        <v>2.8300056040099979E-2</v>
      </c>
      <c r="AO2" s="48">
        <f t="shared" si="0"/>
        <v>1.9903763475777339E-2</v>
      </c>
      <c r="AP2" s="97"/>
    </row>
    <row r="3" spans="1:45" hidden="1" x14ac:dyDescent="0.25">
      <c r="C3" s="172"/>
      <c r="D3" s="54"/>
      <c r="E3" s="96"/>
      <c r="F3" s="76"/>
      <c r="G3" s="54"/>
      <c r="H3" s="54"/>
      <c r="I3" s="77"/>
      <c r="J3" s="1"/>
      <c r="K3" s="55" t="str">
        <f t="shared" ref="K3:AO3" si="1">IF(OR(K4="sex",K4="sáb",K4="dom"),"fds","sem")</f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55" t="str">
        <f t="shared" si="1"/>
        <v>sem</v>
      </c>
      <c r="AK3" s="55" t="str">
        <f t="shared" si="1"/>
        <v>sem</v>
      </c>
      <c r="AL3" s="55" t="str">
        <f t="shared" si="1"/>
        <v>sem</v>
      </c>
      <c r="AM3" s="55" t="str">
        <f t="shared" si="1"/>
        <v>sem</v>
      </c>
      <c r="AN3" s="55" t="str">
        <f t="shared" si="1"/>
        <v>sem</v>
      </c>
      <c r="AO3" s="55" t="str">
        <f t="shared" si="1"/>
        <v>sem</v>
      </c>
      <c r="AP3" s="96"/>
      <c r="AR3" s="78" t="s">
        <v>0</v>
      </c>
      <c r="AS3" s="1" t="s">
        <v>64</v>
      </c>
    </row>
    <row r="4" spans="1:45" x14ac:dyDescent="0.25">
      <c r="B4" s="145" t="s">
        <v>101</v>
      </c>
      <c r="C4" s="173">
        <f>-I33*(1-C6)</f>
        <v>-2571.3729999999996</v>
      </c>
      <c r="D4" s="146"/>
      <c r="E4" s="96"/>
      <c r="F4" s="79" t="s">
        <v>47</v>
      </c>
      <c r="G4" s="86"/>
      <c r="H4" s="86"/>
      <c r="I4" s="102">
        <f>I33+I2</f>
        <v>1521.6483333333331</v>
      </c>
      <c r="J4" s="104" t="s">
        <v>7</v>
      </c>
      <c r="K4" s="105" t="str">
        <f t="shared" ref="K4:AO4" si="2">TEXT(K5,"ddd")</f>
        <v>Sun</v>
      </c>
      <c r="L4" s="105" t="str">
        <f t="shared" si="2"/>
        <v>Mon</v>
      </c>
      <c r="M4" s="105" t="str">
        <f t="shared" si="2"/>
        <v>Tue</v>
      </c>
      <c r="N4" s="105" t="str">
        <f t="shared" si="2"/>
        <v>Wed</v>
      </c>
      <c r="O4" s="105" t="str">
        <f t="shared" si="2"/>
        <v>Thu</v>
      </c>
      <c r="P4" s="105" t="str">
        <f t="shared" si="2"/>
        <v>Fri</v>
      </c>
      <c r="Q4" s="105" t="str">
        <f t="shared" si="2"/>
        <v>Sat</v>
      </c>
      <c r="R4" s="105" t="str">
        <f t="shared" si="2"/>
        <v>Sun</v>
      </c>
      <c r="S4" s="105" t="str">
        <f t="shared" si="2"/>
        <v>Mon</v>
      </c>
      <c r="T4" s="105" t="str">
        <f t="shared" si="2"/>
        <v>Tue</v>
      </c>
      <c r="U4" s="105" t="str">
        <f t="shared" si="2"/>
        <v>Wed</v>
      </c>
      <c r="V4" s="105" t="str">
        <f t="shared" si="2"/>
        <v>Thu</v>
      </c>
      <c r="W4" s="105" t="str">
        <f t="shared" si="2"/>
        <v>Fri</v>
      </c>
      <c r="X4" s="105" t="str">
        <f t="shared" si="2"/>
        <v>Sat</v>
      </c>
      <c r="Y4" s="105" t="str">
        <f t="shared" si="2"/>
        <v>Sun</v>
      </c>
      <c r="Z4" s="105" t="str">
        <f t="shared" si="2"/>
        <v>Mon</v>
      </c>
      <c r="AA4" s="105" t="str">
        <f t="shared" si="2"/>
        <v>Tue</v>
      </c>
      <c r="AB4" s="105" t="str">
        <f t="shared" si="2"/>
        <v>Wed</v>
      </c>
      <c r="AC4" s="105" t="str">
        <f t="shared" si="2"/>
        <v>Thu</v>
      </c>
      <c r="AD4" s="105" t="str">
        <f t="shared" si="2"/>
        <v>Fri</v>
      </c>
      <c r="AE4" s="105" t="str">
        <f t="shared" si="2"/>
        <v>Sat</v>
      </c>
      <c r="AF4" s="105" t="str">
        <f t="shared" si="2"/>
        <v>Sun</v>
      </c>
      <c r="AG4" s="105" t="str">
        <f t="shared" si="2"/>
        <v>Mon</v>
      </c>
      <c r="AH4" s="105" t="str">
        <f t="shared" si="2"/>
        <v>Tue</v>
      </c>
      <c r="AI4" s="105" t="str">
        <f t="shared" si="2"/>
        <v>Wed</v>
      </c>
      <c r="AJ4" s="105" t="str">
        <f t="shared" si="2"/>
        <v>Thu</v>
      </c>
      <c r="AK4" s="105" t="str">
        <f t="shared" si="2"/>
        <v>Fri</v>
      </c>
      <c r="AL4" s="105" t="str">
        <f t="shared" si="2"/>
        <v>Sat</v>
      </c>
      <c r="AM4" s="105" t="str">
        <f t="shared" si="2"/>
        <v>Sun</v>
      </c>
      <c r="AN4" s="105" t="str">
        <f t="shared" si="2"/>
        <v>Mon</v>
      </c>
      <c r="AO4" s="105" t="str">
        <f t="shared" si="2"/>
        <v>Tue</v>
      </c>
      <c r="AP4" s="96"/>
    </row>
    <row r="5" spans="1:45" x14ac:dyDescent="0.25">
      <c r="B5" s="147" t="s">
        <v>102</v>
      </c>
      <c r="C5" s="174"/>
      <c r="D5" s="149"/>
      <c r="E5" s="96"/>
      <c r="F5" s="81" t="s">
        <v>51</v>
      </c>
      <c r="G5" s="150"/>
      <c r="H5" s="150"/>
      <c r="I5" s="108">
        <f>-I4/-I33</f>
        <v>0.41423544282892183</v>
      </c>
      <c r="J5" s="109"/>
      <c r="K5" s="111">
        <f>DATE($AR$10,$AR$12,1)</f>
        <v>43800</v>
      </c>
      <c r="L5" s="111">
        <f t="shared" ref="L5:AO5" si="3">K5+1</f>
        <v>43801</v>
      </c>
      <c r="M5" s="111">
        <f t="shared" si="3"/>
        <v>43802</v>
      </c>
      <c r="N5" s="111">
        <f t="shared" si="3"/>
        <v>43803</v>
      </c>
      <c r="O5" s="111">
        <f t="shared" si="3"/>
        <v>43804</v>
      </c>
      <c r="P5" s="111">
        <f t="shared" si="3"/>
        <v>43805</v>
      </c>
      <c r="Q5" s="111">
        <f t="shared" si="3"/>
        <v>43806</v>
      </c>
      <c r="R5" s="111">
        <f t="shared" si="3"/>
        <v>43807</v>
      </c>
      <c r="S5" s="111">
        <f t="shared" si="3"/>
        <v>43808</v>
      </c>
      <c r="T5" s="111">
        <f t="shared" si="3"/>
        <v>43809</v>
      </c>
      <c r="U5" s="111">
        <f t="shared" si="3"/>
        <v>43810</v>
      </c>
      <c r="V5" s="111">
        <f t="shared" si="3"/>
        <v>43811</v>
      </c>
      <c r="W5" s="111">
        <f t="shared" si="3"/>
        <v>43812</v>
      </c>
      <c r="X5" s="111">
        <f t="shared" si="3"/>
        <v>43813</v>
      </c>
      <c r="Y5" s="111">
        <f t="shared" si="3"/>
        <v>43814</v>
      </c>
      <c r="Z5" s="111">
        <f t="shared" si="3"/>
        <v>43815</v>
      </c>
      <c r="AA5" s="111">
        <f t="shared" si="3"/>
        <v>43816</v>
      </c>
      <c r="AB5" s="111">
        <f t="shared" si="3"/>
        <v>43817</v>
      </c>
      <c r="AC5" s="111">
        <f t="shared" si="3"/>
        <v>43818</v>
      </c>
      <c r="AD5" s="111">
        <f t="shared" si="3"/>
        <v>43819</v>
      </c>
      <c r="AE5" s="111">
        <f t="shared" si="3"/>
        <v>43820</v>
      </c>
      <c r="AF5" s="111">
        <f t="shared" si="3"/>
        <v>43821</v>
      </c>
      <c r="AG5" s="111">
        <f t="shared" si="3"/>
        <v>43822</v>
      </c>
      <c r="AH5" s="111">
        <f t="shared" si="3"/>
        <v>43823</v>
      </c>
      <c r="AI5" s="111">
        <f t="shared" si="3"/>
        <v>43824</v>
      </c>
      <c r="AJ5" s="111">
        <f t="shared" si="3"/>
        <v>43825</v>
      </c>
      <c r="AK5" s="111">
        <f t="shared" si="3"/>
        <v>43826</v>
      </c>
      <c r="AL5" s="111">
        <f t="shared" si="3"/>
        <v>43827</v>
      </c>
      <c r="AM5" s="111">
        <f t="shared" si="3"/>
        <v>43828</v>
      </c>
      <c r="AN5" s="111">
        <f t="shared" si="3"/>
        <v>43829</v>
      </c>
      <c r="AO5" s="111">
        <f t="shared" si="3"/>
        <v>43830</v>
      </c>
      <c r="AP5" s="96"/>
    </row>
    <row r="6" spans="1:45" x14ac:dyDescent="0.25">
      <c r="B6" s="151" t="s">
        <v>103</v>
      </c>
      <c r="C6" s="175">
        <v>0.3</v>
      </c>
      <c r="E6" s="96"/>
      <c r="F6" s="83"/>
      <c r="G6" s="153" t="s">
        <v>104</v>
      </c>
      <c r="H6" s="153" t="s">
        <v>105</v>
      </c>
      <c r="I6" s="154" t="s">
        <v>106</v>
      </c>
      <c r="J6" s="155">
        <f t="shared" ref="J6" si="4">SUM(J8:J31)</f>
        <v>0.78322445815286013</v>
      </c>
      <c r="K6" s="156">
        <f>SUM(K7:K31)</f>
        <v>0</v>
      </c>
      <c r="L6" s="156">
        <f t="shared" ref="L6:AO6" si="5">SUM(L7:L31)</f>
        <v>-60.430000000000007</v>
      </c>
      <c r="M6" s="156">
        <f t="shared" si="5"/>
        <v>0</v>
      </c>
      <c r="N6" s="156">
        <f t="shared" si="5"/>
        <v>-19.91</v>
      </c>
      <c r="O6" s="156">
        <f t="shared" si="5"/>
        <v>-28.5</v>
      </c>
      <c r="P6" s="156">
        <f t="shared" si="5"/>
        <v>-4.5</v>
      </c>
      <c r="Q6" s="156">
        <f t="shared" si="5"/>
        <v>-632.36</v>
      </c>
      <c r="R6" s="156">
        <f t="shared" si="5"/>
        <v>-26.9</v>
      </c>
      <c r="S6" s="156">
        <f t="shared" si="5"/>
        <v>-60.69</v>
      </c>
      <c r="T6" s="156">
        <f t="shared" si="5"/>
        <v>0</v>
      </c>
      <c r="U6" s="156">
        <f t="shared" si="5"/>
        <v>-35.909999999999997</v>
      </c>
      <c r="V6" s="156">
        <f t="shared" si="5"/>
        <v>-2.75</v>
      </c>
      <c r="W6" s="156">
        <f t="shared" si="5"/>
        <v>-22.2</v>
      </c>
      <c r="X6" s="156">
        <f t="shared" si="5"/>
        <v>-151.85</v>
      </c>
      <c r="Y6" s="156">
        <f t="shared" si="5"/>
        <v>-15.4</v>
      </c>
      <c r="Z6" s="156">
        <f t="shared" si="5"/>
        <v>-24.2</v>
      </c>
      <c r="AA6" s="156">
        <f t="shared" si="5"/>
        <v>-80.000000000000014</v>
      </c>
      <c r="AB6" s="156">
        <f t="shared" si="5"/>
        <v>0</v>
      </c>
      <c r="AC6" s="156">
        <f t="shared" si="5"/>
        <v>-37.86</v>
      </c>
      <c r="AD6" s="156">
        <f t="shared" si="5"/>
        <v>0</v>
      </c>
      <c r="AE6" s="156">
        <f t="shared" si="5"/>
        <v>-237.85999999999999</v>
      </c>
      <c r="AF6" s="156">
        <f t="shared" si="5"/>
        <v>-58.89</v>
      </c>
      <c r="AG6" s="156">
        <f t="shared" si="5"/>
        <v>-22.09</v>
      </c>
      <c r="AH6" s="156">
        <f t="shared" si="5"/>
        <v>-3.5</v>
      </c>
      <c r="AI6" s="156">
        <f t="shared" si="5"/>
        <v>-59.4</v>
      </c>
      <c r="AJ6" s="156">
        <f t="shared" si="5"/>
        <v>-77.39</v>
      </c>
      <c r="AK6" s="156">
        <f t="shared" si="5"/>
        <v>-49.61</v>
      </c>
      <c r="AL6" s="156">
        <f t="shared" si="5"/>
        <v>-18.740000000000002</v>
      </c>
      <c r="AM6" s="156">
        <f t="shared" si="5"/>
        <v>-38.629999999999995</v>
      </c>
      <c r="AN6" s="156">
        <f t="shared" si="5"/>
        <v>-72.77</v>
      </c>
      <c r="AO6" s="156">
        <f t="shared" si="5"/>
        <v>-51.179999999999993</v>
      </c>
      <c r="AP6" s="96"/>
    </row>
    <row r="7" spans="1:45" x14ac:dyDescent="0.25">
      <c r="B7" s="157" t="s">
        <v>108</v>
      </c>
      <c r="C7" s="176">
        <f>C10-C4</f>
        <v>719.48299999999972</v>
      </c>
      <c r="E7" s="96"/>
      <c r="F7" s="86" t="s">
        <v>127</v>
      </c>
      <c r="G7" s="121">
        <f>C12</f>
        <v>-150</v>
      </c>
      <c r="H7" s="121">
        <f t="shared" ref="H7:H22" si="6">I7-G7</f>
        <v>21.340000000000003</v>
      </c>
      <c r="I7" s="87">
        <f>SUM(K7:AO7)</f>
        <v>-128.66</v>
      </c>
      <c r="J7" s="88">
        <f t="shared" ref="J7:J22" si="7">I7/$C$4</f>
        <v>5.0035525767751318E-2</v>
      </c>
      <c r="K7" s="89" t="s">
        <v>66</v>
      </c>
      <c r="L7" s="89">
        <v>-24.51</v>
      </c>
      <c r="M7" s="89" t="s">
        <v>66</v>
      </c>
      <c r="N7" s="89">
        <v>-19.91</v>
      </c>
      <c r="O7" s="89" t="s">
        <v>66</v>
      </c>
      <c r="P7" s="89" t="s">
        <v>66</v>
      </c>
      <c r="Q7" s="89" t="s">
        <v>66</v>
      </c>
      <c r="R7" s="89" t="s">
        <v>66</v>
      </c>
      <c r="S7" s="89">
        <v>-24.51</v>
      </c>
      <c r="T7" s="89" t="s">
        <v>66</v>
      </c>
      <c r="U7" s="89">
        <v>-19.91</v>
      </c>
      <c r="V7" s="89" t="s">
        <v>66</v>
      </c>
      <c r="W7" s="89" t="s">
        <v>66</v>
      </c>
      <c r="X7" s="89" t="s">
        <v>66</v>
      </c>
      <c r="Y7" s="89" t="s">
        <v>66</v>
      </c>
      <c r="Z7" s="238" t="s">
        <v>66</v>
      </c>
      <c r="AA7" s="89">
        <v>-19.91</v>
      </c>
      <c r="AB7" s="238" t="s">
        <v>66</v>
      </c>
      <c r="AC7" s="89">
        <v>-19.91</v>
      </c>
      <c r="AD7" s="89" t="s">
        <v>66</v>
      </c>
      <c r="AE7" s="89" t="s">
        <v>66</v>
      </c>
      <c r="AF7" s="89" t="s">
        <v>66</v>
      </c>
      <c r="AG7" s="89" t="s">
        <v>66</v>
      </c>
      <c r="AH7" s="89" t="s">
        <v>66</v>
      </c>
      <c r="AI7" s="89" t="s">
        <v>66</v>
      </c>
      <c r="AJ7" s="89" t="s">
        <v>66</v>
      </c>
      <c r="AK7" s="89" t="s">
        <v>66</v>
      </c>
      <c r="AL7" s="89" t="s">
        <v>66</v>
      </c>
      <c r="AM7" s="89" t="s">
        <v>66</v>
      </c>
      <c r="AN7" s="89" t="s">
        <v>66</v>
      </c>
      <c r="AO7" s="89" t="s">
        <v>66</v>
      </c>
      <c r="AP7" s="96"/>
    </row>
    <row r="8" spans="1:45" x14ac:dyDescent="0.25">
      <c r="B8" s="54" t="s">
        <v>128</v>
      </c>
      <c r="C8" s="174">
        <f>I33+C10</f>
        <v>1821.5</v>
      </c>
      <c r="E8" s="96"/>
      <c r="F8" s="86" t="s">
        <v>107</v>
      </c>
      <c r="G8" s="121">
        <f t="shared" ref="G8:G9" si="8">C19</f>
        <v>-250</v>
      </c>
      <c r="H8" s="121">
        <f t="shared" si="6"/>
        <v>97.369999999999976</v>
      </c>
      <c r="I8" s="87">
        <f t="shared" ref="I8:I31" si="9">SUM(K8:AO8)</f>
        <v>-152.63000000000002</v>
      </c>
      <c r="J8" s="88">
        <f t="shared" si="7"/>
        <v>5.9357393890345757E-2</v>
      </c>
      <c r="K8" s="238" t="s">
        <v>66</v>
      </c>
      <c r="L8" s="89" t="s">
        <v>66</v>
      </c>
      <c r="M8" s="89" t="s">
        <v>66</v>
      </c>
      <c r="N8" s="89" t="s">
        <v>66</v>
      </c>
      <c r="O8" s="89">
        <v>-6.9</v>
      </c>
      <c r="P8" s="89" t="s">
        <v>66</v>
      </c>
      <c r="Q8" s="89">
        <v>-6.9</v>
      </c>
      <c r="R8" s="238" t="s">
        <v>66</v>
      </c>
      <c r="S8" s="89" t="s">
        <v>66</v>
      </c>
      <c r="T8" s="89" t="s">
        <v>66</v>
      </c>
      <c r="U8" s="89" t="s">
        <v>66</v>
      </c>
      <c r="V8" s="89" t="s">
        <v>66</v>
      </c>
      <c r="W8" s="89" t="s">
        <v>66</v>
      </c>
      <c r="X8" s="89">
        <f>-6-15.8</f>
        <v>-21.8</v>
      </c>
      <c r="Y8" s="238" t="s">
        <v>66</v>
      </c>
      <c r="Z8" s="89" t="s">
        <v>66</v>
      </c>
      <c r="AA8" s="89">
        <v>-15.9</v>
      </c>
      <c r="AB8" s="89" t="s">
        <v>66</v>
      </c>
      <c r="AC8" s="89" t="s">
        <v>66</v>
      </c>
      <c r="AD8" s="89" t="s">
        <v>66</v>
      </c>
      <c r="AE8" s="89">
        <v>-10.199999999999999</v>
      </c>
      <c r="AF8" s="238" t="s">
        <v>66</v>
      </c>
      <c r="AG8" s="89">
        <v>-6</v>
      </c>
      <c r="AH8" s="238" t="s">
        <v>66</v>
      </c>
      <c r="AI8" s="89">
        <v>-20</v>
      </c>
      <c r="AJ8" s="238">
        <v>-6.9</v>
      </c>
      <c r="AK8" s="89">
        <v>-13.9</v>
      </c>
      <c r="AL8" s="89" t="s">
        <v>66</v>
      </c>
      <c r="AM8" s="89" t="s">
        <v>66</v>
      </c>
      <c r="AN8" s="89">
        <f>-9.9</f>
        <v>-9.9</v>
      </c>
      <c r="AO8" s="89">
        <f>-17.9-16.33</f>
        <v>-34.229999999999997</v>
      </c>
      <c r="AP8" s="96" t="s">
        <v>66</v>
      </c>
    </row>
    <row r="9" spans="1:45" ht="16.5" x14ac:dyDescent="0.25">
      <c r="B9" s="54" t="s">
        <v>129</v>
      </c>
      <c r="C9" s="178">
        <f>C8/I33</f>
        <v>0.49586349393884127</v>
      </c>
      <c r="D9" s="158"/>
      <c r="E9" s="96"/>
      <c r="F9" s="86" t="s">
        <v>22</v>
      </c>
      <c r="G9" s="121">
        <f t="shared" si="8"/>
        <v>-20</v>
      </c>
      <c r="H9" s="121">
        <f t="shared" si="6"/>
        <v>-31.739999999999995</v>
      </c>
      <c r="I9" s="87">
        <f t="shared" si="9"/>
        <v>-51.739999999999995</v>
      </c>
      <c r="J9" s="91">
        <f t="shared" si="7"/>
        <v>2.0121545960076582E-2</v>
      </c>
      <c r="K9" s="92" t="s">
        <v>66</v>
      </c>
      <c r="L9" s="92">
        <v>-4</v>
      </c>
      <c r="M9" s="92" t="s">
        <v>66</v>
      </c>
      <c r="N9" s="239" t="s">
        <v>66</v>
      </c>
      <c r="O9" s="239" t="s">
        <v>66</v>
      </c>
      <c r="P9" s="92">
        <v>-4.5</v>
      </c>
      <c r="Q9" s="92" t="s">
        <v>66</v>
      </c>
      <c r="R9" s="92" t="s">
        <v>66</v>
      </c>
      <c r="S9" s="92" t="s">
        <v>66</v>
      </c>
      <c r="T9" s="92" t="s">
        <v>66</v>
      </c>
      <c r="U9" s="239">
        <v>-16</v>
      </c>
      <c r="V9" s="92" t="s">
        <v>66</v>
      </c>
      <c r="W9" s="92">
        <v>-5</v>
      </c>
      <c r="X9" s="92" t="s">
        <v>66</v>
      </c>
      <c r="Y9" s="92" t="s">
        <v>66</v>
      </c>
      <c r="Z9" s="92" t="s">
        <v>66</v>
      </c>
      <c r="AA9" s="92" t="s">
        <v>66</v>
      </c>
      <c r="AB9" s="239" t="s">
        <v>66</v>
      </c>
      <c r="AC9" s="239" t="s">
        <v>66</v>
      </c>
      <c r="AD9" s="92" t="s">
        <v>66</v>
      </c>
      <c r="AE9" s="92" t="s">
        <v>66</v>
      </c>
      <c r="AF9" s="92" t="s">
        <v>66</v>
      </c>
      <c r="AG9" s="92" t="s">
        <v>66</v>
      </c>
      <c r="AH9" s="92" t="s">
        <v>66</v>
      </c>
      <c r="AI9" s="239" t="s">
        <v>66</v>
      </c>
      <c r="AJ9" s="92" t="s">
        <v>66</v>
      </c>
      <c r="AK9" s="92" t="s">
        <v>66</v>
      </c>
      <c r="AL9" s="92" t="s">
        <v>66</v>
      </c>
      <c r="AM9" s="92">
        <v>-20.239999999999998</v>
      </c>
      <c r="AN9" s="92" t="s">
        <v>66</v>
      </c>
      <c r="AO9" s="92">
        <v>-2</v>
      </c>
      <c r="AP9" s="96" t="s">
        <v>66</v>
      </c>
    </row>
    <row r="10" spans="1:45" ht="18.75" x14ac:dyDescent="0.3">
      <c r="B10" s="160" t="s">
        <v>110</v>
      </c>
      <c r="C10" s="179">
        <f>SUM(C11:C34)</f>
        <v>-1851.8899999999999</v>
      </c>
      <c r="E10" s="96"/>
      <c r="F10" s="86" t="s">
        <v>109</v>
      </c>
      <c r="G10" s="121">
        <f t="shared" ref="G10:G11" si="10">C26</f>
        <v>-15</v>
      </c>
      <c r="H10" s="121">
        <f t="shared" si="6"/>
        <v>-5.2899999999999991</v>
      </c>
      <c r="I10" s="87">
        <f t="shared" si="9"/>
        <v>-20.29</v>
      </c>
      <c r="J10" s="93">
        <f t="shared" si="7"/>
        <v>7.8907260829136818E-3</v>
      </c>
      <c r="K10" s="94" t="s">
        <v>66</v>
      </c>
      <c r="L10" s="94" t="s">
        <v>66</v>
      </c>
      <c r="M10" s="94" t="s">
        <v>66</v>
      </c>
      <c r="N10" s="94" t="s">
        <v>66</v>
      </c>
      <c r="O10" s="94" t="s">
        <v>66</v>
      </c>
      <c r="P10" s="94" t="s">
        <v>66</v>
      </c>
      <c r="Q10" s="94" t="s">
        <v>66</v>
      </c>
      <c r="R10" s="94" t="s">
        <v>66</v>
      </c>
      <c r="S10" s="94" t="s">
        <v>66</v>
      </c>
      <c r="T10" s="94" t="s">
        <v>66</v>
      </c>
      <c r="U10" s="94" t="s">
        <v>66</v>
      </c>
      <c r="V10" s="94">
        <v>-2.75</v>
      </c>
      <c r="W10" s="94" t="s">
        <v>66</v>
      </c>
      <c r="X10" s="94" t="s">
        <v>66</v>
      </c>
      <c r="Y10" s="94" t="s">
        <v>66</v>
      </c>
      <c r="Z10" s="94" t="s">
        <v>66</v>
      </c>
      <c r="AA10" s="94" t="s">
        <v>66</v>
      </c>
      <c r="AB10" s="94" t="s">
        <v>66</v>
      </c>
      <c r="AC10" s="94" t="s">
        <v>66</v>
      </c>
      <c r="AD10" s="94" t="s">
        <v>66</v>
      </c>
      <c r="AE10" s="94" t="s">
        <v>66</v>
      </c>
      <c r="AF10" s="94" t="s">
        <v>66</v>
      </c>
      <c r="AG10" s="94" t="s">
        <v>66</v>
      </c>
      <c r="AH10" s="94" t="s">
        <v>66</v>
      </c>
      <c r="AI10" s="94" t="s">
        <v>66</v>
      </c>
      <c r="AJ10" s="94" t="s">
        <v>66</v>
      </c>
      <c r="AK10" s="94">
        <v>-2.59</v>
      </c>
      <c r="AL10" s="94" t="s">
        <v>66</v>
      </c>
      <c r="AM10" s="94" t="s">
        <v>66</v>
      </c>
      <c r="AN10" s="94" t="s">
        <v>66</v>
      </c>
      <c r="AO10" s="94">
        <f>-6.05-8.9</f>
        <v>-14.95</v>
      </c>
      <c r="AP10" s="96" t="s">
        <v>66</v>
      </c>
      <c r="AR10" s="78">
        <v>2019</v>
      </c>
      <c r="AS10" s="56">
        <f ca="1">TODAY()</f>
        <v>43926</v>
      </c>
    </row>
    <row r="11" spans="1:45" x14ac:dyDescent="0.25">
      <c r="A11" s="147">
        <v>1</v>
      </c>
      <c r="B11" s="54" t="s">
        <v>72</v>
      </c>
      <c r="C11" s="87">
        <v>-550</v>
      </c>
      <c r="E11" s="96"/>
      <c r="F11" s="86" t="s">
        <v>81</v>
      </c>
      <c r="G11" s="121">
        <f t="shared" si="10"/>
        <v>-40</v>
      </c>
      <c r="H11" s="121">
        <f t="shared" si="6"/>
        <v>34.75</v>
      </c>
      <c r="I11" s="87">
        <f t="shared" si="9"/>
        <v>-5.25</v>
      </c>
      <c r="J11" s="91">
        <f t="shared" si="7"/>
        <v>2.0417107903054131E-3</v>
      </c>
      <c r="K11" s="239" t="s">
        <v>66</v>
      </c>
      <c r="L11" s="92" t="s">
        <v>66</v>
      </c>
      <c r="M11" s="92" t="s">
        <v>66</v>
      </c>
      <c r="N11" s="92" t="s">
        <v>66</v>
      </c>
      <c r="O11" s="92" t="s">
        <v>66</v>
      </c>
      <c r="P11" s="92" t="s">
        <v>66</v>
      </c>
      <c r="Q11" s="92" t="s">
        <v>66</v>
      </c>
      <c r="R11" s="239" t="s">
        <v>66</v>
      </c>
      <c r="S11" s="92" t="s">
        <v>66</v>
      </c>
      <c r="T11" s="92" t="s">
        <v>66</v>
      </c>
      <c r="U11" s="92" t="s">
        <v>66</v>
      </c>
      <c r="V11" s="92" t="s">
        <v>66</v>
      </c>
      <c r="W11" s="92" t="s">
        <v>66</v>
      </c>
      <c r="X11" s="92" t="s">
        <v>66</v>
      </c>
      <c r="Y11" s="239" t="s">
        <v>66</v>
      </c>
      <c r="Z11" s="92" t="s">
        <v>66</v>
      </c>
      <c r="AA11" s="92" t="s">
        <v>66</v>
      </c>
      <c r="AB11" s="92" t="s">
        <v>66</v>
      </c>
      <c r="AC11" s="92" t="s">
        <v>66</v>
      </c>
      <c r="AD11" s="92" t="s">
        <v>66</v>
      </c>
      <c r="AE11" s="92" t="s">
        <v>66</v>
      </c>
      <c r="AF11" s="239" t="s">
        <v>66</v>
      </c>
      <c r="AG11" s="92" t="s">
        <v>66</v>
      </c>
      <c r="AH11" s="92" t="s">
        <v>66</v>
      </c>
      <c r="AI11" s="92" t="s">
        <v>66</v>
      </c>
      <c r="AJ11" s="92">
        <v>-2.5</v>
      </c>
      <c r="AK11" s="92" t="s">
        <v>66</v>
      </c>
      <c r="AL11" s="92">
        <v>-2.75</v>
      </c>
      <c r="AM11" s="92" t="s">
        <v>66</v>
      </c>
      <c r="AN11" s="92" t="s">
        <v>66</v>
      </c>
      <c r="AO11" s="92" t="s">
        <v>66</v>
      </c>
      <c r="AP11" s="96" t="s">
        <v>66</v>
      </c>
      <c r="AR11" s="78" t="s">
        <v>1</v>
      </c>
      <c r="AS11" s="1" t="str">
        <f ca="1">IF(AB5=AS10,"sim","não")</f>
        <v>não</v>
      </c>
    </row>
    <row r="12" spans="1:45" x14ac:dyDescent="0.25">
      <c r="A12" s="7">
        <f t="shared" ref="A12:A34" si="11">A11+1</f>
        <v>2</v>
      </c>
      <c r="B12" s="54" t="s">
        <v>127</v>
      </c>
      <c r="C12" s="87">
        <v>-150</v>
      </c>
      <c r="E12" s="96"/>
      <c r="F12" s="86" t="s">
        <v>130</v>
      </c>
      <c r="G12" s="121">
        <f>C14</f>
        <v>-150</v>
      </c>
      <c r="H12" s="121">
        <f t="shared" si="6"/>
        <v>0.81999999999999318</v>
      </c>
      <c r="I12" s="87">
        <f t="shared" si="9"/>
        <v>-149.18</v>
      </c>
      <c r="J12" s="93">
        <f t="shared" si="7"/>
        <v>5.8015698228145056E-2</v>
      </c>
      <c r="K12" s="240" t="s">
        <v>66</v>
      </c>
      <c r="L12" s="94">
        <v>-31.92</v>
      </c>
      <c r="M12" s="94" t="s">
        <v>66</v>
      </c>
      <c r="N12" s="94" t="s">
        <v>66</v>
      </c>
      <c r="O12" s="94" t="s">
        <v>66</v>
      </c>
      <c r="P12" s="94" t="s">
        <v>66</v>
      </c>
      <c r="Q12" s="94">
        <v>-25.98</v>
      </c>
      <c r="R12" s="240" t="s">
        <v>66</v>
      </c>
      <c r="S12" s="94">
        <v>-36.18</v>
      </c>
      <c r="T12" s="94" t="s">
        <v>66</v>
      </c>
      <c r="U12" s="94" t="s">
        <v>66</v>
      </c>
      <c r="V12" s="94" t="s">
        <v>66</v>
      </c>
      <c r="W12" s="94" t="s">
        <v>66</v>
      </c>
      <c r="X12" s="94" t="s">
        <v>66</v>
      </c>
      <c r="Y12" s="240" t="s">
        <v>66</v>
      </c>
      <c r="Z12" s="240" t="s">
        <v>66</v>
      </c>
      <c r="AA12" s="94">
        <v>-25.92</v>
      </c>
      <c r="AB12" s="133" t="s">
        <v>66</v>
      </c>
      <c r="AC12" s="94" t="s">
        <v>66</v>
      </c>
      <c r="AD12" s="94" t="s">
        <v>66</v>
      </c>
      <c r="AE12" s="94" t="s">
        <v>66</v>
      </c>
      <c r="AF12" s="94">
        <v>-22</v>
      </c>
      <c r="AG12" s="94" t="s">
        <v>66</v>
      </c>
      <c r="AH12" s="94" t="s">
        <v>66</v>
      </c>
      <c r="AI12" s="94" t="s">
        <v>66</v>
      </c>
      <c r="AJ12" s="94" t="s">
        <v>66</v>
      </c>
      <c r="AK12" s="94" t="s">
        <v>66</v>
      </c>
      <c r="AL12" s="94" t="s">
        <v>66</v>
      </c>
      <c r="AM12" s="94" t="s">
        <v>66</v>
      </c>
      <c r="AN12" s="94">
        <v>-7.18</v>
      </c>
      <c r="AO12" s="94" t="s">
        <v>66</v>
      </c>
      <c r="AP12" s="96" t="s">
        <v>66</v>
      </c>
      <c r="AR12" s="78">
        <v>12</v>
      </c>
    </row>
    <row r="13" spans="1:45" x14ac:dyDescent="0.25">
      <c r="A13" s="147">
        <f t="shared" si="11"/>
        <v>3</v>
      </c>
      <c r="B13" s="54" t="s">
        <v>29</v>
      </c>
      <c r="C13" s="87">
        <v>-81.89</v>
      </c>
      <c r="E13" s="96"/>
      <c r="F13" s="86" t="s">
        <v>131</v>
      </c>
      <c r="G13" s="121">
        <f>C23</f>
        <v>-30</v>
      </c>
      <c r="H13" s="121">
        <f t="shared" si="6"/>
        <v>10.440000000000001</v>
      </c>
      <c r="I13" s="87">
        <f t="shared" si="9"/>
        <v>-19.559999999999999</v>
      </c>
      <c r="J13" s="93">
        <f t="shared" si="7"/>
        <v>7.6068310587378814E-3</v>
      </c>
      <c r="K13" s="94" t="s">
        <v>66</v>
      </c>
      <c r="L13" s="94" t="s">
        <v>66</v>
      </c>
      <c r="M13" s="94" t="s">
        <v>66</v>
      </c>
      <c r="N13" s="94" t="s">
        <v>66</v>
      </c>
      <c r="O13" s="94" t="s">
        <v>66</v>
      </c>
      <c r="P13" s="94" t="s">
        <v>66</v>
      </c>
      <c r="Q13" s="94" t="s">
        <v>66</v>
      </c>
      <c r="R13" s="94" t="s">
        <v>66</v>
      </c>
      <c r="S13" s="94" t="s">
        <v>66</v>
      </c>
      <c r="T13" s="94" t="s">
        <v>66</v>
      </c>
      <c r="U13" s="94" t="s">
        <v>66</v>
      </c>
      <c r="V13" s="94" t="s">
        <v>66</v>
      </c>
      <c r="W13" s="94" t="s">
        <v>66</v>
      </c>
      <c r="X13" s="94" t="s">
        <v>66</v>
      </c>
      <c r="Y13" s="94" t="s">
        <v>66</v>
      </c>
      <c r="Z13" s="94" t="s">
        <v>66</v>
      </c>
      <c r="AA13" s="94">
        <v>-4.87</v>
      </c>
      <c r="AB13" s="133" t="s">
        <v>66</v>
      </c>
      <c r="AC13" s="94" t="s">
        <v>66</v>
      </c>
      <c r="AD13" s="94" t="s">
        <v>66</v>
      </c>
      <c r="AE13" s="94" t="s">
        <v>66</v>
      </c>
      <c r="AF13" s="94" t="s">
        <v>66</v>
      </c>
      <c r="AG13" s="94" t="s">
        <v>66</v>
      </c>
      <c r="AH13" s="94" t="s">
        <v>66</v>
      </c>
      <c r="AI13" s="94" t="s">
        <v>66</v>
      </c>
      <c r="AJ13" s="94" t="s">
        <v>66</v>
      </c>
      <c r="AK13" s="94" t="s">
        <v>66</v>
      </c>
      <c r="AL13" s="94" t="s">
        <v>66</v>
      </c>
      <c r="AM13" s="94" t="s">
        <v>66</v>
      </c>
      <c r="AN13" s="94">
        <v>-14.69</v>
      </c>
      <c r="AO13" s="94" t="s">
        <v>66</v>
      </c>
      <c r="AP13" s="96"/>
      <c r="AR13" s="78"/>
    </row>
    <row r="14" spans="1:45" x14ac:dyDescent="0.25">
      <c r="A14" s="147">
        <f t="shared" si="11"/>
        <v>4</v>
      </c>
      <c r="B14" s="54" t="s">
        <v>130</v>
      </c>
      <c r="C14" s="87">
        <v>-150</v>
      </c>
      <c r="E14" s="96"/>
      <c r="F14" s="86" t="s">
        <v>27</v>
      </c>
      <c r="G14" s="121">
        <f>C17</f>
        <v>0</v>
      </c>
      <c r="H14" s="121">
        <f t="shared" si="6"/>
        <v>0</v>
      </c>
      <c r="I14" s="87">
        <f t="shared" si="9"/>
        <v>0</v>
      </c>
      <c r="J14" s="91">
        <f t="shared" si="7"/>
        <v>0</v>
      </c>
      <c r="K14" s="92" t="s">
        <v>66</v>
      </c>
      <c r="L14" s="92" t="s">
        <v>66</v>
      </c>
      <c r="M14" s="92" t="s">
        <v>66</v>
      </c>
      <c r="N14" s="92" t="s">
        <v>66</v>
      </c>
      <c r="O14" s="92" t="s">
        <v>67</v>
      </c>
      <c r="P14" s="92" t="s">
        <v>66</v>
      </c>
      <c r="Q14" s="92" t="s">
        <v>66</v>
      </c>
      <c r="R14" s="92" t="s">
        <v>66</v>
      </c>
      <c r="S14" s="92" t="s">
        <v>66</v>
      </c>
      <c r="T14" s="92" t="s">
        <v>66</v>
      </c>
      <c r="U14" s="92" t="s">
        <v>66</v>
      </c>
      <c r="V14" s="92" t="s">
        <v>66</v>
      </c>
      <c r="W14" s="92" t="s">
        <v>66</v>
      </c>
      <c r="X14" s="92" t="s">
        <v>66</v>
      </c>
      <c r="Y14" s="92" t="s">
        <v>66</v>
      </c>
      <c r="Z14" s="92" t="s">
        <v>66</v>
      </c>
      <c r="AA14" s="92" t="s">
        <v>66</v>
      </c>
      <c r="AB14" s="92" t="s">
        <v>66</v>
      </c>
      <c r="AC14" s="239" t="s">
        <v>66</v>
      </c>
      <c r="AD14" s="92" t="s">
        <v>66</v>
      </c>
      <c r="AE14" s="92" t="s">
        <v>66</v>
      </c>
      <c r="AF14" s="92" t="s">
        <v>66</v>
      </c>
      <c r="AG14" s="92" t="s">
        <v>66</v>
      </c>
      <c r="AH14" s="92" t="s">
        <v>66</v>
      </c>
      <c r="AI14" s="92" t="s">
        <v>66</v>
      </c>
      <c r="AJ14" s="92" t="s">
        <v>66</v>
      </c>
      <c r="AK14" s="92" t="s">
        <v>66</v>
      </c>
      <c r="AL14" s="92" t="s">
        <v>66</v>
      </c>
      <c r="AM14" s="92" t="s">
        <v>66</v>
      </c>
      <c r="AN14" s="92" t="s">
        <v>66</v>
      </c>
      <c r="AO14" s="92" t="s">
        <v>66</v>
      </c>
      <c r="AP14" s="96" t="s">
        <v>66</v>
      </c>
    </row>
    <row r="15" spans="1:45" x14ac:dyDescent="0.25">
      <c r="A15" s="147">
        <f t="shared" si="11"/>
        <v>5</v>
      </c>
      <c r="B15" s="54" t="s">
        <v>31</v>
      </c>
      <c r="C15" s="87">
        <v>0</v>
      </c>
      <c r="E15" s="96"/>
      <c r="F15" s="86" t="s">
        <v>111</v>
      </c>
      <c r="G15" s="121">
        <f>C28</f>
        <v>-60</v>
      </c>
      <c r="H15" s="121">
        <f t="shared" si="6"/>
        <v>60</v>
      </c>
      <c r="I15" s="87">
        <f t="shared" si="9"/>
        <v>0</v>
      </c>
      <c r="J15" s="93">
        <f t="shared" si="7"/>
        <v>0</v>
      </c>
      <c r="K15" s="94" t="s">
        <v>66</v>
      </c>
      <c r="L15" s="94" t="s">
        <v>66</v>
      </c>
      <c r="M15" s="94" t="s">
        <v>66</v>
      </c>
      <c r="N15" s="94" t="s">
        <v>66</v>
      </c>
      <c r="O15" s="94" t="s">
        <v>66</v>
      </c>
      <c r="P15" s="94" t="s">
        <v>66</v>
      </c>
      <c r="Q15" s="94" t="s">
        <v>66</v>
      </c>
      <c r="R15" s="240" t="s">
        <v>66</v>
      </c>
      <c r="S15" s="94" t="s">
        <v>66</v>
      </c>
      <c r="T15" s="94" t="s">
        <v>66</v>
      </c>
      <c r="U15" s="94" t="s">
        <v>66</v>
      </c>
      <c r="V15" s="94" t="s">
        <v>66</v>
      </c>
      <c r="W15" s="94" t="s">
        <v>66</v>
      </c>
      <c r="X15" s="94" t="s">
        <v>66</v>
      </c>
      <c r="Y15" s="240" t="s">
        <v>66</v>
      </c>
      <c r="Z15" s="94" t="s">
        <v>66</v>
      </c>
      <c r="AA15" s="94" t="s">
        <v>66</v>
      </c>
      <c r="AB15" s="94" t="s">
        <v>66</v>
      </c>
      <c r="AC15" s="94" t="s">
        <v>66</v>
      </c>
      <c r="AD15" s="94" t="s">
        <v>66</v>
      </c>
      <c r="AE15" s="94" t="s">
        <v>66</v>
      </c>
      <c r="AF15" s="240" t="s">
        <v>66</v>
      </c>
      <c r="AG15" s="94" t="s">
        <v>66</v>
      </c>
      <c r="AH15" s="94" t="s">
        <v>66</v>
      </c>
      <c r="AI15" s="94" t="s">
        <v>66</v>
      </c>
      <c r="AJ15" s="94" t="s">
        <v>66</v>
      </c>
      <c r="AK15" s="94" t="s">
        <v>66</v>
      </c>
      <c r="AL15" s="94" t="s">
        <v>66</v>
      </c>
      <c r="AM15" s="94" t="s">
        <v>66</v>
      </c>
      <c r="AN15" s="94" t="s">
        <v>66</v>
      </c>
      <c r="AO15" s="94" t="s">
        <v>66</v>
      </c>
      <c r="AP15" s="96" t="s">
        <v>66</v>
      </c>
    </row>
    <row r="16" spans="1:45" x14ac:dyDescent="0.25">
      <c r="A16" s="147">
        <f t="shared" si="11"/>
        <v>6</v>
      </c>
      <c r="B16" s="54" t="s">
        <v>32</v>
      </c>
      <c r="C16" s="87">
        <v>0</v>
      </c>
      <c r="E16" s="96"/>
      <c r="F16" s="86" t="s">
        <v>89</v>
      </c>
      <c r="G16" s="121">
        <f>C25</f>
        <v>-20</v>
      </c>
      <c r="H16" s="121">
        <f t="shared" si="6"/>
        <v>10</v>
      </c>
      <c r="I16" s="87">
        <f t="shared" si="9"/>
        <v>-10</v>
      </c>
      <c r="J16" s="91">
        <f t="shared" si="7"/>
        <v>3.8889729339150725E-3</v>
      </c>
      <c r="K16" s="92" t="s">
        <v>66</v>
      </c>
      <c r="L16" s="92" t="s">
        <v>66</v>
      </c>
      <c r="M16" s="92" t="s">
        <v>66</v>
      </c>
      <c r="N16" s="92" t="s">
        <v>66</v>
      </c>
      <c r="O16" s="92" t="s">
        <v>66</v>
      </c>
      <c r="P16" s="92" t="s">
        <v>66</v>
      </c>
      <c r="Q16" s="92" t="s">
        <v>66</v>
      </c>
      <c r="R16" s="239" t="s">
        <v>66</v>
      </c>
      <c r="S16" s="92" t="s">
        <v>66</v>
      </c>
      <c r="T16" s="92" t="s">
        <v>66</v>
      </c>
      <c r="U16" s="92" t="s">
        <v>66</v>
      </c>
      <c r="V16" s="92" t="s">
        <v>66</v>
      </c>
      <c r="W16" s="92" t="s">
        <v>66</v>
      </c>
      <c r="X16" s="92" t="s">
        <v>66</v>
      </c>
      <c r="Y16" s="92" t="s">
        <v>66</v>
      </c>
      <c r="Z16" s="92">
        <v>-10</v>
      </c>
      <c r="AA16" s="92" t="s">
        <v>66</v>
      </c>
      <c r="AB16" s="92" t="s">
        <v>66</v>
      </c>
      <c r="AC16" s="92" t="s">
        <v>66</v>
      </c>
      <c r="AD16" s="92" t="s">
        <v>66</v>
      </c>
      <c r="AE16" s="92" t="s">
        <v>66</v>
      </c>
      <c r="AF16" s="239" t="s">
        <v>66</v>
      </c>
      <c r="AG16" s="92" t="s">
        <v>66</v>
      </c>
      <c r="AH16" s="92" t="s">
        <v>66</v>
      </c>
      <c r="AI16" s="92" t="s">
        <v>66</v>
      </c>
      <c r="AJ16" s="92" t="s">
        <v>66</v>
      </c>
      <c r="AK16" s="92" t="s">
        <v>66</v>
      </c>
      <c r="AL16" s="92" t="s">
        <v>66</v>
      </c>
      <c r="AM16" s="92" t="s">
        <v>66</v>
      </c>
      <c r="AN16" s="92" t="s">
        <v>66</v>
      </c>
      <c r="AO16" s="92" t="s">
        <v>66</v>
      </c>
      <c r="AP16" s="96" t="s">
        <v>66</v>
      </c>
    </row>
    <row r="17" spans="1:42" x14ac:dyDescent="0.25">
      <c r="A17" s="147">
        <f t="shared" si="11"/>
        <v>7</v>
      </c>
      <c r="B17" s="54" t="s">
        <v>27</v>
      </c>
      <c r="C17" s="87">
        <v>0</v>
      </c>
      <c r="E17" s="96"/>
      <c r="F17" s="86" t="s">
        <v>112</v>
      </c>
      <c r="G17" s="121">
        <f>C13</f>
        <v>-81.89</v>
      </c>
      <c r="H17" s="121">
        <f t="shared" si="6"/>
        <v>10</v>
      </c>
      <c r="I17" s="87">
        <f t="shared" si="9"/>
        <v>-71.89</v>
      </c>
      <c r="J17" s="93">
        <f t="shared" si="7"/>
        <v>2.7957826421915456E-2</v>
      </c>
      <c r="K17" s="94" t="s">
        <v>66</v>
      </c>
      <c r="L17" s="94" t="s">
        <v>66</v>
      </c>
      <c r="M17" s="94" t="s">
        <v>66</v>
      </c>
      <c r="N17" s="94" t="s">
        <v>66</v>
      </c>
      <c r="O17" s="94" t="s">
        <v>66</v>
      </c>
      <c r="P17" s="94" t="s">
        <v>66</v>
      </c>
      <c r="Q17" s="94" t="s">
        <v>66</v>
      </c>
      <c r="R17" s="94">
        <v>-26.9</v>
      </c>
      <c r="S17" s="94" t="s">
        <v>66</v>
      </c>
      <c r="T17" s="94" t="s">
        <v>66</v>
      </c>
      <c r="U17" s="94" t="s">
        <v>66</v>
      </c>
      <c r="V17" s="94" t="s">
        <v>66</v>
      </c>
      <c r="W17" s="94" t="s">
        <v>66</v>
      </c>
      <c r="X17" s="94" t="s">
        <v>66</v>
      </c>
      <c r="Y17" s="94" t="s">
        <v>66</v>
      </c>
      <c r="Z17" s="94" t="s">
        <v>66</v>
      </c>
      <c r="AA17" s="94" t="s">
        <v>66</v>
      </c>
      <c r="AB17" s="94" t="s">
        <v>66</v>
      </c>
      <c r="AC17" s="94" t="s">
        <v>66</v>
      </c>
      <c r="AD17" s="94" t="s">
        <v>66</v>
      </c>
      <c r="AE17" s="94" t="s">
        <v>66</v>
      </c>
      <c r="AF17" s="94" t="s">
        <v>66</v>
      </c>
      <c r="AG17" s="94" t="s">
        <v>66</v>
      </c>
      <c r="AH17" s="94"/>
      <c r="AI17" s="94" t="s">
        <v>66</v>
      </c>
      <c r="AJ17" s="94">
        <v>-44.99</v>
      </c>
      <c r="AK17" s="94" t="s">
        <v>66</v>
      </c>
      <c r="AL17" s="94" t="s">
        <v>66</v>
      </c>
      <c r="AM17" s="94" t="s">
        <v>66</v>
      </c>
      <c r="AN17" s="94" t="s">
        <v>66</v>
      </c>
      <c r="AO17" s="94" t="s">
        <v>66</v>
      </c>
      <c r="AP17" s="96" t="s">
        <v>66</v>
      </c>
    </row>
    <row r="18" spans="1:42" x14ac:dyDescent="0.25">
      <c r="A18" s="147">
        <f t="shared" si="11"/>
        <v>8</v>
      </c>
      <c r="B18" s="54" t="s">
        <v>114</v>
      </c>
      <c r="C18" s="87">
        <v>-150</v>
      </c>
      <c r="E18" s="96"/>
      <c r="F18" s="86" t="s">
        <v>113</v>
      </c>
      <c r="G18" s="121">
        <f t="shared" ref="G18:G19" si="12">C15</f>
        <v>0</v>
      </c>
      <c r="H18" s="121">
        <f t="shared" si="6"/>
        <v>0</v>
      </c>
      <c r="I18" s="87">
        <f t="shared" si="9"/>
        <v>0</v>
      </c>
      <c r="J18" s="91">
        <f t="shared" si="7"/>
        <v>0</v>
      </c>
      <c r="K18" s="92" t="s">
        <v>66</v>
      </c>
      <c r="L18" s="92" t="s">
        <v>66</v>
      </c>
      <c r="M18" s="92" t="s">
        <v>66</v>
      </c>
      <c r="N18" s="92" t="s">
        <v>66</v>
      </c>
      <c r="O18" s="92" t="s">
        <v>66</v>
      </c>
      <c r="P18" s="92" t="s">
        <v>66</v>
      </c>
      <c r="Q18" s="92" t="s">
        <v>66</v>
      </c>
      <c r="R18" s="92" t="s">
        <v>66</v>
      </c>
      <c r="S18" s="92" t="s">
        <v>66</v>
      </c>
      <c r="T18" s="92" t="s">
        <v>66</v>
      </c>
      <c r="U18" s="92" t="s">
        <v>66</v>
      </c>
      <c r="V18" s="92" t="s">
        <v>66</v>
      </c>
      <c r="W18" s="92" t="s">
        <v>66</v>
      </c>
      <c r="X18" s="92" t="s">
        <v>66</v>
      </c>
      <c r="Y18" s="92" t="s">
        <v>66</v>
      </c>
      <c r="Z18" s="92" t="s">
        <v>66</v>
      </c>
      <c r="AA18" s="92" t="s">
        <v>66</v>
      </c>
      <c r="AB18" s="92" t="s">
        <v>66</v>
      </c>
      <c r="AC18" s="92" t="s">
        <v>66</v>
      </c>
      <c r="AD18" s="92" t="s">
        <v>66</v>
      </c>
      <c r="AE18" s="92" t="s">
        <v>66</v>
      </c>
      <c r="AF18" s="92" t="s">
        <v>66</v>
      </c>
      <c r="AG18" s="92" t="s">
        <v>66</v>
      </c>
      <c r="AH18" s="92" t="s">
        <v>66</v>
      </c>
      <c r="AI18" s="92" t="s">
        <v>66</v>
      </c>
      <c r="AJ18" s="92" t="s">
        <v>66</v>
      </c>
      <c r="AK18" s="92" t="s">
        <v>66</v>
      </c>
      <c r="AL18" s="92" t="s">
        <v>66</v>
      </c>
      <c r="AM18" s="92" t="s">
        <v>66</v>
      </c>
      <c r="AN18" s="92" t="s">
        <v>66</v>
      </c>
      <c r="AO18" s="92" t="s">
        <v>66</v>
      </c>
      <c r="AP18" s="96" t="s">
        <v>66</v>
      </c>
    </row>
    <row r="19" spans="1:42" x14ac:dyDescent="0.25">
      <c r="A19" s="147">
        <f t="shared" si="11"/>
        <v>9</v>
      </c>
      <c r="B19" s="54" t="s">
        <v>107</v>
      </c>
      <c r="C19" s="87">
        <v>-250</v>
      </c>
      <c r="E19" s="96"/>
      <c r="F19" s="86" t="s">
        <v>115</v>
      </c>
      <c r="G19" s="121">
        <f t="shared" si="12"/>
        <v>0</v>
      </c>
      <c r="H19" s="121">
        <f t="shared" si="6"/>
        <v>0</v>
      </c>
      <c r="I19" s="87">
        <f t="shared" si="9"/>
        <v>0</v>
      </c>
      <c r="J19" s="93">
        <f t="shared" si="7"/>
        <v>0</v>
      </c>
      <c r="K19" s="94" t="s">
        <v>66</v>
      </c>
      <c r="L19" s="94" t="s">
        <v>66</v>
      </c>
      <c r="M19" s="94" t="s">
        <v>66</v>
      </c>
      <c r="N19" s="94" t="s">
        <v>66</v>
      </c>
      <c r="O19" s="94" t="s">
        <v>66</v>
      </c>
      <c r="P19" s="94" t="s">
        <v>66</v>
      </c>
      <c r="Q19" s="94" t="s">
        <v>66</v>
      </c>
      <c r="R19" s="94" t="s">
        <v>66</v>
      </c>
      <c r="S19" s="94" t="s">
        <v>66</v>
      </c>
      <c r="T19" s="94" t="s">
        <v>66</v>
      </c>
      <c r="U19" s="94" t="s">
        <v>66</v>
      </c>
      <c r="V19" s="94" t="s">
        <v>66</v>
      </c>
      <c r="W19" s="94" t="s">
        <v>66</v>
      </c>
      <c r="X19" s="94" t="s">
        <v>66</v>
      </c>
      <c r="Y19" s="94" t="s">
        <v>66</v>
      </c>
      <c r="Z19" s="94" t="s">
        <v>66</v>
      </c>
      <c r="AA19" s="94" t="s">
        <v>66</v>
      </c>
      <c r="AB19" s="94" t="s">
        <v>66</v>
      </c>
      <c r="AC19" s="94" t="s">
        <v>66</v>
      </c>
      <c r="AD19" s="94" t="s">
        <v>66</v>
      </c>
      <c r="AE19" s="94" t="s">
        <v>66</v>
      </c>
      <c r="AF19" s="94" t="s">
        <v>66</v>
      </c>
      <c r="AG19" s="94" t="s">
        <v>66</v>
      </c>
      <c r="AH19" s="94" t="s">
        <v>66</v>
      </c>
      <c r="AI19" s="94" t="s">
        <v>66</v>
      </c>
      <c r="AJ19" s="94" t="s">
        <v>66</v>
      </c>
      <c r="AK19" s="94" t="s">
        <v>66</v>
      </c>
      <c r="AL19" s="94" t="s">
        <v>66</v>
      </c>
      <c r="AM19" s="94" t="s">
        <v>66</v>
      </c>
      <c r="AN19" s="94" t="s">
        <v>66</v>
      </c>
      <c r="AO19" s="94" t="s">
        <v>66</v>
      </c>
      <c r="AP19" s="96" t="s">
        <v>66</v>
      </c>
    </row>
    <row r="20" spans="1:42" x14ac:dyDescent="0.25">
      <c r="A20" s="147">
        <f t="shared" si="11"/>
        <v>10</v>
      </c>
      <c r="B20" s="54" t="s">
        <v>22</v>
      </c>
      <c r="C20" s="87">
        <v>-20</v>
      </c>
      <c r="E20" s="96"/>
      <c r="F20" s="86" t="s">
        <v>116</v>
      </c>
      <c r="G20" s="121">
        <f>C22</f>
        <v>-160</v>
      </c>
      <c r="H20" s="121">
        <f t="shared" si="6"/>
        <v>-75.920000000000016</v>
      </c>
      <c r="I20" s="87">
        <f t="shared" si="9"/>
        <v>-235.92000000000002</v>
      </c>
      <c r="J20" s="91">
        <f t="shared" si="7"/>
        <v>9.1748649456924389E-2</v>
      </c>
      <c r="K20" s="92" t="s">
        <v>66</v>
      </c>
      <c r="L20" s="92" t="s">
        <v>66</v>
      </c>
      <c r="M20" s="92" t="s">
        <v>66</v>
      </c>
      <c r="N20" s="92" t="s">
        <v>66</v>
      </c>
      <c r="O20" s="92" t="s">
        <v>66</v>
      </c>
      <c r="P20" s="92" t="s">
        <v>66</v>
      </c>
      <c r="Q20" s="239" t="s">
        <v>66</v>
      </c>
      <c r="R20" s="92" t="s">
        <v>66</v>
      </c>
      <c r="S20" s="92" t="s">
        <v>66</v>
      </c>
      <c r="T20" s="92" t="s">
        <v>66</v>
      </c>
      <c r="U20" s="92" t="s">
        <v>66</v>
      </c>
      <c r="V20" s="92" t="s">
        <v>66</v>
      </c>
      <c r="W20" s="92">
        <v>-17.2</v>
      </c>
      <c r="X20" s="239" t="s">
        <v>66</v>
      </c>
      <c r="Y20" s="92">
        <v>-15.4</v>
      </c>
      <c r="Z20" s="92" t="s">
        <v>66</v>
      </c>
      <c r="AA20" s="92" t="s">
        <v>66</v>
      </c>
      <c r="AB20" s="92" t="s">
        <v>66</v>
      </c>
      <c r="AC20" s="92">
        <v>-17.95</v>
      </c>
      <c r="AD20" s="239" t="s">
        <v>66</v>
      </c>
      <c r="AE20" s="239" t="s">
        <v>66</v>
      </c>
      <c r="AF20" s="92">
        <f>-6.8-16.09</f>
        <v>-22.89</v>
      </c>
      <c r="AG20" s="92">
        <v>-16.09</v>
      </c>
      <c r="AH20" s="239">
        <v>-3.5</v>
      </c>
      <c r="AI20" s="92">
        <v>-39.4</v>
      </c>
      <c r="AJ20" s="92" t="s">
        <v>66</v>
      </c>
      <c r="AK20" s="92">
        <f>-12.17-15.94</f>
        <v>-28.11</v>
      </c>
      <c r="AL20" s="92">
        <v>-15.99</v>
      </c>
      <c r="AM20" s="92">
        <v>-18.39</v>
      </c>
      <c r="AN20" s="92">
        <f>-41</f>
        <v>-41</v>
      </c>
      <c r="AO20" s="92" t="s">
        <v>66</v>
      </c>
      <c r="AP20" s="96" t="s">
        <v>66</v>
      </c>
    </row>
    <row r="21" spans="1:42" ht="15.75" customHeight="1" x14ac:dyDescent="0.25">
      <c r="A21" s="147">
        <f t="shared" si="11"/>
        <v>11</v>
      </c>
      <c r="B21" s="54" t="s">
        <v>35</v>
      </c>
      <c r="C21" s="87">
        <v>-5</v>
      </c>
      <c r="E21" s="96"/>
      <c r="F21" s="86" t="s">
        <v>117</v>
      </c>
      <c r="G21" s="121">
        <f>C32</f>
        <v>-100</v>
      </c>
      <c r="H21" s="121">
        <f t="shared" si="6"/>
        <v>78.62</v>
      </c>
      <c r="I21" s="87">
        <f t="shared" si="9"/>
        <v>-21.38</v>
      </c>
      <c r="J21" s="93">
        <f t="shared" si="7"/>
        <v>8.3146241327104239E-3</v>
      </c>
      <c r="K21" s="94" t="s">
        <v>66</v>
      </c>
      <c r="L21" s="94" t="s">
        <v>66</v>
      </c>
      <c r="M21" s="94" t="s">
        <v>66</v>
      </c>
      <c r="N21" s="94" t="s">
        <v>66</v>
      </c>
      <c r="O21" s="94" t="s">
        <v>66</v>
      </c>
      <c r="P21" s="94" t="s">
        <v>66</v>
      </c>
      <c r="Q21" s="94" t="s">
        <v>66</v>
      </c>
      <c r="R21" s="94" t="s">
        <v>66</v>
      </c>
      <c r="S21" s="94" t="s">
        <v>66</v>
      </c>
      <c r="T21" s="94" t="s">
        <v>66</v>
      </c>
      <c r="U21" s="94" t="s">
        <v>66</v>
      </c>
      <c r="V21" s="94" t="s">
        <v>66</v>
      </c>
      <c r="W21" s="94" t="s">
        <v>66</v>
      </c>
      <c r="X21" s="94" t="s">
        <v>66</v>
      </c>
      <c r="Y21" s="94" t="s">
        <v>66</v>
      </c>
      <c r="Z21" s="94" t="s">
        <v>66</v>
      </c>
      <c r="AA21" s="94" t="s">
        <v>66</v>
      </c>
      <c r="AB21" s="94" t="s">
        <v>66</v>
      </c>
      <c r="AC21" s="94" t="s">
        <v>66</v>
      </c>
      <c r="AD21" s="94" t="s">
        <v>66</v>
      </c>
      <c r="AE21" s="94">
        <v>-7.38</v>
      </c>
      <c r="AF21" s="94">
        <v>-14</v>
      </c>
      <c r="AG21" s="94" t="s">
        <v>66</v>
      </c>
      <c r="AH21" s="94" t="s">
        <v>66</v>
      </c>
      <c r="AI21" s="94" t="s">
        <v>66</v>
      </c>
      <c r="AJ21" s="94" t="s">
        <v>66</v>
      </c>
      <c r="AK21" s="94" t="s">
        <v>66</v>
      </c>
      <c r="AL21" s="94" t="s">
        <v>66</v>
      </c>
      <c r="AM21" s="94" t="s">
        <v>66</v>
      </c>
      <c r="AN21" s="94" t="s">
        <v>66</v>
      </c>
      <c r="AO21" s="94" t="s">
        <v>66</v>
      </c>
      <c r="AP21" s="96" t="s">
        <v>66</v>
      </c>
    </row>
    <row r="22" spans="1:42" ht="15.75" customHeight="1" x14ac:dyDescent="0.25">
      <c r="A22" s="147">
        <f t="shared" si="11"/>
        <v>12</v>
      </c>
      <c r="B22" s="54" t="s">
        <v>33</v>
      </c>
      <c r="C22" s="87">
        <v>-160</v>
      </c>
      <c r="E22" s="96"/>
      <c r="F22" s="86" t="s">
        <v>118</v>
      </c>
      <c r="G22" s="121">
        <v>-15</v>
      </c>
      <c r="H22" s="121">
        <f t="shared" si="6"/>
        <v>15</v>
      </c>
      <c r="I22" s="87">
        <f t="shared" si="9"/>
        <v>0</v>
      </c>
      <c r="J22" s="91">
        <f t="shared" si="7"/>
        <v>0</v>
      </c>
      <c r="K22" s="92" t="s">
        <v>66</v>
      </c>
      <c r="L22" s="92" t="s">
        <v>66</v>
      </c>
      <c r="M22" s="92" t="s">
        <v>66</v>
      </c>
      <c r="N22" s="92" t="s">
        <v>66</v>
      </c>
      <c r="O22" s="92" t="s">
        <v>66</v>
      </c>
      <c r="P22" s="92" t="s">
        <v>66</v>
      </c>
      <c r="Q22" s="92" t="s">
        <v>66</v>
      </c>
      <c r="R22" s="92" t="s">
        <v>66</v>
      </c>
      <c r="S22" s="92" t="s">
        <v>66</v>
      </c>
      <c r="T22" s="92" t="s">
        <v>66</v>
      </c>
      <c r="U22" s="92" t="s">
        <v>66</v>
      </c>
      <c r="V22" s="92" t="s">
        <v>66</v>
      </c>
      <c r="W22" s="92" t="s">
        <v>66</v>
      </c>
      <c r="X22" s="92" t="s">
        <v>66</v>
      </c>
      <c r="Y22" s="239" t="s">
        <v>66</v>
      </c>
      <c r="Z22" s="239" t="s">
        <v>66</v>
      </c>
      <c r="AA22" s="92" t="s">
        <v>66</v>
      </c>
      <c r="AB22" s="92" t="s">
        <v>66</v>
      </c>
      <c r="AC22" s="239" t="s">
        <v>66</v>
      </c>
      <c r="AD22" s="92" t="s">
        <v>66</v>
      </c>
      <c r="AE22" s="92" t="s">
        <v>66</v>
      </c>
      <c r="AF22" s="92" t="s">
        <v>66</v>
      </c>
      <c r="AG22" s="92" t="s">
        <v>66</v>
      </c>
      <c r="AH22" s="92" t="s">
        <v>66</v>
      </c>
      <c r="AI22" s="92" t="s">
        <v>66</v>
      </c>
      <c r="AJ22" s="92" t="s">
        <v>66</v>
      </c>
      <c r="AK22" s="92" t="s">
        <v>66</v>
      </c>
      <c r="AL22" s="92" t="s">
        <v>66</v>
      </c>
      <c r="AM22" s="92" t="s">
        <v>66</v>
      </c>
      <c r="AN22" s="92" t="s">
        <v>66</v>
      </c>
      <c r="AO22" s="92" t="s">
        <v>66</v>
      </c>
      <c r="AP22" s="96" t="s">
        <v>66</v>
      </c>
    </row>
    <row r="23" spans="1:42" ht="15.75" customHeight="1" x14ac:dyDescent="0.25">
      <c r="A23" s="147">
        <f t="shared" si="11"/>
        <v>13</v>
      </c>
      <c r="B23" s="54" t="s">
        <v>131</v>
      </c>
      <c r="C23" s="87">
        <v>-30</v>
      </c>
      <c r="E23" s="96"/>
      <c r="F23" s="86"/>
      <c r="G23" s="121"/>
      <c r="H23" s="121"/>
      <c r="I23" s="87">
        <f t="shared" si="9"/>
        <v>0</v>
      </c>
      <c r="J23" s="91"/>
      <c r="K23" s="92" t="s">
        <v>66</v>
      </c>
      <c r="L23" s="92" t="s">
        <v>66</v>
      </c>
      <c r="M23" s="92" t="s">
        <v>66</v>
      </c>
      <c r="N23" s="92" t="s">
        <v>66</v>
      </c>
      <c r="O23" s="92" t="s">
        <v>66</v>
      </c>
      <c r="P23" s="92" t="s">
        <v>66</v>
      </c>
      <c r="Q23" s="92" t="s">
        <v>66</v>
      </c>
      <c r="R23" s="92" t="s">
        <v>66</v>
      </c>
      <c r="S23" s="92" t="s">
        <v>66</v>
      </c>
      <c r="T23" s="92" t="s">
        <v>66</v>
      </c>
      <c r="U23" s="92" t="s">
        <v>66</v>
      </c>
      <c r="V23" s="92" t="s">
        <v>66</v>
      </c>
      <c r="W23" s="92" t="s">
        <v>66</v>
      </c>
      <c r="X23" s="92" t="s">
        <v>66</v>
      </c>
      <c r="Y23" s="92" t="s">
        <v>66</v>
      </c>
      <c r="Z23" s="92" t="s">
        <v>66</v>
      </c>
      <c r="AA23" s="92" t="s">
        <v>66</v>
      </c>
      <c r="AB23" s="92" t="s">
        <v>66</v>
      </c>
      <c r="AC23" s="92" t="s">
        <v>66</v>
      </c>
      <c r="AD23" s="92" t="s">
        <v>66</v>
      </c>
      <c r="AE23" s="92" t="s">
        <v>66</v>
      </c>
      <c r="AF23" s="92" t="s">
        <v>66</v>
      </c>
      <c r="AG23" s="92" t="s">
        <v>66</v>
      </c>
      <c r="AH23" s="92" t="s">
        <v>66</v>
      </c>
      <c r="AI23" s="92" t="s">
        <v>66</v>
      </c>
      <c r="AJ23" s="92" t="s">
        <v>66</v>
      </c>
      <c r="AK23" s="92" t="s">
        <v>66</v>
      </c>
      <c r="AL23" s="92" t="s">
        <v>66</v>
      </c>
      <c r="AM23" s="92" t="s">
        <v>66</v>
      </c>
      <c r="AN23" s="92" t="s">
        <v>66</v>
      </c>
      <c r="AO23" s="92" t="s">
        <v>66</v>
      </c>
      <c r="AP23" s="96"/>
    </row>
    <row r="24" spans="1:42" ht="15.75" customHeight="1" x14ac:dyDescent="0.25">
      <c r="A24" s="147">
        <f t="shared" si="11"/>
        <v>14</v>
      </c>
      <c r="B24" s="54" t="s">
        <v>42</v>
      </c>
      <c r="C24" s="87">
        <v>0</v>
      </c>
      <c r="E24" s="96"/>
      <c r="F24" s="86" t="s">
        <v>35</v>
      </c>
      <c r="G24" s="121">
        <f>C21</f>
        <v>-5</v>
      </c>
      <c r="H24" s="121">
        <f t="shared" ref="H24:H31" si="13">I24-G24</f>
        <v>5</v>
      </c>
      <c r="I24" s="87">
        <f t="shared" si="9"/>
        <v>0</v>
      </c>
      <c r="J24" s="93">
        <f t="shared" ref="J24:J32" si="14">I24/$C$4</f>
        <v>0</v>
      </c>
      <c r="K24" s="94" t="s">
        <v>66</v>
      </c>
      <c r="L24" s="94" t="s">
        <v>66</v>
      </c>
      <c r="M24" s="94" t="s">
        <v>66</v>
      </c>
      <c r="N24" s="94" t="s">
        <v>66</v>
      </c>
      <c r="O24" s="94" t="s">
        <v>66</v>
      </c>
      <c r="P24" s="94" t="s">
        <v>66</v>
      </c>
      <c r="Q24" s="94" t="s">
        <v>66</v>
      </c>
      <c r="R24" s="94" t="s">
        <v>66</v>
      </c>
      <c r="S24" s="94" t="s">
        <v>66</v>
      </c>
      <c r="T24" s="94" t="s">
        <v>66</v>
      </c>
      <c r="U24" s="94" t="s">
        <v>66</v>
      </c>
      <c r="V24" s="94" t="s">
        <v>66</v>
      </c>
      <c r="W24" s="94" t="s">
        <v>66</v>
      </c>
      <c r="X24" s="94" t="s">
        <v>66</v>
      </c>
      <c r="Y24" s="94" t="s">
        <v>66</v>
      </c>
      <c r="Z24" s="94" t="s">
        <v>66</v>
      </c>
      <c r="AA24" s="94" t="s">
        <v>66</v>
      </c>
      <c r="AB24" s="94" t="s">
        <v>66</v>
      </c>
      <c r="AC24" s="240" t="s">
        <v>66</v>
      </c>
      <c r="AD24" s="94" t="s">
        <v>66</v>
      </c>
      <c r="AE24" s="94" t="s">
        <v>66</v>
      </c>
      <c r="AF24" s="94" t="s">
        <v>66</v>
      </c>
      <c r="AG24" s="94" t="s">
        <v>66</v>
      </c>
      <c r="AH24" s="94" t="s">
        <v>66</v>
      </c>
      <c r="AI24" s="94" t="s">
        <v>66</v>
      </c>
      <c r="AJ24" s="94" t="s">
        <v>66</v>
      </c>
      <c r="AK24" s="94" t="s">
        <v>66</v>
      </c>
      <c r="AL24" s="94" t="s">
        <v>66</v>
      </c>
      <c r="AM24" s="94" t="s">
        <v>66</v>
      </c>
      <c r="AN24" s="94" t="s">
        <v>66</v>
      </c>
      <c r="AO24" s="94" t="s">
        <v>66</v>
      </c>
      <c r="AP24" s="96" t="s">
        <v>66</v>
      </c>
    </row>
    <row r="25" spans="1:42" ht="15.75" customHeight="1" x14ac:dyDescent="0.25">
      <c r="A25" s="147">
        <f t="shared" si="11"/>
        <v>15</v>
      </c>
      <c r="B25" s="54" t="s">
        <v>89</v>
      </c>
      <c r="C25" s="87">
        <v>-20</v>
      </c>
      <c r="E25" s="96"/>
      <c r="F25" s="86" t="s">
        <v>36</v>
      </c>
      <c r="G25" s="121">
        <f>C33</f>
        <v>0</v>
      </c>
      <c r="H25" s="121">
        <f t="shared" si="13"/>
        <v>-179</v>
      </c>
      <c r="I25" s="87">
        <f t="shared" si="9"/>
        <v>-179</v>
      </c>
      <c r="J25" s="91">
        <f t="shared" si="14"/>
        <v>6.9612615517079798E-2</v>
      </c>
      <c r="K25" s="92" t="s">
        <v>66</v>
      </c>
      <c r="L25" s="92" t="s">
        <v>66</v>
      </c>
      <c r="M25" s="92" t="s">
        <v>66</v>
      </c>
      <c r="N25" s="92" t="s">
        <v>66</v>
      </c>
      <c r="O25" s="92" t="s">
        <v>66</v>
      </c>
      <c r="P25" s="92" t="s">
        <v>66</v>
      </c>
      <c r="Q25" s="92" t="s">
        <v>66</v>
      </c>
      <c r="R25" s="92" t="s">
        <v>66</v>
      </c>
      <c r="S25" s="92" t="s">
        <v>66</v>
      </c>
      <c r="T25" s="92" t="s">
        <v>66</v>
      </c>
      <c r="U25" s="92" t="s">
        <v>66</v>
      </c>
      <c r="V25" s="92" t="s">
        <v>66</v>
      </c>
      <c r="W25" s="92" t="s">
        <v>66</v>
      </c>
      <c r="X25" s="92" t="s">
        <v>66</v>
      </c>
      <c r="Y25" s="92" t="s">
        <v>66</v>
      </c>
      <c r="Z25" s="92" t="s">
        <v>66</v>
      </c>
      <c r="AA25" s="92" t="s">
        <v>66</v>
      </c>
      <c r="AB25" s="92" t="s">
        <v>66</v>
      </c>
      <c r="AC25" s="92" t="s">
        <v>66</v>
      </c>
      <c r="AD25" s="92" t="s">
        <v>66</v>
      </c>
      <c r="AE25" s="92">
        <v>-179</v>
      </c>
      <c r="AF25" s="92" t="s">
        <v>66</v>
      </c>
      <c r="AG25" s="92" t="s">
        <v>66</v>
      </c>
      <c r="AH25" s="92" t="s">
        <v>66</v>
      </c>
      <c r="AI25" s="92" t="s">
        <v>66</v>
      </c>
      <c r="AJ25" s="92" t="s">
        <v>66</v>
      </c>
      <c r="AK25" s="92" t="s">
        <v>66</v>
      </c>
      <c r="AL25" s="92" t="s">
        <v>66</v>
      </c>
      <c r="AM25" s="92" t="s">
        <v>66</v>
      </c>
      <c r="AN25" s="92" t="s">
        <v>66</v>
      </c>
      <c r="AO25" s="92" t="s">
        <v>66</v>
      </c>
      <c r="AP25" s="96" t="s">
        <v>66</v>
      </c>
    </row>
    <row r="26" spans="1:42" ht="15.75" customHeight="1" x14ac:dyDescent="0.25">
      <c r="A26" s="147">
        <f t="shared" si="11"/>
        <v>16</v>
      </c>
      <c r="B26" s="54" t="s">
        <v>109</v>
      </c>
      <c r="C26" s="87">
        <v>-15</v>
      </c>
      <c r="E26" s="96"/>
      <c r="F26" s="86" t="s">
        <v>39</v>
      </c>
      <c r="G26" s="121">
        <f>C18</f>
        <v>-150</v>
      </c>
      <c r="H26" s="121">
        <f t="shared" si="13"/>
        <v>-148.01999999999998</v>
      </c>
      <c r="I26" s="87">
        <f t="shared" si="9"/>
        <v>-298.02</v>
      </c>
      <c r="J26" s="93">
        <f t="shared" si="14"/>
        <v>0.11589917137653698</v>
      </c>
      <c r="K26" s="94" t="s">
        <v>66</v>
      </c>
      <c r="L26" s="94" t="s">
        <v>66</v>
      </c>
      <c r="M26" s="94" t="s">
        <v>66</v>
      </c>
      <c r="N26" s="94" t="s">
        <v>66</v>
      </c>
      <c r="O26" s="94">
        <v>-21.6</v>
      </c>
      <c r="P26" s="240" t="s">
        <v>66</v>
      </c>
      <c r="Q26" s="94">
        <f>-33.5-15.98</f>
        <v>-49.480000000000004</v>
      </c>
      <c r="R26" s="94" t="s">
        <v>66</v>
      </c>
      <c r="S26" s="94" t="s">
        <v>66</v>
      </c>
      <c r="T26" s="94" t="s">
        <v>66</v>
      </c>
      <c r="U26" s="94" t="s">
        <v>66</v>
      </c>
      <c r="V26" s="94" t="s">
        <v>66</v>
      </c>
      <c r="W26" s="94" t="s">
        <v>66</v>
      </c>
      <c r="X26" s="94">
        <f>-29.58-15-19.99-41.5-23.98</f>
        <v>-130.04999999999998</v>
      </c>
      <c r="Y26" s="240" t="s">
        <v>66</v>
      </c>
      <c r="Z26" s="94">
        <v>-14.2</v>
      </c>
      <c r="AA26" s="94">
        <v>-13.4</v>
      </c>
      <c r="AB26" s="94" t="s">
        <v>66</v>
      </c>
      <c r="AC26" s="94" t="s">
        <v>66</v>
      </c>
      <c r="AD26" s="94" t="s">
        <v>66</v>
      </c>
      <c r="AE26" s="94">
        <v>-41.28</v>
      </c>
      <c r="AF26" s="94" t="s">
        <v>66</v>
      </c>
      <c r="AG26" s="94" t="s">
        <v>66</v>
      </c>
      <c r="AH26" s="94" t="s">
        <v>66</v>
      </c>
      <c r="AI26" s="94" t="s">
        <v>66</v>
      </c>
      <c r="AJ26" s="94">
        <v>-23</v>
      </c>
      <c r="AK26" s="94">
        <f>-0.01-5</f>
        <v>-5.01</v>
      </c>
      <c r="AL26" s="94" t="s">
        <v>66</v>
      </c>
      <c r="AM26" s="94" t="s">
        <v>66</v>
      </c>
      <c r="AN26" s="94" t="s">
        <v>66</v>
      </c>
      <c r="AO26" s="94" t="s">
        <v>66</v>
      </c>
      <c r="AP26" s="96" t="s">
        <v>66</v>
      </c>
    </row>
    <row r="27" spans="1:42" ht="15.75" customHeight="1" x14ac:dyDescent="0.25">
      <c r="A27" s="147">
        <f t="shared" si="11"/>
        <v>17</v>
      </c>
      <c r="B27" s="54" t="s">
        <v>81</v>
      </c>
      <c r="C27" s="87">
        <v>-40</v>
      </c>
      <c r="E27" s="96"/>
      <c r="F27" s="86" t="s">
        <v>40</v>
      </c>
      <c r="G27" s="121">
        <f>C31</f>
        <v>-40</v>
      </c>
      <c r="H27" s="121">
        <f t="shared" si="13"/>
        <v>40</v>
      </c>
      <c r="I27" s="87">
        <f t="shared" si="9"/>
        <v>0</v>
      </c>
      <c r="J27" s="91">
        <f t="shared" si="14"/>
        <v>0</v>
      </c>
      <c r="K27" s="92" t="s">
        <v>66</v>
      </c>
      <c r="L27" s="92" t="s">
        <v>66</v>
      </c>
      <c r="M27" s="92" t="s">
        <v>66</v>
      </c>
      <c r="N27" s="92" t="s">
        <v>66</v>
      </c>
      <c r="O27" s="92" t="s">
        <v>66</v>
      </c>
      <c r="P27" s="92" t="s">
        <v>66</v>
      </c>
      <c r="Q27" s="92" t="s">
        <v>66</v>
      </c>
      <c r="R27" s="92" t="s">
        <v>66</v>
      </c>
      <c r="S27" s="92" t="s">
        <v>66</v>
      </c>
      <c r="T27" s="92" t="s">
        <v>66</v>
      </c>
      <c r="U27" s="92" t="s">
        <v>66</v>
      </c>
      <c r="V27" s="92" t="s">
        <v>66</v>
      </c>
      <c r="W27" s="92" t="s">
        <v>66</v>
      </c>
      <c r="X27" s="92" t="s">
        <v>66</v>
      </c>
      <c r="Y27" s="92" t="s">
        <v>66</v>
      </c>
      <c r="Z27" s="92" t="s">
        <v>66</v>
      </c>
      <c r="AA27" s="92" t="s">
        <v>66</v>
      </c>
      <c r="AB27" s="92" t="s">
        <v>66</v>
      </c>
      <c r="AC27" s="92" t="s">
        <v>66</v>
      </c>
      <c r="AD27" s="92" t="s">
        <v>66</v>
      </c>
      <c r="AE27" s="92" t="s">
        <v>66</v>
      </c>
      <c r="AF27" s="92" t="s">
        <v>66</v>
      </c>
      <c r="AG27" s="92" t="s">
        <v>66</v>
      </c>
      <c r="AH27" s="92" t="s">
        <v>66</v>
      </c>
      <c r="AI27" s="92" t="s">
        <v>66</v>
      </c>
      <c r="AJ27" s="92" t="s">
        <v>66</v>
      </c>
      <c r="AK27" s="92" t="s">
        <v>66</v>
      </c>
      <c r="AL27" s="92" t="s">
        <v>66</v>
      </c>
      <c r="AM27" s="92" t="s">
        <v>66</v>
      </c>
      <c r="AN27" s="92" t="s">
        <v>66</v>
      </c>
      <c r="AO27" s="92" t="s">
        <v>66</v>
      </c>
      <c r="AP27" s="96" t="s">
        <v>66</v>
      </c>
    </row>
    <row r="28" spans="1:42" ht="15.75" customHeight="1" x14ac:dyDescent="0.25">
      <c r="A28" s="147">
        <f t="shared" si="11"/>
        <v>18</v>
      </c>
      <c r="B28" s="54" t="s">
        <v>28</v>
      </c>
      <c r="C28" s="87">
        <v>-60</v>
      </c>
      <c r="E28" s="96"/>
      <c r="F28" s="86" t="s">
        <v>41</v>
      </c>
      <c r="G28" s="121">
        <f>C33</f>
        <v>0</v>
      </c>
      <c r="H28" s="121">
        <f t="shared" si="13"/>
        <v>0</v>
      </c>
      <c r="I28" s="87">
        <f t="shared" si="9"/>
        <v>0</v>
      </c>
      <c r="J28" s="93">
        <f t="shared" si="14"/>
        <v>0</v>
      </c>
      <c r="K28" s="94" t="s">
        <v>66</v>
      </c>
      <c r="L28" s="94" t="s">
        <v>66</v>
      </c>
      <c r="M28" s="94" t="s">
        <v>66</v>
      </c>
      <c r="N28" s="94" t="s">
        <v>66</v>
      </c>
      <c r="O28" s="94" t="s">
        <v>66</v>
      </c>
      <c r="P28" s="94" t="s">
        <v>66</v>
      </c>
      <c r="Q28" s="94" t="s">
        <v>66</v>
      </c>
      <c r="R28" s="94" t="s">
        <v>66</v>
      </c>
      <c r="S28" s="94" t="s">
        <v>66</v>
      </c>
      <c r="T28" s="94" t="s">
        <v>66</v>
      </c>
      <c r="U28" s="94" t="s">
        <v>66</v>
      </c>
      <c r="V28" s="94" t="s">
        <v>66</v>
      </c>
      <c r="W28" s="94" t="s">
        <v>66</v>
      </c>
      <c r="X28" s="94" t="s">
        <v>66</v>
      </c>
      <c r="Y28" s="94" t="s">
        <v>66</v>
      </c>
      <c r="Z28" s="94" t="s">
        <v>66</v>
      </c>
      <c r="AA28" s="94" t="s">
        <v>66</v>
      </c>
      <c r="AB28" s="94" t="s">
        <v>66</v>
      </c>
      <c r="AC28" s="94" t="s">
        <v>66</v>
      </c>
      <c r="AD28" s="94" t="s">
        <v>66</v>
      </c>
      <c r="AE28" s="94" t="s">
        <v>66</v>
      </c>
      <c r="AF28" s="94" t="s">
        <v>66</v>
      </c>
      <c r="AG28" s="94" t="s">
        <v>66</v>
      </c>
      <c r="AH28" s="94" t="s">
        <v>66</v>
      </c>
      <c r="AI28" s="94" t="s">
        <v>66</v>
      </c>
      <c r="AJ28" s="94" t="s">
        <v>66</v>
      </c>
      <c r="AK28" s="94" t="s">
        <v>66</v>
      </c>
      <c r="AL28" s="94" t="s">
        <v>66</v>
      </c>
      <c r="AM28" s="94" t="s">
        <v>66</v>
      </c>
      <c r="AN28" s="94" t="s">
        <v>66</v>
      </c>
      <c r="AO28" s="94" t="s">
        <v>66</v>
      </c>
      <c r="AP28" s="96" t="s">
        <v>66</v>
      </c>
    </row>
    <row r="29" spans="1:42" ht="15.75" customHeight="1" x14ac:dyDescent="0.25">
      <c r="A29" s="147"/>
      <c r="B29" s="54"/>
      <c r="C29" s="87"/>
      <c r="E29" s="246"/>
      <c r="F29" s="86" t="s">
        <v>207</v>
      </c>
      <c r="G29" s="121">
        <v>0</v>
      </c>
      <c r="H29" s="121">
        <v>0</v>
      </c>
      <c r="I29" s="87">
        <f>-(2587+511.66)/12</f>
        <v>-258.22166666666664</v>
      </c>
      <c r="J29" s="93">
        <f>I29/'Nov2019'!$C$4</f>
        <v>9.6875180937924688E-2</v>
      </c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246"/>
    </row>
    <row r="30" spans="1:42" ht="15.75" customHeight="1" x14ac:dyDescent="0.25">
      <c r="A30" s="147">
        <f>A28+1</f>
        <v>19</v>
      </c>
      <c r="B30" s="54" t="s">
        <v>120</v>
      </c>
      <c r="C30" s="87">
        <f>-8-22</f>
        <v>-30</v>
      </c>
      <c r="E30" s="96"/>
      <c r="F30" s="86" t="s">
        <v>72</v>
      </c>
      <c r="G30" s="121">
        <f>C11</f>
        <v>-550</v>
      </c>
      <c r="H30" s="121">
        <f t="shared" si="13"/>
        <v>0</v>
      </c>
      <c r="I30" s="87">
        <f t="shared" si="9"/>
        <v>-550</v>
      </c>
      <c r="J30" s="91">
        <f t="shared" si="14"/>
        <v>0.213893511365329</v>
      </c>
      <c r="K30" s="92" t="s">
        <v>66</v>
      </c>
      <c r="L30" s="92" t="s">
        <v>66</v>
      </c>
      <c r="M30" s="92" t="s">
        <v>66</v>
      </c>
      <c r="N30" s="92" t="s">
        <v>66</v>
      </c>
      <c r="O30" s="92" t="s">
        <v>66</v>
      </c>
      <c r="P30" s="92" t="s">
        <v>66</v>
      </c>
      <c r="Q30" s="92">
        <v>-550</v>
      </c>
      <c r="R30" s="92" t="s">
        <v>66</v>
      </c>
      <c r="S30" s="92" t="s">
        <v>66</v>
      </c>
      <c r="T30" s="92" t="s">
        <v>66</v>
      </c>
      <c r="U30" s="92" t="s">
        <v>66</v>
      </c>
      <c r="V30" s="92" t="s">
        <v>66</v>
      </c>
      <c r="W30" s="92" t="s">
        <v>66</v>
      </c>
      <c r="X30" s="92" t="s">
        <v>66</v>
      </c>
      <c r="Y30" s="92" t="s">
        <v>66</v>
      </c>
      <c r="Z30" s="92" t="s">
        <v>66</v>
      </c>
      <c r="AA30" s="92" t="s">
        <v>66</v>
      </c>
      <c r="AB30" s="92" t="s">
        <v>66</v>
      </c>
      <c r="AC30" s="92" t="s">
        <v>66</v>
      </c>
      <c r="AD30" s="92" t="s">
        <v>66</v>
      </c>
      <c r="AE30" s="92" t="s">
        <v>66</v>
      </c>
      <c r="AF30" s="92" t="s">
        <v>66</v>
      </c>
      <c r="AG30" s="92" t="s">
        <v>66</v>
      </c>
      <c r="AH30" s="92" t="s">
        <v>66</v>
      </c>
      <c r="AI30" s="92" t="s">
        <v>66</v>
      </c>
      <c r="AJ30" s="92" t="s">
        <v>66</v>
      </c>
      <c r="AK30" s="92" t="s">
        <v>66</v>
      </c>
      <c r="AL30" s="92" t="s">
        <v>66</v>
      </c>
      <c r="AM30" s="92" t="s">
        <v>66</v>
      </c>
      <c r="AN30" s="92" t="s">
        <v>66</v>
      </c>
      <c r="AO30" s="92" t="s">
        <v>66</v>
      </c>
      <c r="AP30" s="96" t="s">
        <v>66</v>
      </c>
    </row>
    <row r="31" spans="1:42" ht="15.75" customHeight="1" x14ac:dyDescent="0.25">
      <c r="A31" s="147">
        <f t="shared" si="11"/>
        <v>20</v>
      </c>
      <c r="B31" s="54" t="s">
        <v>40</v>
      </c>
      <c r="C31" s="87">
        <v>-40</v>
      </c>
      <c r="E31" s="96"/>
      <c r="F31" s="86" t="s">
        <v>121</v>
      </c>
      <c r="G31" s="121">
        <f>C24</f>
        <v>0</v>
      </c>
      <c r="H31" s="121">
        <f t="shared" si="13"/>
        <v>0</v>
      </c>
      <c r="I31" s="87">
        <f t="shared" si="9"/>
        <v>0</v>
      </c>
      <c r="J31" s="93">
        <f t="shared" si="14"/>
        <v>0</v>
      </c>
      <c r="K31" s="94" t="s">
        <v>66</v>
      </c>
      <c r="L31" s="94" t="s">
        <v>66</v>
      </c>
      <c r="M31" s="94" t="s">
        <v>66</v>
      </c>
      <c r="N31" s="94" t="s">
        <v>66</v>
      </c>
      <c r="O31" s="94" t="s">
        <v>66</v>
      </c>
      <c r="P31" s="94" t="s">
        <v>66</v>
      </c>
      <c r="Q31" s="94" t="s">
        <v>66</v>
      </c>
      <c r="R31" s="94" t="s">
        <v>66</v>
      </c>
      <c r="S31" s="94" t="s">
        <v>66</v>
      </c>
      <c r="T31" s="94" t="s">
        <v>66</v>
      </c>
      <c r="U31" s="94" t="s">
        <v>66</v>
      </c>
      <c r="V31" s="94" t="s">
        <v>66</v>
      </c>
      <c r="W31" s="94" t="s">
        <v>66</v>
      </c>
      <c r="X31" s="94" t="s">
        <v>66</v>
      </c>
      <c r="Y31" s="94" t="s">
        <v>66</v>
      </c>
      <c r="Z31" s="94" t="s">
        <v>66</v>
      </c>
      <c r="AA31" s="94" t="s">
        <v>66</v>
      </c>
      <c r="AB31" s="94" t="s">
        <v>66</v>
      </c>
      <c r="AC31" s="94" t="s">
        <v>66</v>
      </c>
      <c r="AD31" s="94" t="s">
        <v>66</v>
      </c>
      <c r="AE31" s="94" t="s">
        <v>66</v>
      </c>
      <c r="AF31" s="94" t="s">
        <v>66</v>
      </c>
      <c r="AG31" s="94" t="s">
        <v>66</v>
      </c>
      <c r="AH31" s="94" t="s">
        <v>66</v>
      </c>
      <c r="AI31" s="94" t="s">
        <v>66</v>
      </c>
      <c r="AJ31" s="94" t="s">
        <v>66</v>
      </c>
      <c r="AK31" s="94" t="s">
        <v>66</v>
      </c>
      <c r="AL31" s="94" t="s">
        <v>66</v>
      </c>
      <c r="AM31" s="94" t="s">
        <v>66</v>
      </c>
      <c r="AN31" s="94" t="s">
        <v>66</v>
      </c>
      <c r="AO31" s="94" t="s">
        <v>66</v>
      </c>
      <c r="AP31" s="96" t="s">
        <v>66</v>
      </c>
    </row>
    <row r="32" spans="1:42" ht="15.75" customHeight="1" x14ac:dyDescent="0.25">
      <c r="A32" s="147">
        <f t="shared" si="11"/>
        <v>21</v>
      </c>
      <c r="B32" s="54" t="s">
        <v>122</v>
      </c>
      <c r="C32" s="87">
        <v>-100</v>
      </c>
      <c r="E32" s="96"/>
      <c r="F32" s="86" t="s">
        <v>96</v>
      </c>
      <c r="G32" s="86"/>
      <c r="H32" s="86"/>
      <c r="I32" s="87">
        <f t="shared" ref="I32" si="15">SUM(K32:AN32)</f>
        <v>0</v>
      </c>
      <c r="J32" s="91">
        <f t="shared" si="14"/>
        <v>0</v>
      </c>
      <c r="K32" s="92" t="s">
        <v>66</v>
      </c>
      <c r="L32" s="92" t="s">
        <v>66</v>
      </c>
      <c r="M32" s="92" t="s">
        <v>66</v>
      </c>
      <c r="N32" s="92" t="s">
        <v>66</v>
      </c>
      <c r="O32" s="92" t="s">
        <v>66</v>
      </c>
      <c r="P32" s="92" t="s">
        <v>66</v>
      </c>
      <c r="Q32" s="92" t="s">
        <v>66</v>
      </c>
      <c r="R32" s="92" t="s">
        <v>66</v>
      </c>
      <c r="S32" s="92" t="s">
        <v>66</v>
      </c>
      <c r="T32" s="92" t="s">
        <v>66</v>
      </c>
      <c r="U32" s="92" t="s">
        <v>66</v>
      </c>
      <c r="V32" s="92" t="s">
        <v>66</v>
      </c>
      <c r="W32" s="92" t="s">
        <v>66</v>
      </c>
      <c r="X32" s="92" t="s">
        <v>66</v>
      </c>
      <c r="Y32" s="92" t="s">
        <v>66</v>
      </c>
      <c r="Z32" s="92" t="s">
        <v>66</v>
      </c>
      <c r="AA32" s="92" t="s">
        <v>66</v>
      </c>
      <c r="AB32" s="92" t="s">
        <v>66</v>
      </c>
      <c r="AC32" s="92" t="s">
        <v>66</v>
      </c>
      <c r="AD32" s="92" t="s">
        <v>66</v>
      </c>
      <c r="AE32" s="92" t="s">
        <v>66</v>
      </c>
      <c r="AF32" s="92" t="s">
        <v>66</v>
      </c>
      <c r="AG32" s="92" t="s">
        <v>66</v>
      </c>
      <c r="AH32" s="92" t="s">
        <v>66</v>
      </c>
      <c r="AI32" s="92" t="s">
        <v>66</v>
      </c>
      <c r="AJ32" s="92" t="s">
        <v>66</v>
      </c>
      <c r="AK32" s="92" t="s">
        <v>66</v>
      </c>
      <c r="AL32" s="92" t="s">
        <v>66</v>
      </c>
      <c r="AM32" s="92" t="s">
        <v>66</v>
      </c>
      <c r="AN32" s="92" t="s">
        <v>66</v>
      </c>
      <c r="AO32" s="92" t="s">
        <v>66</v>
      </c>
      <c r="AP32" s="96" t="s">
        <v>66</v>
      </c>
    </row>
    <row r="33" spans="1:42" ht="15.75" customHeight="1" x14ac:dyDescent="0.25">
      <c r="A33" s="147">
        <f t="shared" si="11"/>
        <v>22</v>
      </c>
      <c r="B33" s="54" t="s">
        <v>36</v>
      </c>
      <c r="C33" s="87">
        <f>BaseDeDados!X22</f>
        <v>0</v>
      </c>
      <c r="E33" s="96"/>
      <c r="F33" s="99" t="s">
        <v>44</v>
      </c>
      <c r="G33" s="99"/>
      <c r="H33" s="250">
        <f>SUM(H7:H31)</f>
        <v>-56.630000000000024</v>
      </c>
      <c r="I33" s="124">
        <f>SUM(K33:AL33)</f>
        <v>3673.39</v>
      </c>
      <c r="J33" s="125"/>
      <c r="K33" s="126">
        <f>50+6</f>
        <v>56</v>
      </c>
      <c r="L33" s="126"/>
      <c r="M33" s="126"/>
      <c r="N33" s="126"/>
      <c r="O33" s="126">
        <v>3260.39</v>
      </c>
      <c r="P33" s="126">
        <v>307</v>
      </c>
      <c r="Q33" s="126"/>
      <c r="R33" s="245"/>
      <c r="S33" s="126"/>
      <c r="T33" s="126"/>
      <c r="U33" s="126"/>
      <c r="V33" s="126"/>
      <c r="W33" s="126"/>
      <c r="X33" s="126"/>
      <c r="Y33" s="126">
        <v>50</v>
      </c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96"/>
    </row>
    <row r="34" spans="1:42" ht="15.75" customHeight="1" x14ac:dyDescent="0.25">
      <c r="A34" s="151">
        <f t="shared" si="11"/>
        <v>23</v>
      </c>
      <c r="B34" s="63" t="s">
        <v>41</v>
      </c>
      <c r="C34" s="98">
        <v>0</v>
      </c>
      <c r="E34" s="96"/>
      <c r="F34" s="163"/>
      <c r="G34" s="164"/>
      <c r="H34" s="164"/>
      <c r="I34" s="165"/>
      <c r="J34" s="166"/>
      <c r="K34" s="167"/>
      <c r="L34" s="167"/>
      <c r="M34" s="168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97"/>
    </row>
    <row r="35" spans="1:42" ht="15.75" customHeight="1" x14ac:dyDescent="0.25">
      <c r="E35" s="96"/>
      <c r="F35" s="110" t="s">
        <v>79</v>
      </c>
      <c r="G35" s="110"/>
      <c r="H35" s="110"/>
      <c r="I35" s="58"/>
      <c r="J35" s="66"/>
      <c r="K35" s="112">
        <f t="shared" ref="K35:AO35" si="16">SUM($K$6:K6)</f>
        <v>0</v>
      </c>
      <c r="L35" s="112">
        <f t="shared" si="16"/>
        <v>-60.430000000000007</v>
      </c>
      <c r="M35" s="112">
        <f t="shared" si="16"/>
        <v>-60.430000000000007</v>
      </c>
      <c r="N35" s="112">
        <f t="shared" si="16"/>
        <v>-80.34</v>
      </c>
      <c r="O35" s="112">
        <f t="shared" si="16"/>
        <v>-108.84</v>
      </c>
      <c r="P35" s="112">
        <f t="shared" si="16"/>
        <v>-113.34</v>
      </c>
      <c r="Q35" s="112">
        <f t="shared" si="16"/>
        <v>-745.7</v>
      </c>
      <c r="R35" s="112">
        <f t="shared" si="16"/>
        <v>-772.6</v>
      </c>
      <c r="S35" s="112">
        <f t="shared" si="16"/>
        <v>-833.29</v>
      </c>
      <c r="T35" s="112">
        <f t="shared" si="16"/>
        <v>-833.29</v>
      </c>
      <c r="U35" s="112">
        <f t="shared" si="16"/>
        <v>-869.19999999999993</v>
      </c>
      <c r="V35" s="112">
        <f t="shared" si="16"/>
        <v>-871.94999999999993</v>
      </c>
      <c r="W35" s="112">
        <f t="shared" si="16"/>
        <v>-894.15</v>
      </c>
      <c r="X35" s="112">
        <f t="shared" si="16"/>
        <v>-1046</v>
      </c>
      <c r="Y35" s="112">
        <f t="shared" si="16"/>
        <v>-1061.4000000000001</v>
      </c>
      <c r="Z35" s="112">
        <f t="shared" si="16"/>
        <v>-1085.6000000000001</v>
      </c>
      <c r="AA35" s="112">
        <f t="shared" si="16"/>
        <v>-1165.6000000000001</v>
      </c>
      <c r="AB35" s="112">
        <f t="shared" si="16"/>
        <v>-1165.6000000000001</v>
      </c>
      <c r="AC35" s="112">
        <f t="shared" si="16"/>
        <v>-1203.46</v>
      </c>
      <c r="AD35" s="112">
        <f t="shared" si="16"/>
        <v>-1203.46</v>
      </c>
      <c r="AE35" s="112">
        <f t="shared" si="16"/>
        <v>-1441.32</v>
      </c>
      <c r="AF35" s="112">
        <f t="shared" si="16"/>
        <v>-1500.21</v>
      </c>
      <c r="AG35" s="112">
        <f t="shared" si="16"/>
        <v>-1522.3</v>
      </c>
      <c r="AH35" s="112">
        <f t="shared" si="16"/>
        <v>-1525.8</v>
      </c>
      <c r="AI35" s="112">
        <f t="shared" si="16"/>
        <v>-1585.2</v>
      </c>
      <c r="AJ35" s="112">
        <f t="shared" si="16"/>
        <v>-1662.5900000000001</v>
      </c>
      <c r="AK35" s="112">
        <f t="shared" si="16"/>
        <v>-1712.2</v>
      </c>
      <c r="AL35" s="112">
        <f t="shared" si="16"/>
        <v>-1730.94</v>
      </c>
      <c r="AM35" s="112">
        <f t="shared" si="16"/>
        <v>-1769.5700000000002</v>
      </c>
      <c r="AN35" s="112">
        <f t="shared" si="16"/>
        <v>-1842.3400000000001</v>
      </c>
      <c r="AO35" s="112">
        <f t="shared" si="16"/>
        <v>-1893.5200000000002</v>
      </c>
      <c r="AP35" s="97"/>
    </row>
    <row r="36" spans="1:42" ht="15.75" customHeight="1" x14ac:dyDescent="0.25">
      <c r="E36" s="96"/>
      <c r="F36" s="99" t="s">
        <v>69</v>
      </c>
      <c r="G36" s="169"/>
      <c r="H36" s="169"/>
      <c r="I36" s="44"/>
      <c r="J36" s="115">
        <f>'Nov2019'!AN35</f>
        <v>8692.0000000000127</v>
      </c>
      <c r="K36" s="73">
        <f t="shared" ref="K36:AM36" si="17">J46+K6+K33</f>
        <v>8748.0000000000127</v>
      </c>
      <c r="L36" s="73">
        <f t="shared" si="17"/>
        <v>8687.5700000000124</v>
      </c>
      <c r="M36" s="73">
        <f t="shared" si="17"/>
        <v>8687.5700000000124</v>
      </c>
      <c r="N36" s="73">
        <f t="shared" si="17"/>
        <v>8667.6600000000126</v>
      </c>
      <c r="O36" s="73">
        <f t="shared" si="17"/>
        <v>11899.550000000012</v>
      </c>
      <c r="P36" s="73">
        <f t="shared" si="17"/>
        <v>12202.050000000012</v>
      </c>
      <c r="Q36" s="73">
        <f t="shared" si="17"/>
        <v>11569.690000000011</v>
      </c>
      <c r="R36" s="73">
        <f t="shared" si="17"/>
        <v>11542.790000000012</v>
      </c>
      <c r="S36" s="73">
        <f t="shared" si="17"/>
        <v>11482.100000000011</v>
      </c>
      <c r="T36" s="73">
        <f t="shared" si="17"/>
        <v>11482.100000000011</v>
      </c>
      <c r="U36" s="73">
        <f t="shared" si="17"/>
        <v>11446.190000000011</v>
      </c>
      <c r="V36" s="73">
        <f t="shared" si="17"/>
        <v>11443.440000000011</v>
      </c>
      <c r="W36" s="73">
        <f t="shared" si="17"/>
        <v>11421.240000000011</v>
      </c>
      <c r="X36" s="73">
        <f t="shared" si="17"/>
        <v>11269.39000000001</v>
      </c>
      <c r="Y36" s="73">
        <f t="shared" si="17"/>
        <v>11303.990000000011</v>
      </c>
      <c r="Z36" s="73">
        <f t="shared" si="17"/>
        <v>11279.79000000001</v>
      </c>
      <c r="AA36" s="73">
        <f t="shared" si="17"/>
        <v>11199.79000000001</v>
      </c>
      <c r="AB36" s="73">
        <f t="shared" si="17"/>
        <v>11199.79000000001</v>
      </c>
      <c r="AC36" s="73">
        <f t="shared" si="17"/>
        <v>11161.930000000009</v>
      </c>
      <c r="AD36" s="73">
        <f t="shared" si="17"/>
        <v>11161.930000000009</v>
      </c>
      <c r="AE36" s="73">
        <f t="shared" si="17"/>
        <v>10924.070000000009</v>
      </c>
      <c r="AF36" s="73">
        <f t="shared" si="17"/>
        <v>10865.180000000009</v>
      </c>
      <c r="AG36" s="73">
        <f t="shared" si="17"/>
        <v>10843.090000000009</v>
      </c>
      <c r="AH36" s="73">
        <f t="shared" si="17"/>
        <v>10839.590000000009</v>
      </c>
      <c r="AI36" s="73">
        <f t="shared" si="17"/>
        <v>10780.19000000001</v>
      </c>
      <c r="AJ36" s="73">
        <f t="shared" si="17"/>
        <v>10702.80000000001</v>
      </c>
      <c r="AK36" s="73">
        <f t="shared" si="17"/>
        <v>10653.19000000001</v>
      </c>
      <c r="AL36" s="73">
        <f t="shared" si="17"/>
        <v>10634.45000000001</v>
      </c>
      <c r="AM36" s="73">
        <f t="shared" si="17"/>
        <v>10595.820000000011</v>
      </c>
      <c r="AN36" s="73">
        <f>AL46+AN6+AN33</f>
        <v>10561.680000000009</v>
      </c>
      <c r="AO36" s="73">
        <f>AM46+AO6+AO33</f>
        <v>10544.64000000001</v>
      </c>
      <c r="AP36" s="97"/>
    </row>
    <row r="37" spans="1:42" ht="15.75" customHeight="1" x14ac:dyDescent="0.25">
      <c r="E37" s="96"/>
      <c r="F37" s="83" t="s">
        <v>61</v>
      </c>
      <c r="G37" s="83"/>
      <c r="H37" s="83"/>
      <c r="I37" s="12"/>
      <c r="J37" s="12"/>
      <c r="R37" s="1"/>
      <c r="S37" s="1">
        <v>34</v>
      </c>
      <c r="T37" s="1"/>
      <c r="U37" s="1"/>
      <c r="V37" s="1"/>
      <c r="W37" s="1"/>
      <c r="X37" s="1"/>
      <c r="Y37" s="1"/>
      <c r="Z37" s="1"/>
      <c r="AA37" s="1">
        <v>74</v>
      </c>
      <c r="AB37" s="1"/>
      <c r="AC37" s="1"/>
      <c r="AD37" s="1">
        <v>74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>
        <v>32</v>
      </c>
      <c r="AP37" s="97"/>
    </row>
    <row r="38" spans="1:42" ht="15.75" customHeight="1" x14ac:dyDescent="0.25">
      <c r="E38" s="246"/>
      <c r="F38" s="248" t="s">
        <v>194</v>
      </c>
      <c r="G38" s="83"/>
      <c r="H38" s="83"/>
      <c r="I38" s="12"/>
      <c r="J38" s="1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>
        <v>10.94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>
        <f>AD38</f>
        <v>10.94</v>
      </c>
      <c r="AP38" s="247"/>
    </row>
    <row r="39" spans="1:42" ht="15.75" customHeight="1" x14ac:dyDescent="0.25">
      <c r="E39" s="96"/>
      <c r="F39" s="83" t="s">
        <v>134</v>
      </c>
      <c r="G39" s="83"/>
      <c r="H39" s="83"/>
      <c r="I39" s="12"/>
      <c r="J39" s="12"/>
      <c r="K39" s="54"/>
      <c r="R39" s="1"/>
      <c r="S39" s="1">
        <f>-455.9*(7/10)</f>
        <v>-319.12999999999994</v>
      </c>
      <c r="T39" s="1"/>
      <c r="U39" s="1"/>
      <c r="V39" s="1"/>
      <c r="W39" s="1"/>
      <c r="X39" s="1"/>
      <c r="Y39" s="1"/>
      <c r="Z39" s="1"/>
      <c r="AA39" s="1">
        <f>-319.13-((2/3)*69.9)</f>
        <v>-365.73</v>
      </c>
      <c r="AB39" s="1"/>
      <c r="AC39" s="1"/>
      <c r="AD39" s="1">
        <f>AA39</f>
        <v>-365.73</v>
      </c>
      <c r="AE39" s="1"/>
      <c r="AF39" s="1"/>
      <c r="AG39" s="1"/>
      <c r="AH39" s="1">
        <f>AD39-19.97*6</f>
        <v>-485.55</v>
      </c>
      <c r="AI39" s="1"/>
      <c r="AJ39" s="1"/>
      <c r="AK39" s="1"/>
      <c r="AL39" s="1"/>
      <c r="AM39" s="1"/>
      <c r="AN39" s="1"/>
      <c r="AO39" s="1">
        <f>-6*41.64-1*23.3-5*45.59-5*19.97</f>
        <v>-600.94000000000005</v>
      </c>
      <c r="AP39" s="97"/>
    </row>
    <row r="40" spans="1:42" ht="15.75" customHeight="1" x14ac:dyDescent="0.25">
      <c r="E40" s="96"/>
      <c r="F40" s="83" t="s">
        <v>70</v>
      </c>
      <c r="G40" s="83"/>
      <c r="H40" s="83"/>
      <c r="I40" s="12"/>
      <c r="J40" s="12"/>
      <c r="R40" s="1"/>
      <c r="S40" s="1">
        <v>-2937.28</v>
      </c>
      <c r="T40" s="1"/>
      <c r="U40" s="1"/>
      <c r="V40" s="1"/>
      <c r="W40" s="1"/>
      <c r="X40" s="1"/>
      <c r="Y40" s="1"/>
      <c r="Z40" s="1"/>
      <c r="AA40" s="1">
        <v>-3272.98</v>
      </c>
      <c r="AB40" s="1"/>
      <c r="AC40" s="1"/>
      <c r="AD40" s="1">
        <f>-3310.84</f>
        <v>-3310.84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>
        <f>-3789.84-270.85</f>
        <v>-4060.69</v>
      </c>
      <c r="AP40" s="97"/>
    </row>
    <row r="41" spans="1:42" ht="15.75" customHeight="1" x14ac:dyDescent="0.25">
      <c r="E41" s="96"/>
      <c r="F41" s="83" t="s">
        <v>137</v>
      </c>
      <c r="G41" s="83"/>
      <c r="H41" s="83"/>
      <c r="I41" s="12"/>
      <c r="J41" s="12"/>
      <c r="R41" s="1"/>
      <c r="S41" s="1">
        <f>71.72+300</f>
        <v>371.72</v>
      </c>
      <c r="T41" s="1"/>
      <c r="U41" s="1"/>
      <c r="V41" s="1"/>
      <c r="W41" s="1"/>
      <c r="X41" s="1"/>
      <c r="Y41" s="1"/>
      <c r="Z41" s="1"/>
      <c r="AA41" s="1">
        <v>71.72</v>
      </c>
      <c r="AB41" s="1"/>
      <c r="AC41" s="1"/>
      <c r="AD41" s="1">
        <v>71.72</v>
      </c>
      <c r="AF41" s="1"/>
      <c r="AG41" s="1"/>
      <c r="AH41" s="1"/>
      <c r="AI41" s="1"/>
      <c r="AJ41" s="1"/>
      <c r="AK41" s="1"/>
      <c r="AL41" s="1"/>
      <c r="AM41" s="1"/>
      <c r="AN41" s="1"/>
      <c r="AO41" s="1">
        <v>30.44</v>
      </c>
      <c r="AP41" s="97"/>
    </row>
    <row r="42" spans="1:42" ht="15.75" customHeight="1" x14ac:dyDescent="0.25">
      <c r="E42" s="96"/>
      <c r="F42" s="83" t="s">
        <v>138</v>
      </c>
      <c r="G42" s="83"/>
      <c r="H42" s="83"/>
      <c r="I42" s="12"/>
      <c r="J42" s="12"/>
      <c r="R42" s="1"/>
      <c r="S42" s="1">
        <v>71.959999999999994</v>
      </c>
      <c r="T42" s="1"/>
      <c r="U42" s="1"/>
      <c r="V42" s="1"/>
      <c r="W42" s="1"/>
      <c r="X42" s="1"/>
      <c r="Y42" s="1"/>
      <c r="Z42" s="1"/>
      <c r="AA42" s="1">
        <v>71.959999999999994</v>
      </c>
      <c r="AB42" s="1"/>
      <c r="AC42" s="1"/>
      <c r="AD42" s="1">
        <v>77.48</v>
      </c>
      <c r="AF42" s="1"/>
      <c r="AG42" s="1"/>
      <c r="AH42" s="1"/>
      <c r="AI42" s="1"/>
      <c r="AJ42" s="1"/>
      <c r="AK42" s="1"/>
      <c r="AL42" s="1"/>
      <c r="AM42" s="1"/>
      <c r="AN42" s="1"/>
      <c r="AO42" s="1">
        <f>AD42</f>
        <v>77.48</v>
      </c>
      <c r="AP42" s="97"/>
    </row>
    <row r="43" spans="1:42" ht="15.75" customHeight="1" x14ac:dyDescent="0.25">
      <c r="E43" s="96"/>
      <c r="F43" s="83" t="s">
        <v>95</v>
      </c>
      <c r="G43" s="83"/>
      <c r="H43" s="83"/>
      <c r="I43" s="12"/>
      <c r="J43" s="12"/>
      <c r="K43" s="1"/>
      <c r="R43" s="1"/>
      <c r="S43" s="1">
        <f>12793.62+203.26</f>
        <v>12996.880000000001</v>
      </c>
      <c r="T43" s="1"/>
      <c r="U43" s="1"/>
      <c r="V43" s="1"/>
      <c r="W43" s="1"/>
      <c r="X43" s="1"/>
      <c r="Y43" s="1"/>
      <c r="Z43" s="1"/>
      <c r="AA43" s="1">
        <f>180.16+13105.21</f>
        <v>13285.369999999999</v>
      </c>
      <c r="AB43" s="1"/>
      <c r="AC43" s="1"/>
      <c r="AD43" s="143">
        <f>AA43+400</f>
        <v>13685.369999999999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>
        <f>13121.71+577.23+450+100</f>
        <v>14248.939999999999</v>
      </c>
      <c r="AP43" s="97"/>
    </row>
    <row r="44" spans="1:42" ht="15.75" customHeight="1" x14ac:dyDescent="0.25">
      <c r="E44" s="96"/>
      <c r="F44" s="83" t="s">
        <v>73</v>
      </c>
      <c r="G44" s="83"/>
      <c r="H44" s="83"/>
      <c r="I44" s="12"/>
      <c r="J44" s="12"/>
      <c r="R44" s="1"/>
      <c r="S44" s="1">
        <v>1864</v>
      </c>
      <c r="T44" s="134"/>
      <c r="U44" s="1"/>
      <c r="V44" s="1"/>
      <c r="W44" s="1"/>
      <c r="X44" s="1"/>
      <c r="Y44" s="1"/>
      <c r="Z44" s="1"/>
      <c r="AA44" s="1">
        <v>1864</v>
      </c>
      <c r="AB44" s="1"/>
      <c r="AC44" s="1"/>
      <c r="AD44" s="1">
        <f>AA44</f>
        <v>1864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>
        <v>1864</v>
      </c>
      <c r="AP44" s="97"/>
    </row>
    <row r="45" spans="1:42" ht="15.75" customHeight="1" x14ac:dyDescent="0.25">
      <c r="E45" s="96"/>
      <c r="F45" s="83" t="s">
        <v>119</v>
      </c>
      <c r="G45" s="83"/>
      <c r="H45" s="83"/>
      <c r="I45" s="12"/>
      <c r="J45" s="12"/>
      <c r="R45" s="1"/>
      <c r="S45" s="1">
        <v>0</v>
      </c>
      <c r="T45" s="134"/>
      <c r="U45" s="1"/>
      <c r="V45" s="1"/>
      <c r="W45" s="1"/>
      <c r="X45" s="1"/>
      <c r="Y45" s="1"/>
      <c r="Z45" s="1"/>
      <c r="AA45" s="1">
        <v>0</v>
      </c>
      <c r="AB45" s="1"/>
      <c r="AC45" s="1"/>
      <c r="AD45" s="1">
        <v>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>
        <v>0</v>
      </c>
      <c r="AP45" s="97"/>
    </row>
    <row r="46" spans="1:42" ht="15.75" customHeight="1" x14ac:dyDescent="0.25">
      <c r="E46" s="96"/>
      <c r="F46" s="86" t="s">
        <v>80</v>
      </c>
      <c r="G46" s="86"/>
      <c r="H46" s="86"/>
      <c r="I46" s="12"/>
      <c r="J46" s="50">
        <f t="shared" ref="J46:AO46" si="18">J36</f>
        <v>8692.0000000000127</v>
      </c>
      <c r="K46" s="50">
        <f t="shared" si="18"/>
        <v>8748.0000000000127</v>
      </c>
      <c r="L46" s="50">
        <f t="shared" si="18"/>
        <v>8687.5700000000124</v>
      </c>
      <c r="M46" s="50">
        <f t="shared" si="18"/>
        <v>8687.5700000000124</v>
      </c>
      <c r="N46" s="50">
        <f t="shared" si="18"/>
        <v>8667.6600000000126</v>
      </c>
      <c r="O46" s="50">
        <f t="shared" si="18"/>
        <v>11899.550000000012</v>
      </c>
      <c r="P46" s="50">
        <f t="shared" si="18"/>
        <v>12202.050000000012</v>
      </c>
      <c r="Q46" s="50">
        <f t="shared" si="18"/>
        <v>11569.690000000011</v>
      </c>
      <c r="R46" s="50">
        <f t="shared" si="18"/>
        <v>11542.790000000012</v>
      </c>
      <c r="S46" s="50">
        <f t="shared" si="18"/>
        <v>11482.100000000011</v>
      </c>
      <c r="T46" s="50">
        <f t="shared" si="18"/>
        <v>11482.100000000011</v>
      </c>
      <c r="U46" s="50">
        <f t="shared" si="18"/>
        <v>11446.190000000011</v>
      </c>
      <c r="V46" s="50">
        <f t="shared" si="18"/>
        <v>11443.440000000011</v>
      </c>
      <c r="W46" s="50">
        <f t="shared" si="18"/>
        <v>11421.240000000011</v>
      </c>
      <c r="X46" s="50">
        <f t="shared" si="18"/>
        <v>11269.39000000001</v>
      </c>
      <c r="Y46" s="50">
        <f t="shared" si="18"/>
        <v>11303.990000000011</v>
      </c>
      <c r="Z46" s="50">
        <f t="shared" si="18"/>
        <v>11279.79000000001</v>
      </c>
      <c r="AA46" s="50">
        <f t="shared" si="18"/>
        <v>11199.79000000001</v>
      </c>
      <c r="AB46" s="50">
        <f t="shared" si="18"/>
        <v>11199.79000000001</v>
      </c>
      <c r="AC46" s="50">
        <f t="shared" si="18"/>
        <v>11161.930000000009</v>
      </c>
      <c r="AD46" s="50">
        <f t="shared" si="18"/>
        <v>11161.930000000009</v>
      </c>
      <c r="AE46" s="50">
        <f t="shared" si="18"/>
        <v>10924.070000000009</v>
      </c>
      <c r="AF46" s="50">
        <f t="shared" si="18"/>
        <v>10865.180000000009</v>
      </c>
      <c r="AG46" s="170">
        <f t="shared" si="18"/>
        <v>10843.090000000009</v>
      </c>
      <c r="AH46" s="50">
        <f t="shared" si="18"/>
        <v>10839.590000000009</v>
      </c>
      <c r="AI46" s="50">
        <f t="shared" si="18"/>
        <v>10780.19000000001</v>
      </c>
      <c r="AJ46" s="50">
        <f t="shared" si="18"/>
        <v>10702.80000000001</v>
      </c>
      <c r="AK46" s="50">
        <f t="shared" si="18"/>
        <v>10653.19000000001</v>
      </c>
      <c r="AL46" s="50">
        <f t="shared" si="18"/>
        <v>10634.45000000001</v>
      </c>
      <c r="AM46" s="50">
        <f t="shared" si="18"/>
        <v>10595.820000000011</v>
      </c>
      <c r="AN46" s="50">
        <f t="shared" si="18"/>
        <v>10561.680000000009</v>
      </c>
      <c r="AO46" s="50">
        <f t="shared" si="18"/>
        <v>10544.64000000001</v>
      </c>
      <c r="AP46" s="97"/>
    </row>
    <row r="47" spans="1:42" ht="15.75" customHeight="1" x14ac:dyDescent="0.25">
      <c r="E47" s="96"/>
      <c r="F47" s="117" t="s">
        <v>74</v>
      </c>
      <c r="G47" s="117"/>
      <c r="H47" s="117"/>
      <c r="I47" s="70"/>
      <c r="J47" s="70"/>
      <c r="K47" s="138"/>
      <c r="L47" s="138"/>
      <c r="M47" s="138"/>
      <c r="N47" s="138"/>
      <c r="O47" s="138"/>
      <c r="P47" s="138"/>
      <c r="Q47" s="138"/>
      <c r="R47" s="69"/>
      <c r="S47" s="69">
        <f>SUM(S37:S45)</f>
        <v>12082.150000000001</v>
      </c>
      <c r="T47" s="69"/>
      <c r="U47" s="69"/>
      <c r="V47" s="71"/>
      <c r="W47" s="71"/>
      <c r="X47" s="71"/>
      <c r="Y47" s="71"/>
      <c r="Z47" s="71"/>
      <c r="AA47" s="69">
        <f>SUM(AA37:AA45)</f>
        <v>11728.339999999998</v>
      </c>
      <c r="AB47" s="71"/>
      <c r="AC47" s="71"/>
      <c r="AD47" s="71">
        <f>SUM(AD37:AD45)</f>
        <v>12106.939999999999</v>
      </c>
      <c r="AE47" s="71"/>
      <c r="AF47" s="71"/>
      <c r="AG47" s="1"/>
      <c r="AH47" s="71"/>
      <c r="AI47" s="71"/>
      <c r="AJ47" s="71"/>
      <c r="AK47" s="71"/>
      <c r="AL47" s="71"/>
      <c r="AM47" s="71"/>
      <c r="AN47" s="71"/>
      <c r="AO47" s="71">
        <f>SUM(AO37:AO45)</f>
        <v>11602.169999999998</v>
      </c>
      <c r="AP47" s="97"/>
    </row>
    <row r="48" spans="1:42" ht="9" customHeight="1" x14ac:dyDescent="0.25">
      <c r="E48" s="96"/>
      <c r="F48" s="97"/>
      <c r="G48" s="97"/>
      <c r="H48" s="97"/>
      <c r="I48" s="127"/>
      <c r="J48" s="12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6"/>
    </row>
    <row r="49" spans="1:43" ht="15.75" customHeight="1" x14ac:dyDescent="0.25">
      <c r="B49" s="157" t="s">
        <v>124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3" ht="15.75" customHeight="1" x14ac:dyDescent="0.25">
      <c r="A50" s="5"/>
      <c r="B50" s="5"/>
      <c r="F50" s="1"/>
      <c r="G50" s="1"/>
      <c r="H50" s="1"/>
      <c r="I50" s="1"/>
      <c r="J50" s="1"/>
      <c r="Q50" s="5"/>
      <c r="R50" s="5"/>
      <c r="S50" s="5"/>
      <c r="T50" s="128"/>
      <c r="U50" s="5"/>
      <c r="V50" s="5"/>
      <c r="W50" s="5"/>
      <c r="X50" s="128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N50" s="5"/>
      <c r="AO50" s="5"/>
    </row>
    <row r="51" spans="1:43" ht="15.75" customHeight="1" x14ac:dyDescent="0.25">
      <c r="A51" s="8">
        <v>1</v>
      </c>
      <c r="B51" s="171" t="s">
        <v>125</v>
      </c>
      <c r="F51" s="1"/>
      <c r="G51" s="1"/>
      <c r="H51" s="1"/>
      <c r="I51" s="1"/>
      <c r="J51" s="1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N51" s="5"/>
      <c r="AO51" s="5"/>
    </row>
    <row r="52" spans="1:43" ht="15.75" customHeight="1" x14ac:dyDescent="0.25">
      <c r="A52" s="119">
        <v>2</v>
      </c>
      <c r="B52" s="171" t="s">
        <v>126</v>
      </c>
      <c r="F52" s="1"/>
      <c r="G52" s="1"/>
      <c r="H52" s="1"/>
      <c r="I52" s="1"/>
      <c r="J52" s="1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N52" s="8"/>
      <c r="AO52" s="8"/>
      <c r="AQ52" s="128"/>
    </row>
    <row r="53" spans="1:43" ht="15.75" customHeight="1" x14ac:dyDescent="0.25">
      <c r="F53" s="1"/>
      <c r="G53" s="1"/>
      <c r="H53" s="1"/>
      <c r="I53" s="1"/>
      <c r="J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</row>
    <row r="54" spans="1:43" ht="15.75" customHeight="1" x14ac:dyDescent="0.25">
      <c r="F54" s="1"/>
      <c r="G54" s="1"/>
      <c r="H54" s="1"/>
      <c r="I54" s="1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</row>
    <row r="55" spans="1:43" ht="15.75" customHeight="1" x14ac:dyDescent="0.25">
      <c r="I55" s="15"/>
      <c r="J55" s="1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3" ht="15.75" customHeight="1" x14ac:dyDescent="0.25">
      <c r="O56" s="1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</row>
    <row r="57" spans="1:43" ht="15.75" customHeight="1" x14ac:dyDescent="0.25"/>
    <row r="58" spans="1:43" ht="15.75" customHeight="1" x14ac:dyDescent="0.25"/>
    <row r="59" spans="1:43" ht="15.75" customHeight="1" x14ac:dyDescent="0.2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3" ht="15.75" customHeight="1" x14ac:dyDescent="0.2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3" ht="15.75" customHeight="1" x14ac:dyDescent="0.25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3" ht="15.75" customHeight="1" x14ac:dyDescent="0.25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3" ht="15.75" customHeight="1" x14ac:dyDescent="0.25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3" ht="15.75" customHeight="1" x14ac:dyDescent="0.25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6:41" ht="15.75" customHeight="1" x14ac:dyDescent="0.25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6:41" ht="15.75" customHeight="1" x14ac:dyDescent="0.25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6:41" ht="15.75" customHeight="1" x14ac:dyDescent="0.25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6:41" ht="15.75" customHeight="1" x14ac:dyDescent="0.25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6:41" ht="15.75" customHeight="1" x14ac:dyDescent="0.25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6:41" ht="15.75" customHeight="1" x14ac:dyDescent="0.25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6:41" ht="15.75" customHeight="1" x14ac:dyDescent="0.2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6:41" ht="15.75" customHeight="1" x14ac:dyDescent="0.25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6:41" ht="15.75" customHeight="1" x14ac:dyDescent="0.25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6:41" ht="15.75" customHeight="1" x14ac:dyDescent="0.2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6:41" ht="15.75" customHeight="1" x14ac:dyDescent="0.2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6:41" ht="15.75" customHeight="1" x14ac:dyDescent="0.25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6:41" ht="15.75" customHeight="1" x14ac:dyDescent="0.25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6:41" ht="15.75" customHeight="1" x14ac:dyDescent="0.25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6:41" ht="15.75" customHeight="1" x14ac:dyDescent="0.25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6:41" ht="15.75" customHeight="1" x14ac:dyDescent="0.25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6:41" ht="15.75" customHeight="1" x14ac:dyDescent="0.25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6:41" ht="15.75" customHeight="1" x14ac:dyDescent="0.25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6:41" ht="15.75" customHeight="1" x14ac:dyDescent="0.25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6:41" ht="15.75" customHeight="1" x14ac:dyDescent="0.25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6:41" ht="15.75" customHeight="1" x14ac:dyDescent="0.25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6:41" ht="15.75" customHeight="1" x14ac:dyDescent="0.25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6:41" ht="15.75" customHeight="1" x14ac:dyDescent="0.25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6:41" ht="15.75" customHeight="1" x14ac:dyDescent="0.25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6:41" ht="15.75" customHeight="1" x14ac:dyDescent="0.25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6:41" ht="15.75" customHeight="1" x14ac:dyDescent="0.25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6:41" ht="15.75" customHeight="1" x14ac:dyDescent="0.2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6:41" ht="15.75" customHeight="1" x14ac:dyDescent="0.25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6:41" ht="15.75" customHeight="1" x14ac:dyDescent="0.25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6:41" ht="15.75" customHeight="1" x14ac:dyDescent="0.25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6:41" ht="15.75" customHeight="1" x14ac:dyDescent="0.25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6:41" ht="15.75" customHeight="1" x14ac:dyDescent="0.25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6:41" ht="15.75" customHeight="1" x14ac:dyDescent="0.25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6:41" ht="15.75" customHeight="1" x14ac:dyDescent="0.25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6:41" ht="15.75" customHeight="1" x14ac:dyDescent="0.25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6:41" ht="15.75" customHeight="1" x14ac:dyDescent="0.25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6:41" ht="15.75" customHeight="1" x14ac:dyDescent="0.25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6:41" ht="15.75" customHeight="1" x14ac:dyDescent="0.25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6:41" ht="15.75" customHeight="1" x14ac:dyDescent="0.25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6:41" ht="15.75" customHeight="1" x14ac:dyDescent="0.25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6:41" ht="15.75" customHeight="1" x14ac:dyDescent="0.25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6:41" ht="15.75" customHeight="1" x14ac:dyDescent="0.25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6:41" ht="15.75" customHeight="1" x14ac:dyDescent="0.25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6:41" ht="15.75" customHeight="1" x14ac:dyDescent="0.25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6:41" ht="15.75" customHeight="1" x14ac:dyDescent="0.25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6:41" ht="15.75" customHeight="1" x14ac:dyDescent="0.25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6:41" ht="15.75" customHeight="1" x14ac:dyDescent="0.25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6:41" ht="15.75" customHeight="1" x14ac:dyDescent="0.25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6:41" ht="15.75" customHeight="1" x14ac:dyDescent="0.25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6:41" ht="15.75" customHeight="1" x14ac:dyDescent="0.25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6:41" ht="15.75" customHeight="1" x14ac:dyDescent="0.25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6:41" ht="15.75" customHeight="1" x14ac:dyDescent="0.25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6:41" ht="15.75" customHeight="1" x14ac:dyDescent="0.25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6:41" ht="15.75" customHeight="1" x14ac:dyDescent="0.25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6:41" ht="15.75" customHeight="1" x14ac:dyDescent="0.25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6:41" ht="15.75" customHeight="1" x14ac:dyDescent="0.25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6:41" ht="15.75" customHeight="1" x14ac:dyDescent="0.25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6:41" ht="15.75" customHeight="1" x14ac:dyDescent="0.25"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6:41" ht="15.75" customHeight="1" x14ac:dyDescent="0.25"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6:41" ht="15.75" customHeight="1" x14ac:dyDescent="0.25"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6:41" ht="15.75" customHeight="1" x14ac:dyDescent="0.25"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6:41" ht="15.75" customHeight="1" x14ac:dyDescent="0.25"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6:41" ht="15.75" customHeight="1" x14ac:dyDescent="0.25"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6:41" ht="15.75" customHeight="1" x14ac:dyDescent="0.25"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6:41" ht="15.75" customHeight="1" x14ac:dyDescent="0.25"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6:41" ht="15.75" customHeight="1" x14ac:dyDescent="0.25"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6:41" ht="15.75" customHeight="1" x14ac:dyDescent="0.25"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6:41" ht="15.75" customHeight="1" x14ac:dyDescent="0.25"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6:41" ht="15.75" customHeight="1" x14ac:dyDescent="0.25"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6:41" ht="15.75" customHeight="1" x14ac:dyDescent="0.25"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6:41" ht="15.75" customHeight="1" x14ac:dyDescent="0.25"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6:41" ht="15.75" customHeight="1" x14ac:dyDescent="0.25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6:41" ht="15.75" customHeight="1" x14ac:dyDescent="0.25"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6:41" ht="15.75" customHeight="1" x14ac:dyDescent="0.25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6:41" ht="15.75" customHeight="1" x14ac:dyDescent="0.25"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6:41" ht="15.75" customHeight="1" x14ac:dyDescent="0.25"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6:41" ht="15.75" customHeight="1" x14ac:dyDescent="0.25"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6:41" ht="15.75" customHeight="1" x14ac:dyDescent="0.25"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6:41" ht="15.75" customHeight="1" x14ac:dyDescent="0.25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6:41" ht="15.75" customHeight="1" x14ac:dyDescent="0.25"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6:41" ht="15.75" customHeight="1" x14ac:dyDescent="0.25"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6:41" ht="15.75" customHeight="1" x14ac:dyDescent="0.25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6:41" ht="15.75" customHeight="1" x14ac:dyDescent="0.25"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6:41" ht="15.75" customHeight="1" x14ac:dyDescent="0.25"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6:41" ht="15.75" customHeight="1" x14ac:dyDescent="0.25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6:41" ht="15.75" customHeight="1" x14ac:dyDescent="0.25"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6:41" ht="15.75" customHeight="1" x14ac:dyDescent="0.25"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6:41" ht="15.75" customHeight="1" x14ac:dyDescent="0.25"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6:41" ht="15.75" customHeight="1" x14ac:dyDescent="0.25"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6:41" ht="15.75" customHeight="1" x14ac:dyDescent="0.25"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6:41" ht="15.75" customHeight="1" x14ac:dyDescent="0.25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6:41" ht="15.75" customHeight="1" x14ac:dyDescent="0.25"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6:41" ht="15.75" customHeight="1" x14ac:dyDescent="0.25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6:41" ht="15.75" customHeight="1" x14ac:dyDescent="0.25"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6:41" ht="15.75" customHeight="1" x14ac:dyDescent="0.25"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6:41" ht="15.75" customHeight="1" x14ac:dyDescent="0.25"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6:41" ht="15.75" customHeight="1" x14ac:dyDescent="0.25"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6:41" ht="15.75" customHeight="1" x14ac:dyDescent="0.25"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6:41" ht="15.75" customHeight="1" x14ac:dyDescent="0.25"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6:41" ht="15.75" customHeight="1" x14ac:dyDescent="0.25"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6:41" ht="15.75" customHeight="1" x14ac:dyDescent="0.25"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6:41" ht="15.75" customHeight="1" x14ac:dyDescent="0.25"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6:41" ht="15.75" customHeight="1" x14ac:dyDescent="0.25"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6:41" ht="15.75" customHeight="1" x14ac:dyDescent="0.25"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6:41" ht="15.75" customHeight="1" x14ac:dyDescent="0.25"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6:41" ht="15.75" customHeight="1" x14ac:dyDescent="0.25"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6:41" ht="15.75" customHeight="1" x14ac:dyDescent="0.25"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6:41" ht="15.75" customHeight="1" x14ac:dyDescent="0.25"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6:41" ht="15.75" customHeight="1" x14ac:dyDescent="0.25"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6:41" ht="15.75" customHeight="1" x14ac:dyDescent="0.25"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6:41" ht="15.75" customHeight="1" x14ac:dyDescent="0.25"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6:41" ht="15.75" customHeight="1" x14ac:dyDescent="0.25"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6:41" ht="15.75" customHeight="1" x14ac:dyDescent="0.25"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6:41" ht="15.75" customHeight="1" x14ac:dyDescent="0.25"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6:41" ht="15.75" customHeight="1" x14ac:dyDescent="0.25"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6:41" ht="15.75" customHeight="1" x14ac:dyDescent="0.25"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6:41" ht="15.75" customHeight="1" x14ac:dyDescent="0.25"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6:41" ht="15.75" customHeight="1" x14ac:dyDescent="0.25"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6:41" ht="15.75" customHeight="1" x14ac:dyDescent="0.25"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6:41" ht="15.75" customHeight="1" x14ac:dyDescent="0.25"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6:41" ht="15.75" customHeight="1" x14ac:dyDescent="0.25"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6:41" ht="15.75" customHeight="1" x14ac:dyDescent="0.25"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6:41" ht="15.75" customHeight="1" x14ac:dyDescent="0.25"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6:41" ht="15.75" customHeight="1" x14ac:dyDescent="0.25"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6:41" ht="15.75" customHeight="1" x14ac:dyDescent="0.25"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6:41" ht="15.75" customHeight="1" x14ac:dyDescent="0.25"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6:41" ht="15.75" customHeight="1" x14ac:dyDescent="0.25"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6:41" ht="15.75" customHeight="1" x14ac:dyDescent="0.25"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6:41" ht="15.75" customHeight="1" x14ac:dyDescent="0.25"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6:41" ht="15.75" customHeight="1" x14ac:dyDescent="0.25"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6:41" ht="15.75" customHeight="1" x14ac:dyDescent="0.25"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6:41" ht="15.75" customHeight="1" x14ac:dyDescent="0.25"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6:41" ht="15.75" customHeight="1" x14ac:dyDescent="0.2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6:41" ht="15.75" customHeight="1" x14ac:dyDescent="0.25"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6:41" ht="15.75" customHeight="1" x14ac:dyDescent="0.25"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6:41" ht="15.75" customHeight="1" x14ac:dyDescent="0.25"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6:41" ht="15.75" customHeight="1" x14ac:dyDescent="0.25"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6:41" ht="15.75" customHeight="1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6:41" ht="15.75" customHeight="1" x14ac:dyDescent="0.25"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6:41" ht="15.75" customHeight="1" x14ac:dyDescent="0.25"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6:41" ht="15.75" customHeight="1" x14ac:dyDescent="0.25"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6:41" ht="15.75" customHeight="1" x14ac:dyDescent="0.25"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6:41" ht="15.75" customHeight="1" x14ac:dyDescent="0.25"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6:41" ht="15.75" customHeight="1" x14ac:dyDescent="0.25"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6:41" ht="15.75" customHeight="1" x14ac:dyDescent="0.25"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6:41" ht="15.75" customHeight="1" x14ac:dyDescent="0.25"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6:41" ht="15.75" customHeight="1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6:41" ht="15.75" customHeight="1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6:41" ht="15.75" customHeight="1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6:41" ht="15.75" customHeight="1" x14ac:dyDescent="0.25"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6:41" ht="15.75" customHeight="1" x14ac:dyDescent="0.25"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6:41" ht="15.75" customHeight="1" x14ac:dyDescent="0.25"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6:41" ht="15.75" customHeight="1" x14ac:dyDescent="0.2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6:41" ht="15.75" customHeight="1" x14ac:dyDescent="0.25"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6:41" ht="15.75" customHeight="1" x14ac:dyDescent="0.25"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6:41" ht="15.75" customHeight="1" x14ac:dyDescent="0.25"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6:41" ht="15.75" customHeight="1" x14ac:dyDescent="0.25"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6:41" ht="15.75" customHeight="1" x14ac:dyDescent="0.25"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6:41" ht="15.75" customHeight="1" x14ac:dyDescent="0.25"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6:41" ht="15.75" customHeight="1" x14ac:dyDescent="0.25"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6:41" ht="15.75" customHeight="1" x14ac:dyDescent="0.25"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6:41" ht="15.75" customHeight="1" x14ac:dyDescent="0.25"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6:41" ht="15.75" customHeight="1" x14ac:dyDescent="0.25"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6:41" ht="15.75" customHeight="1" x14ac:dyDescent="0.25"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6:41" ht="15.75" customHeight="1" x14ac:dyDescent="0.25"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6:41" ht="15.75" customHeight="1" x14ac:dyDescent="0.25"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6:41" ht="15.75" customHeight="1" x14ac:dyDescent="0.25"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6:41" ht="15.75" customHeight="1" x14ac:dyDescent="0.25"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6:41" ht="15.75" customHeight="1" x14ac:dyDescent="0.25"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6:41" ht="15.75" customHeight="1" x14ac:dyDescent="0.25"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6:41" ht="15.75" customHeight="1" x14ac:dyDescent="0.25"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6:41" ht="15.75" customHeight="1" x14ac:dyDescent="0.25"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6:41" ht="15.75" customHeight="1" x14ac:dyDescent="0.25"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6:41" ht="15.75" customHeight="1" x14ac:dyDescent="0.25"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6:41" ht="15.75" customHeight="1" x14ac:dyDescent="0.25"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6:41" ht="15.75" customHeight="1" x14ac:dyDescent="0.25"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6:41" ht="15.75" customHeight="1" x14ac:dyDescent="0.25"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6:41" ht="15.75" customHeight="1" x14ac:dyDescent="0.25"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6:41" ht="15.75" customHeight="1" x14ac:dyDescent="0.25"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6:41" ht="15.75" customHeight="1" x14ac:dyDescent="0.25"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6:41" ht="15.75" customHeight="1" x14ac:dyDescent="0.25"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6:41" ht="15.75" customHeight="1" x14ac:dyDescent="0.25"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6:41" ht="15.75" customHeight="1" x14ac:dyDescent="0.25"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6:41" ht="15.75" customHeight="1" x14ac:dyDescent="0.25"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6:41" ht="15.75" customHeight="1" x14ac:dyDescent="0.25"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6:41" ht="15.75" customHeight="1" x14ac:dyDescent="0.25"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6:41" ht="15.75" customHeight="1" x14ac:dyDescent="0.25"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6:41" ht="15.75" customHeight="1" x14ac:dyDescent="0.25"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6:41" ht="15.75" customHeight="1" x14ac:dyDescent="0.25"/>
    <row r="254" spans="6:41" ht="15.75" customHeight="1" x14ac:dyDescent="0.25"/>
    <row r="255" spans="6:41" ht="15.75" customHeight="1" x14ac:dyDescent="0.25"/>
    <row r="256" spans="6:41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B2:C2"/>
  </mergeCells>
  <conditionalFormatting sqref="D4 C5">
    <cfRule type="cellIs" dxfId="82" priority="1" operator="lessThan">
      <formula>0</formula>
    </cfRule>
  </conditionalFormatting>
  <conditionalFormatting sqref="D4 C5">
    <cfRule type="cellIs" dxfId="81" priority="2" operator="greaterThan">
      <formula>0</formula>
    </cfRule>
  </conditionalFormatting>
  <conditionalFormatting sqref="D4 C5">
    <cfRule type="cellIs" dxfId="80" priority="3" operator="lessThan">
      <formula>0</formula>
    </cfRule>
  </conditionalFormatting>
  <conditionalFormatting sqref="H8:H31">
    <cfRule type="cellIs" dxfId="79" priority="4" operator="equal">
      <formula>0</formula>
    </cfRule>
  </conditionalFormatting>
  <conditionalFormatting sqref="H8:H31">
    <cfRule type="cellIs" dxfId="78" priority="5" operator="lessThan">
      <formula>0</formula>
    </cfRule>
  </conditionalFormatting>
  <conditionalFormatting sqref="H8:H31">
    <cfRule type="cellIs" dxfId="77" priority="6" operator="greaterThan">
      <formula>0</formula>
    </cfRule>
  </conditionalFormatting>
  <conditionalFormatting sqref="D9">
    <cfRule type="cellIs" dxfId="76" priority="7" operator="lessThan">
      <formula>0</formula>
    </cfRule>
  </conditionalFormatting>
  <conditionalFormatting sqref="I4">
    <cfRule type="cellIs" dxfId="75" priority="8" operator="lessThan">
      <formula>0</formula>
    </cfRule>
  </conditionalFormatting>
  <conditionalFormatting sqref="I4">
    <cfRule type="cellIs" dxfId="74" priority="9" operator="greaterThan">
      <formula>0</formula>
    </cfRule>
  </conditionalFormatting>
  <conditionalFormatting sqref="I4">
    <cfRule type="cellIs" dxfId="73" priority="10" operator="lessThan">
      <formula>0</formula>
    </cfRule>
  </conditionalFormatting>
  <conditionalFormatting sqref="C7">
    <cfRule type="cellIs" dxfId="72" priority="11" operator="lessThan">
      <formula>0</formula>
    </cfRule>
  </conditionalFormatting>
  <conditionalFormatting sqref="C8">
    <cfRule type="cellIs" dxfId="71" priority="12" operator="lessThan">
      <formula>0</formula>
    </cfRule>
  </conditionalFormatting>
  <conditionalFormatting sqref="C8">
    <cfRule type="cellIs" dxfId="70" priority="13" operator="greaterThan">
      <formula>0</formula>
    </cfRule>
  </conditionalFormatting>
  <conditionalFormatting sqref="C8">
    <cfRule type="cellIs" dxfId="69" priority="14" operator="lessThan">
      <formula>0</formula>
    </cfRule>
  </conditionalFormatting>
  <conditionalFormatting sqref="H7">
    <cfRule type="cellIs" dxfId="68" priority="15" operator="equal">
      <formula>0</formula>
    </cfRule>
  </conditionalFormatting>
  <conditionalFormatting sqref="H7">
    <cfRule type="cellIs" dxfId="67" priority="16" operator="lessThan">
      <formula>0</formula>
    </cfRule>
  </conditionalFormatting>
  <conditionalFormatting sqref="H7">
    <cfRule type="cellIs" dxfId="66" priority="17" operator="greater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A2AD-89B8-4D28-AC46-995AFA30B18F}">
  <dimension ref="B2:K7"/>
  <sheetViews>
    <sheetView showGridLines="0" workbookViewId="0">
      <selection activeCell="H13" sqref="H13"/>
    </sheetView>
  </sheetViews>
  <sheetFormatPr defaultRowHeight="15" x14ac:dyDescent="0.25"/>
  <cols>
    <col min="4" max="4" width="15.5703125" bestFit="1" customWidth="1"/>
    <col min="5" max="5" width="15.7109375" bestFit="1" customWidth="1"/>
    <col min="7" max="7" width="20.85546875" bestFit="1" customWidth="1"/>
  </cols>
  <sheetData>
    <row r="2" spans="2:11" x14ac:dyDescent="0.25">
      <c r="B2" s="249" t="s">
        <v>195</v>
      </c>
      <c r="D2" s="249" t="s">
        <v>202</v>
      </c>
      <c r="E2" s="249" t="s">
        <v>203</v>
      </c>
      <c r="J2" s="249" t="s">
        <v>200</v>
      </c>
      <c r="K2" s="249" t="s">
        <v>201</v>
      </c>
    </row>
    <row r="3" spans="2:11" x14ac:dyDescent="0.25">
      <c r="B3" s="249" t="s">
        <v>196</v>
      </c>
      <c r="C3">
        <v>482.74</v>
      </c>
      <c r="G3" s="249" t="s">
        <v>198</v>
      </c>
      <c r="H3">
        <v>3861.94</v>
      </c>
      <c r="J3">
        <v>3260.39</v>
      </c>
      <c r="K3">
        <v>3255.47</v>
      </c>
    </row>
    <row r="4" spans="2:11" x14ac:dyDescent="0.25">
      <c r="B4" s="249" t="s">
        <v>197</v>
      </c>
      <c r="C4">
        <v>405.52</v>
      </c>
      <c r="G4" s="249" t="s">
        <v>199</v>
      </c>
    </row>
    <row r="5" spans="2:11" x14ac:dyDescent="0.25">
      <c r="C5">
        <f>SUM(C3:C4)</f>
        <v>888.26</v>
      </c>
      <c r="D5">
        <f>C5/H3</f>
        <v>0.23000357333360952</v>
      </c>
      <c r="E5">
        <f>C5/J3</f>
        <v>0.27243980014660824</v>
      </c>
    </row>
    <row r="7" spans="2:11" x14ac:dyDescent="0.25">
      <c r="D7">
        <f>3/12</f>
        <v>0.25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4A0B-3D65-4DBA-A752-466E948E7E3C}">
  <dimension ref="A1:AS1002"/>
  <sheetViews>
    <sheetView showGridLines="0" tabSelected="1" zoomScale="80" zoomScaleNormal="80" workbookViewId="0">
      <pane xSplit="6" ySplit="6" topLeftCell="G7" activePane="bottomRight" state="frozen"/>
      <selection pane="topRight" activeCell="J1" sqref="J1"/>
      <selection pane="bottomLeft" activeCell="A7" sqref="A7"/>
      <selection pane="bottomRight" activeCell="E29" sqref="E29:F29"/>
    </sheetView>
  </sheetViews>
  <sheetFormatPr defaultColWidth="14.42578125" defaultRowHeight="15" customHeight="1" x14ac:dyDescent="0.25"/>
  <cols>
    <col min="1" max="1" width="1.28515625" customWidth="1"/>
    <col min="2" max="2" width="1.7109375" customWidth="1"/>
    <col min="3" max="3" width="11.28515625" bestFit="1" customWidth="1"/>
    <col min="4" max="4" width="8.5703125" customWidth="1"/>
    <col min="5" max="5" width="12.28515625" bestFit="1" customWidth="1"/>
    <col min="6" max="6" width="16.28515625" bestFit="1" customWidth="1"/>
    <col min="7" max="9" width="8.140625" bestFit="1" customWidth="1"/>
    <col min="10" max="10" width="8.7109375" bestFit="1" customWidth="1"/>
    <col min="11" max="13" width="8.140625" bestFit="1" customWidth="1"/>
    <col min="14" max="14" width="8.5703125" bestFit="1" customWidth="1"/>
    <col min="15" max="18" width="8.140625" bestFit="1" customWidth="1"/>
    <col min="19" max="19" width="8.5703125" bestFit="1" customWidth="1"/>
    <col min="20" max="20" width="8.140625" bestFit="1" customWidth="1"/>
    <col min="21" max="21" width="9.85546875" bestFit="1" customWidth="1"/>
    <col min="22" max="22" width="8.140625" bestFit="1" customWidth="1"/>
    <col min="23" max="23" width="8.5703125" bestFit="1" customWidth="1"/>
    <col min="24" max="25" width="8.140625" bestFit="1" customWidth="1"/>
    <col min="26" max="26" width="8.5703125" bestFit="1" customWidth="1"/>
    <col min="27" max="32" width="8.140625" bestFit="1" customWidth="1"/>
    <col min="33" max="33" width="8.5703125" bestFit="1" customWidth="1"/>
    <col min="34" max="36" width="8.140625" bestFit="1" customWidth="1"/>
    <col min="37" max="37" width="8.5703125" bestFit="1" customWidth="1"/>
    <col min="38" max="38" width="8.140625" bestFit="1" customWidth="1"/>
    <col min="39" max="39" width="2" customWidth="1"/>
    <col min="40" max="40" width="3.42578125" bestFit="1" customWidth="1"/>
    <col min="41" max="41" width="22.85546875" bestFit="1" customWidth="1"/>
    <col min="42" max="42" width="16" bestFit="1" customWidth="1"/>
    <col min="44" max="44" width="5.5703125" bestFit="1" customWidth="1"/>
    <col min="45" max="45" width="5" bestFit="1" customWidth="1"/>
  </cols>
  <sheetData>
    <row r="1" spans="1:45" ht="6.75" customHeight="1" thickBot="1" x14ac:dyDescent="0.3">
      <c r="B1" s="96"/>
      <c r="C1" s="96"/>
      <c r="D1" s="96"/>
      <c r="E1" s="24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</row>
    <row r="2" spans="1:45" x14ac:dyDescent="0.25">
      <c r="A2" s="121"/>
      <c r="B2" s="96"/>
      <c r="D2" s="144"/>
      <c r="E2" s="74" t="s">
        <v>45</v>
      </c>
      <c r="F2" s="75">
        <f>SUM(E7:E31)</f>
        <v>-2299.9533333333334</v>
      </c>
      <c r="G2" s="12"/>
      <c r="H2" s="48">
        <f t="shared" ref="H2:AL2" si="0">H6/$AP$9</f>
        <v>0</v>
      </c>
      <c r="I2" s="48">
        <f t="shared" si="0"/>
        <v>1.1225595578091481E-2</v>
      </c>
      <c r="J2" s="48">
        <f t="shared" si="0"/>
        <v>7.2981623425499645E-3</v>
      </c>
      <c r="K2" s="48">
        <f t="shared" si="0"/>
        <v>2.2927821403214699E-2</v>
      </c>
      <c r="L2" s="48">
        <f t="shared" si="0"/>
        <v>3.4702495025886737E-2</v>
      </c>
      <c r="M2" s="48">
        <f t="shared" si="0"/>
        <v>1.0935804387896184E-2</v>
      </c>
      <c r="N2" s="48">
        <f t="shared" si="0"/>
        <v>0.21067056918802796</v>
      </c>
      <c r="O2" s="48">
        <f t="shared" si="0"/>
        <v>3.6910246330137751E-2</v>
      </c>
      <c r="P2" s="48">
        <f t="shared" si="0"/>
        <v>1.2979594887168275E-2</v>
      </c>
      <c r="Q2" s="48">
        <f t="shared" si="0"/>
        <v>1.3109238314360909E-2</v>
      </c>
      <c r="R2" s="48">
        <f t="shared" si="0"/>
        <v>9.7232570394474443E-3</v>
      </c>
      <c r="S2" s="48">
        <f t="shared" si="0"/>
        <v>4.0944444741014371E-2</v>
      </c>
      <c r="T2" s="48">
        <f t="shared" si="0"/>
        <v>2.1444548074451935E-2</v>
      </c>
      <c r="U2" s="48">
        <f t="shared" si="0"/>
        <v>1.8416992745306334E-2</v>
      </c>
      <c r="V2" s="48">
        <f t="shared" si="0"/>
        <v>2.1543687165834532E-2</v>
      </c>
      <c r="W2" s="48">
        <f t="shared" si="0"/>
        <v>5.2902144378546609E-2</v>
      </c>
      <c r="X2" s="48">
        <f t="shared" si="0"/>
        <v>4.5375199517421411E-3</v>
      </c>
      <c r="Y2" s="48">
        <f t="shared" si="0"/>
        <v>2.5738033339713823E-2</v>
      </c>
      <c r="Z2" s="48">
        <f t="shared" si="0"/>
        <v>4.5447647314970231E-2</v>
      </c>
      <c r="AA2" s="48">
        <f t="shared" si="0"/>
        <v>0</v>
      </c>
      <c r="AB2" s="48">
        <f t="shared" si="0"/>
        <v>4.2561174538946027E-2</v>
      </c>
      <c r="AC2" s="48">
        <f t="shared" si="0"/>
        <v>9.5021006048247193E-3</v>
      </c>
      <c r="AD2" s="48">
        <f t="shared" si="0"/>
        <v>0</v>
      </c>
      <c r="AE2" s="48">
        <f t="shared" si="0"/>
        <v>3.6223898774412049E-3</v>
      </c>
      <c r="AF2" s="48">
        <f t="shared" si="0"/>
        <v>3.6822546364683906E-2</v>
      </c>
      <c r="AG2" s="48">
        <f t="shared" si="0"/>
        <v>3.6220085732435799E-2</v>
      </c>
      <c r="AH2" s="48">
        <f t="shared" si="0"/>
        <v>1.7200632354881343E-2</v>
      </c>
      <c r="AI2" s="48">
        <f t="shared" si="0"/>
        <v>1.2392386422825174E-2</v>
      </c>
      <c r="AJ2" s="48">
        <f t="shared" si="0"/>
        <v>1.4581072517194914E-2</v>
      </c>
      <c r="AK2" s="48">
        <f t="shared" si="0"/>
        <v>3.6528942132512357E-2</v>
      </c>
      <c r="AL2" s="48">
        <f t="shared" si="0"/>
        <v>1.9065209881269499E-3</v>
      </c>
      <c r="AM2" s="97"/>
    </row>
    <row r="3" spans="1:45" hidden="1" x14ac:dyDescent="0.25">
      <c r="A3" s="54"/>
      <c r="B3" s="96"/>
      <c r="D3" s="54"/>
      <c r="E3" s="76"/>
      <c r="F3" s="77"/>
      <c r="G3" s="1"/>
      <c r="H3" s="55" t="str">
        <f t="shared" ref="H3:AL3" si="1">IF(OR(H4="sex",H4="sáb",H4="dom"),"fds","sem")</f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55" t="str">
        <f t="shared" si="1"/>
        <v>sem</v>
      </c>
      <c r="AK3" s="55" t="str">
        <f t="shared" si="1"/>
        <v>sem</v>
      </c>
      <c r="AL3" s="55" t="str">
        <f t="shared" si="1"/>
        <v>sem</v>
      </c>
      <c r="AM3" s="96"/>
    </row>
    <row r="4" spans="1:45" x14ac:dyDescent="0.25">
      <c r="A4" s="146"/>
      <c r="B4" s="96"/>
      <c r="D4" s="86"/>
      <c r="E4" s="79" t="s">
        <v>47</v>
      </c>
      <c r="F4" s="102">
        <f>E32+F2</f>
        <v>1446.5866666666666</v>
      </c>
      <c r="G4" s="104" t="s">
        <v>7</v>
      </c>
      <c r="H4" s="105" t="str">
        <f t="shared" ref="H4:AL4" si="2">TEXT(H5,"ddd")</f>
        <v>Wed</v>
      </c>
      <c r="I4" s="105" t="str">
        <f t="shared" si="2"/>
        <v>Thu</v>
      </c>
      <c r="J4" s="105" t="str">
        <f t="shared" si="2"/>
        <v>Fri</v>
      </c>
      <c r="K4" s="105" t="str">
        <f t="shared" si="2"/>
        <v>Sat</v>
      </c>
      <c r="L4" s="105" t="str">
        <f t="shared" si="2"/>
        <v>Sun</v>
      </c>
      <c r="M4" s="105" t="str">
        <f t="shared" si="2"/>
        <v>Mon</v>
      </c>
      <c r="N4" s="105" t="str">
        <f t="shared" si="2"/>
        <v>Tue</v>
      </c>
      <c r="O4" s="105" t="str">
        <f t="shared" si="2"/>
        <v>Wed</v>
      </c>
      <c r="P4" s="105" t="str">
        <f t="shared" si="2"/>
        <v>Thu</v>
      </c>
      <c r="Q4" s="105" t="str">
        <f t="shared" si="2"/>
        <v>Fri</v>
      </c>
      <c r="R4" s="105" t="str">
        <f t="shared" si="2"/>
        <v>Sat</v>
      </c>
      <c r="S4" s="105" t="str">
        <f t="shared" si="2"/>
        <v>Sun</v>
      </c>
      <c r="T4" s="105" t="str">
        <f t="shared" si="2"/>
        <v>Mon</v>
      </c>
      <c r="U4" s="105" t="str">
        <f t="shared" si="2"/>
        <v>Tue</v>
      </c>
      <c r="V4" s="105" t="str">
        <f t="shared" si="2"/>
        <v>Wed</v>
      </c>
      <c r="W4" s="105" t="str">
        <f t="shared" si="2"/>
        <v>Thu</v>
      </c>
      <c r="X4" s="105" t="str">
        <f t="shared" si="2"/>
        <v>Fri</v>
      </c>
      <c r="Y4" s="105" t="str">
        <f t="shared" si="2"/>
        <v>Sat</v>
      </c>
      <c r="Z4" s="105" t="str">
        <f t="shared" si="2"/>
        <v>Sun</v>
      </c>
      <c r="AA4" s="105" t="str">
        <f t="shared" si="2"/>
        <v>Mon</v>
      </c>
      <c r="AB4" s="105" t="str">
        <f t="shared" si="2"/>
        <v>Tue</v>
      </c>
      <c r="AC4" s="105" t="str">
        <f t="shared" si="2"/>
        <v>Wed</v>
      </c>
      <c r="AD4" s="105" t="str">
        <f t="shared" si="2"/>
        <v>Thu</v>
      </c>
      <c r="AE4" s="105" t="str">
        <f t="shared" si="2"/>
        <v>Fri</v>
      </c>
      <c r="AF4" s="105" t="str">
        <f t="shared" si="2"/>
        <v>Sat</v>
      </c>
      <c r="AG4" s="105" t="str">
        <f t="shared" si="2"/>
        <v>Sun</v>
      </c>
      <c r="AH4" s="105" t="str">
        <f t="shared" si="2"/>
        <v>Mon</v>
      </c>
      <c r="AI4" s="105" t="str">
        <f t="shared" si="2"/>
        <v>Tue</v>
      </c>
      <c r="AJ4" s="105" t="str">
        <f t="shared" si="2"/>
        <v>Wed</v>
      </c>
      <c r="AK4" s="105" t="str">
        <f t="shared" si="2"/>
        <v>Thu</v>
      </c>
      <c r="AL4" s="105" t="str">
        <f t="shared" si="2"/>
        <v>Fri</v>
      </c>
      <c r="AM4" s="96"/>
    </row>
    <row r="5" spans="1:45" ht="15.75" thickBot="1" x14ac:dyDescent="0.3">
      <c r="A5" s="149"/>
      <c r="B5" s="96"/>
      <c r="D5" s="150"/>
      <c r="E5" s="81" t="s">
        <v>51</v>
      </c>
      <c r="F5" s="108">
        <f>-F4/-E32</f>
        <v>0.38611269776024454</v>
      </c>
      <c r="G5" s="109"/>
      <c r="H5" s="111">
        <f>DATE($AR$8,$AR$10,1)</f>
        <v>43831</v>
      </c>
      <c r="I5" s="111">
        <f t="shared" ref="I5:AL5" si="3">H5+1</f>
        <v>43832</v>
      </c>
      <c r="J5" s="111">
        <f t="shared" si="3"/>
        <v>43833</v>
      </c>
      <c r="K5" s="111">
        <f t="shared" si="3"/>
        <v>43834</v>
      </c>
      <c r="L5" s="111">
        <f t="shared" si="3"/>
        <v>43835</v>
      </c>
      <c r="M5" s="111">
        <f t="shared" si="3"/>
        <v>43836</v>
      </c>
      <c r="N5" s="111">
        <f t="shared" si="3"/>
        <v>43837</v>
      </c>
      <c r="O5" s="111">
        <f t="shared" si="3"/>
        <v>43838</v>
      </c>
      <c r="P5" s="111">
        <f t="shared" si="3"/>
        <v>43839</v>
      </c>
      <c r="Q5" s="111">
        <f t="shared" si="3"/>
        <v>43840</v>
      </c>
      <c r="R5" s="111">
        <f t="shared" si="3"/>
        <v>43841</v>
      </c>
      <c r="S5" s="111">
        <f t="shared" si="3"/>
        <v>43842</v>
      </c>
      <c r="T5" s="111">
        <f t="shared" si="3"/>
        <v>43843</v>
      </c>
      <c r="U5" s="111">
        <f t="shared" si="3"/>
        <v>43844</v>
      </c>
      <c r="V5" s="111">
        <f t="shared" si="3"/>
        <v>43845</v>
      </c>
      <c r="W5" s="111">
        <f t="shared" si="3"/>
        <v>43846</v>
      </c>
      <c r="X5" s="111">
        <f t="shared" si="3"/>
        <v>43847</v>
      </c>
      <c r="Y5" s="111">
        <f t="shared" si="3"/>
        <v>43848</v>
      </c>
      <c r="Z5" s="111">
        <f t="shared" si="3"/>
        <v>43849</v>
      </c>
      <c r="AA5" s="111">
        <f t="shared" si="3"/>
        <v>43850</v>
      </c>
      <c r="AB5" s="111">
        <f t="shared" si="3"/>
        <v>43851</v>
      </c>
      <c r="AC5" s="111">
        <f t="shared" si="3"/>
        <v>43852</v>
      </c>
      <c r="AD5" s="111">
        <f t="shared" si="3"/>
        <v>43853</v>
      </c>
      <c r="AE5" s="111">
        <f t="shared" si="3"/>
        <v>43854</v>
      </c>
      <c r="AF5" s="111">
        <f t="shared" si="3"/>
        <v>43855</v>
      </c>
      <c r="AG5" s="111">
        <f t="shared" si="3"/>
        <v>43856</v>
      </c>
      <c r="AH5" s="111">
        <f t="shared" si="3"/>
        <v>43857</v>
      </c>
      <c r="AI5" s="111">
        <f t="shared" si="3"/>
        <v>43858</v>
      </c>
      <c r="AJ5" s="111">
        <f t="shared" si="3"/>
        <v>43859</v>
      </c>
      <c r="AK5" s="111">
        <f t="shared" si="3"/>
        <v>43860</v>
      </c>
      <c r="AL5" s="111">
        <f t="shared" si="3"/>
        <v>43861</v>
      </c>
      <c r="AM5" s="96"/>
    </row>
    <row r="6" spans="1:45" ht="15.75" thickBot="1" x14ac:dyDescent="0.3">
      <c r="B6" s="96"/>
      <c r="C6" s="153" t="s">
        <v>105</v>
      </c>
      <c r="D6" s="153" t="s">
        <v>104</v>
      </c>
      <c r="E6" s="153"/>
      <c r="F6" s="154" t="s">
        <v>106</v>
      </c>
      <c r="G6" s="155">
        <f>SUM(G8:G30)</f>
        <v>0.8280757839550752</v>
      </c>
      <c r="H6" s="156">
        <f t="shared" ref="H6:AL6" si="4">SUM(H7:H30)</f>
        <v>0</v>
      </c>
      <c r="I6" s="156">
        <f t="shared" si="4"/>
        <v>-29.439999999999998</v>
      </c>
      <c r="J6" s="156">
        <f t="shared" si="4"/>
        <v>-19.14</v>
      </c>
      <c r="K6" s="156">
        <f t="shared" si="4"/>
        <v>-60.129999999999995</v>
      </c>
      <c r="L6" s="156">
        <f t="shared" si="4"/>
        <v>-91.009999999999991</v>
      </c>
      <c r="M6" s="156">
        <f t="shared" si="4"/>
        <v>-28.68</v>
      </c>
      <c r="N6" s="156">
        <f t="shared" si="4"/>
        <v>-552.5</v>
      </c>
      <c r="O6" s="156">
        <f t="shared" si="4"/>
        <v>-96.800000000000011</v>
      </c>
      <c r="P6" s="156">
        <f t="shared" si="4"/>
        <v>-34.04</v>
      </c>
      <c r="Q6" s="156">
        <f t="shared" si="4"/>
        <v>-34.380000000000003</v>
      </c>
      <c r="R6" s="156">
        <f t="shared" si="4"/>
        <v>-25.5</v>
      </c>
      <c r="S6" s="156">
        <f t="shared" si="4"/>
        <v>-107.38</v>
      </c>
      <c r="T6" s="156">
        <f t="shared" si="4"/>
        <v>-56.24</v>
      </c>
      <c r="U6" s="156">
        <f t="shared" si="4"/>
        <v>-48.3</v>
      </c>
      <c r="V6" s="156">
        <f t="shared" si="4"/>
        <v>-56.5</v>
      </c>
      <c r="W6" s="156">
        <f t="shared" si="4"/>
        <v>-138.74</v>
      </c>
      <c r="X6" s="156">
        <f t="shared" si="4"/>
        <v>-11.9</v>
      </c>
      <c r="Y6" s="156">
        <f t="shared" si="4"/>
        <v>-67.5</v>
      </c>
      <c r="Z6" s="156">
        <f t="shared" si="4"/>
        <v>-119.19</v>
      </c>
      <c r="AA6" s="156">
        <f t="shared" si="4"/>
        <v>0</v>
      </c>
      <c r="AB6" s="156">
        <f t="shared" si="4"/>
        <v>-111.61999999999999</v>
      </c>
      <c r="AC6" s="156">
        <f t="shared" si="4"/>
        <v>-24.92</v>
      </c>
      <c r="AD6" s="156">
        <f t="shared" si="4"/>
        <v>0</v>
      </c>
      <c r="AE6" s="156">
        <f t="shared" si="4"/>
        <v>-9.5</v>
      </c>
      <c r="AF6" s="156">
        <f t="shared" si="4"/>
        <v>-96.57</v>
      </c>
      <c r="AG6" s="156">
        <f t="shared" si="4"/>
        <v>-94.990000000000009</v>
      </c>
      <c r="AH6" s="156">
        <f t="shared" si="4"/>
        <v>-45.11</v>
      </c>
      <c r="AI6" s="156">
        <f t="shared" si="4"/>
        <v>-32.5</v>
      </c>
      <c r="AJ6" s="156">
        <f t="shared" si="4"/>
        <v>-38.24</v>
      </c>
      <c r="AK6" s="156">
        <f t="shared" si="4"/>
        <v>-95.8</v>
      </c>
      <c r="AL6" s="156">
        <f t="shared" si="4"/>
        <v>-5</v>
      </c>
      <c r="AM6" s="96"/>
    </row>
    <row r="7" spans="1:45" ht="17.25" x14ac:dyDescent="0.3">
      <c r="B7" s="96"/>
      <c r="C7" s="121">
        <f t="shared" ref="C7:C30" si="5">E7-D7</f>
        <v>71.739999999999981</v>
      </c>
      <c r="D7" s="258">
        <f>AP17</f>
        <v>-200</v>
      </c>
      <c r="E7" s="256">
        <f t="shared" ref="E7:E30" si="6">SUM(H7:AL7)</f>
        <v>-128.26000000000002</v>
      </c>
      <c r="F7" s="257" t="s">
        <v>127</v>
      </c>
      <c r="G7" s="88">
        <f t="shared" ref="G7:G31" si="7">E7/$AP$9</f>
        <v>4.8906076387432523E-2</v>
      </c>
      <c r="H7" s="177" t="s">
        <v>66</v>
      </c>
      <c r="I7" s="177" t="s">
        <v>66</v>
      </c>
      <c r="J7" s="177" t="s">
        <v>66</v>
      </c>
      <c r="K7" s="177" t="s">
        <v>66</v>
      </c>
      <c r="L7" s="177" t="s">
        <v>66</v>
      </c>
      <c r="M7" s="177">
        <v>-24.51</v>
      </c>
      <c r="N7" s="177" t="s">
        <v>66</v>
      </c>
      <c r="O7" s="238" t="s">
        <v>66</v>
      </c>
      <c r="P7" s="177">
        <v>-19.91</v>
      </c>
      <c r="Q7" s="177" t="s">
        <v>66</v>
      </c>
      <c r="R7" s="177" t="s">
        <v>66</v>
      </c>
      <c r="S7" s="177" t="s">
        <v>66</v>
      </c>
      <c r="T7" s="177">
        <f>-24.51</f>
        <v>-24.51</v>
      </c>
      <c r="U7" s="177" t="s">
        <v>66</v>
      </c>
      <c r="V7" s="177" t="s">
        <v>66</v>
      </c>
      <c r="W7" s="177" t="s">
        <v>66</v>
      </c>
      <c r="X7" s="177" t="s">
        <v>66</v>
      </c>
      <c r="Y7" s="177" t="s">
        <v>66</v>
      </c>
      <c r="Z7" s="177" t="s">
        <v>66</v>
      </c>
      <c r="AA7" s="177" t="s">
        <v>66</v>
      </c>
      <c r="AB7" s="177">
        <f>-14.9</f>
        <v>-14.9</v>
      </c>
      <c r="AC7" s="177">
        <f>-19.92</f>
        <v>-19.920000000000002</v>
      </c>
      <c r="AD7" s="177" t="s">
        <v>66</v>
      </c>
      <c r="AE7" s="177" t="s">
        <v>66</v>
      </c>
      <c r="AF7" s="177" t="s">
        <v>66</v>
      </c>
      <c r="AG7" s="177" t="s">
        <v>66</v>
      </c>
      <c r="AH7" s="177" t="s">
        <v>66</v>
      </c>
      <c r="AI7" s="177">
        <f>-24.51</f>
        <v>-24.51</v>
      </c>
      <c r="AJ7" s="177" t="s">
        <v>66</v>
      </c>
      <c r="AK7" s="177" t="s">
        <v>66</v>
      </c>
      <c r="AL7" s="177" t="s">
        <v>66</v>
      </c>
      <c r="AM7" s="96"/>
      <c r="AO7" s="285" t="s">
        <v>100</v>
      </c>
      <c r="AP7" s="286"/>
    </row>
    <row r="8" spans="1:45" x14ac:dyDescent="0.25">
      <c r="B8" s="96"/>
      <c r="C8" s="121">
        <f t="shared" si="5"/>
        <v>-14.110000000000014</v>
      </c>
      <c r="D8" s="260">
        <f>AP24</f>
        <v>-250</v>
      </c>
      <c r="E8" s="261">
        <f t="shared" si="6"/>
        <v>-264.11</v>
      </c>
      <c r="F8" s="259" t="s">
        <v>107</v>
      </c>
      <c r="G8" s="253">
        <f t="shared" si="7"/>
        <v>0.10070625163484176</v>
      </c>
      <c r="H8" s="254" t="s">
        <v>66</v>
      </c>
      <c r="I8" s="255">
        <f>-6.6</f>
        <v>-6.6</v>
      </c>
      <c r="J8" s="255">
        <f>-13.09</f>
        <v>-13.09</v>
      </c>
      <c r="K8" s="255">
        <f>-5-7-21.33</f>
        <v>-33.33</v>
      </c>
      <c r="L8" s="255" t="s">
        <v>66</v>
      </c>
      <c r="M8" s="255" t="s">
        <v>66</v>
      </c>
      <c r="N8" s="255">
        <v>-2.5</v>
      </c>
      <c r="O8" s="255">
        <v>-19.899999999999999</v>
      </c>
      <c r="P8" s="255" t="s">
        <v>66</v>
      </c>
      <c r="Q8" s="255">
        <f>-19.5-7.5</f>
        <v>-27</v>
      </c>
      <c r="R8" s="254"/>
      <c r="S8" s="254">
        <f>-20-11-8</f>
        <v>-39</v>
      </c>
      <c r="T8" s="255" t="s">
        <v>66</v>
      </c>
      <c r="U8" s="255" t="s">
        <v>66</v>
      </c>
      <c r="V8" s="255">
        <f>-41</f>
        <v>-41</v>
      </c>
      <c r="W8" s="255">
        <f>-6.9</f>
        <v>-6.9</v>
      </c>
      <c r="X8" s="255" t="s">
        <v>66</v>
      </c>
      <c r="Y8" s="255">
        <f>-6.99-7.5</f>
        <v>-14.49</v>
      </c>
      <c r="Z8" s="255" t="s">
        <v>66</v>
      </c>
      <c r="AA8" s="255" t="s">
        <v>66</v>
      </c>
      <c r="AB8" s="255" t="s">
        <v>66</v>
      </c>
      <c r="AC8" s="255" t="s">
        <v>66</v>
      </c>
      <c r="AD8" s="255" t="s">
        <v>66</v>
      </c>
      <c r="AE8" s="255" t="s">
        <v>66</v>
      </c>
      <c r="AF8" s="255">
        <f>-44.5</f>
        <v>-44.5</v>
      </c>
      <c r="AG8" s="255" t="s">
        <v>66</v>
      </c>
      <c r="AH8" s="255" t="s">
        <v>66</v>
      </c>
      <c r="AI8" s="255" t="s">
        <v>66</v>
      </c>
      <c r="AJ8" s="255" t="s">
        <v>66</v>
      </c>
      <c r="AK8" s="255">
        <f>-15.8</f>
        <v>-15.8</v>
      </c>
      <c r="AL8" s="255" t="s">
        <v>66</v>
      </c>
      <c r="AM8" s="96" t="s">
        <v>66</v>
      </c>
      <c r="AP8" s="172"/>
      <c r="AR8" s="78">
        <v>2020</v>
      </c>
      <c r="AS8" s="56">
        <f ca="1">TODAY()</f>
        <v>43926</v>
      </c>
    </row>
    <row r="9" spans="1:45" x14ac:dyDescent="0.25">
      <c r="A9" s="158"/>
      <c r="B9" s="96"/>
      <c r="C9" s="121">
        <f t="shared" si="5"/>
        <v>-14</v>
      </c>
      <c r="D9" s="258">
        <f>AP25</f>
        <v>-20</v>
      </c>
      <c r="E9" s="256">
        <f t="shared" si="6"/>
        <v>-34</v>
      </c>
      <c r="F9" s="257" t="s">
        <v>22</v>
      </c>
      <c r="G9" s="88">
        <f t="shared" si="7"/>
        <v>1.2964342719263259E-2</v>
      </c>
      <c r="H9" s="177" t="s">
        <v>66</v>
      </c>
      <c r="I9" s="177" t="s">
        <v>66</v>
      </c>
      <c r="J9" s="177" t="s">
        <v>66</v>
      </c>
      <c r="K9" s="177">
        <v>-6</v>
      </c>
      <c r="L9" s="177">
        <v>-5</v>
      </c>
      <c r="M9" s="177" t="s">
        <v>66</v>
      </c>
      <c r="N9" s="177" t="s">
        <v>66</v>
      </c>
      <c r="O9" s="238" t="s">
        <v>66</v>
      </c>
      <c r="P9" s="177" t="s">
        <v>66</v>
      </c>
      <c r="Q9" s="177" t="s">
        <v>66</v>
      </c>
      <c r="R9" s="177" t="s">
        <v>66</v>
      </c>
      <c r="S9" s="177" t="s">
        <v>66</v>
      </c>
      <c r="T9" s="177" t="s">
        <v>66</v>
      </c>
      <c r="U9" s="177" t="s">
        <v>66</v>
      </c>
      <c r="V9" s="177">
        <f>-3.5</f>
        <v>-3.5</v>
      </c>
      <c r="W9" s="177" t="s">
        <v>66</v>
      </c>
      <c r="X9" s="177">
        <v>-5</v>
      </c>
      <c r="Y9" s="177" t="s">
        <v>66</v>
      </c>
      <c r="Z9" s="177" t="s">
        <v>66</v>
      </c>
      <c r="AA9" s="177" t="s">
        <v>66</v>
      </c>
      <c r="AB9" s="177" t="s">
        <v>66</v>
      </c>
      <c r="AC9" s="177" t="s">
        <v>66</v>
      </c>
      <c r="AD9" s="266" t="s">
        <v>66</v>
      </c>
      <c r="AE9" s="266">
        <f>-4.5-5</f>
        <v>-9.5</v>
      </c>
      <c r="AF9" s="177" t="s">
        <v>66</v>
      </c>
      <c r="AG9" s="177" t="s">
        <v>66</v>
      </c>
      <c r="AH9" s="177" t="s">
        <v>66</v>
      </c>
      <c r="AI9" s="177" t="s">
        <v>66</v>
      </c>
      <c r="AJ9" s="177" t="s">
        <v>66</v>
      </c>
      <c r="AK9" s="177" t="s">
        <v>66</v>
      </c>
      <c r="AL9" s="177">
        <v>-5</v>
      </c>
      <c r="AM9" s="96" t="s">
        <v>66</v>
      </c>
      <c r="AO9" s="145" t="s">
        <v>101</v>
      </c>
      <c r="AP9" s="173">
        <f>-E32*(1-AP11)</f>
        <v>-2622.578</v>
      </c>
      <c r="AR9" s="78" t="s">
        <v>1</v>
      </c>
      <c r="AS9" s="1" t="str">
        <f ca="1">IF(Y5=AS8,"sim","não")</f>
        <v>não</v>
      </c>
    </row>
    <row r="10" spans="1:45" x14ac:dyDescent="0.25">
      <c r="B10" s="96"/>
      <c r="C10" s="121">
        <f t="shared" si="5"/>
        <v>0.94999999999999929</v>
      </c>
      <c r="D10" s="260">
        <f>AP32</f>
        <v>-15</v>
      </c>
      <c r="E10" s="261">
        <f t="shared" si="6"/>
        <v>-14.05</v>
      </c>
      <c r="F10" s="259" t="s">
        <v>109</v>
      </c>
      <c r="G10" s="253">
        <f t="shared" si="7"/>
        <v>5.3573239766367296E-3</v>
      </c>
      <c r="H10" s="254" t="s">
        <v>66</v>
      </c>
      <c r="I10" s="255" t="s">
        <v>66</v>
      </c>
      <c r="J10" s="255">
        <v>-6.05</v>
      </c>
      <c r="K10" s="255" t="s">
        <v>66</v>
      </c>
      <c r="L10" s="255" t="s">
        <v>66</v>
      </c>
      <c r="M10" s="255" t="s">
        <v>66</v>
      </c>
      <c r="N10" s="255" t="s">
        <v>66</v>
      </c>
      <c r="O10" s="255" t="s">
        <v>66</v>
      </c>
      <c r="P10" s="255" t="s">
        <v>66</v>
      </c>
      <c r="Q10" s="255" t="s">
        <v>66</v>
      </c>
      <c r="R10" s="254" t="s">
        <v>66</v>
      </c>
      <c r="S10" s="254">
        <v>-8</v>
      </c>
      <c r="T10" s="255" t="s">
        <v>66</v>
      </c>
      <c r="U10" s="255" t="s">
        <v>66</v>
      </c>
      <c r="V10" s="255" t="s">
        <v>66</v>
      </c>
      <c r="W10" s="255" t="s">
        <v>66</v>
      </c>
      <c r="X10" s="255" t="s">
        <v>66</v>
      </c>
      <c r="Y10" s="255" t="s">
        <v>66</v>
      </c>
      <c r="Z10" s="255" t="s">
        <v>66</v>
      </c>
      <c r="AA10" s="255" t="s">
        <v>66</v>
      </c>
      <c r="AB10" s="255" t="s">
        <v>66</v>
      </c>
      <c r="AC10" s="255" t="s">
        <v>66</v>
      </c>
      <c r="AD10" s="255" t="s">
        <v>66</v>
      </c>
      <c r="AE10" s="255" t="s">
        <v>66</v>
      </c>
      <c r="AF10" s="255" t="s">
        <v>66</v>
      </c>
      <c r="AG10" s="255" t="s">
        <v>66</v>
      </c>
      <c r="AH10" s="255" t="s">
        <v>66</v>
      </c>
      <c r="AI10" s="255" t="s">
        <v>66</v>
      </c>
      <c r="AJ10" s="255" t="s">
        <v>66</v>
      </c>
      <c r="AK10" s="255" t="s">
        <v>66</v>
      </c>
      <c r="AL10" s="255" t="s">
        <v>66</v>
      </c>
      <c r="AM10" s="96" t="s">
        <v>66</v>
      </c>
      <c r="AO10" s="147" t="s">
        <v>102</v>
      </c>
      <c r="AP10" s="174"/>
      <c r="AR10" s="78">
        <v>1</v>
      </c>
    </row>
    <row r="11" spans="1:45" x14ac:dyDescent="0.25">
      <c r="B11" s="96"/>
      <c r="C11" s="121">
        <f t="shared" si="5"/>
        <v>8.8500000000000014</v>
      </c>
      <c r="D11" s="258">
        <f>AP33</f>
        <v>-40</v>
      </c>
      <c r="E11" s="256">
        <f t="shared" si="6"/>
        <v>-31.15</v>
      </c>
      <c r="F11" s="257" t="s">
        <v>81</v>
      </c>
      <c r="G11" s="88">
        <f t="shared" si="7"/>
        <v>1.1877625756030897E-2</v>
      </c>
      <c r="H11" s="177" t="s">
        <v>66</v>
      </c>
      <c r="I11" s="177" t="s">
        <v>66</v>
      </c>
      <c r="J11" s="177" t="s">
        <v>66</v>
      </c>
      <c r="K11" s="177" t="s">
        <v>66</v>
      </c>
      <c r="L11" s="177">
        <v>-10</v>
      </c>
      <c r="M11" s="177" t="s">
        <v>66</v>
      </c>
      <c r="N11" s="177" t="s">
        <v>66</v>
      </c>
      <c r="O11" s="238" t="s">
        <v>66</v>
      </c>
      <c r="P11" s="177" t="s">
        <v>66</v>
      </c>
      <c r="Q11" s="177" t="s">
        <v>66</v>
      </c>
      <c r="R11" s="177">
        <v>-3</v>
      </c>
      <c r="S11" s="177" t="s">
        <v>66</v>
      </c>
      <c r="T11" s="177" t="s">
        <v>66</v>
      </c>
      <c r="U11" s="177">
        <v>-8.15</v>
      </c>
      <c r="V11" s="177" t="s">
        <v>66</v>
      </c>
      <c r="W11" s="177" t="s">
        <v>66</v>
      </c>
      <c r="X11" s="177" t="s">
        <v>66</v>
      </c>
      <c r="Y11" s="177">
        <v>-10</v>
      </c>
      <c r="Z11" s="177" t="s">
        <v>66</v>
      </c>
      <c r="AA11" s="177" t="s">
        <v>66</v>
      </c>
      <c r="AB11" s="177" t="s">
        <v>66</v>
      </c>
      <c r="AC11" s="177" t="s">
        <v>66</v>
      </c>
      <c r="AD11" s="177" t="s">
        <v>66</v>
      </c>
      <c r="AE11" s="177" t="s">
        <v>66</v>
      </c>
      <c r="AF11" s="177" t="s">
        <v>66</v>
      </c>
      <c r="AG11" s="177" t="s">
        <v>66</v>
      </c>
      <c r="AH11" s="177" t="s">
        <v>66</v>
      </c>
      <c r="AI11" s="177" t="s">
        <v>66</v>
      </c>
      <c r="AJ11" s="177" t="s">
        <v>66</v>
      </c>
      <c r="AK11" s="177" t="s">
        <v>66</v>
      </c>
      <c r="AL11" s="177" t="s">
        <v>66</v>
      </c>
      <c r="AM11" s="96" t="s">
        <v>66</v>
      </c>
      <c r="AO11" s="151" t="s">
        <v>103</v>
      </c>
      <c r="AP11" s="175">
        <v>0.3</v>
      </c>
    </row>
    <row r="12" spans="1:45" x14ac:dyDescent="0.25">
      <c r="B12" s="96"/>
      <c r="C12" s="121">
        <f t="shared" si="5"/>
        <v>-36.789999999999964</v>
      </c>
      <c r="D12" s="260">
        <f>AP19</f>
        <v>-200</v>
      </c>
      <c r="E12" s="261">
        <f t="shared" si="6"/>
        <v>-236.78999999999996</v>
      </c>
      <c r="F12" s="259" t="s">
        <v>130</v>
      </c>
      <c r="G12" s="253">
        <f t="shared" si="7"/>
        <v>9.0289020955716073E-2</v>
      </c>
      <c r="H12" s="254" t="s">
        <v>66</v>
      </c>
      <c r="I12" s="255">
        <v>-1.89</v>
      </c>
      <c r="J12" s="255" t="s">
        <v>66</v>
      </c>
      <c r="K12" s="255" t="s">
        <v>66</v>
      </c>
      <c r="L12" s="255">
        <f>-23.72</f>
        <v>-23.72</v>
      </c>
      <c r="M12" s="255" t="s">
        <v>66</v>
      </c>
      <c r="N12" s="255" t="s">
        <v>66</v>
      </c>
      <c r="O12" s="255" t="s">
        <v>66</v>
      </c>
      <c r="P12" s="255">
        <f>-14.13</f>
        <v>-14.13</v>
      </c>
      <c r="Q12" s="255" t="s">
        <v>66</v>
      </c>
      <c r="R12" s="254" t="s">
        <v>66</v>
      </c>
      <c r="S12" s="254" t="s">
        <v>66</v>
      </c>
      <c r="T12" s="255">
        <f>-31.73</f>
        <v>-31.73</v>
      </c>
      <c r="U12" s="255">
        <f>-40.15</f>
        <v>-40.15</v>
      </c>
      <c r="V12" s="255" t="s">
        <v>66</v>
      </c>
      <c r="W12" s="255">
        <f>-6.94</f>
        <v>-6.94</v>
      </c>
      <c r="X12" s="255" t="s">
        <v>66</v>
      </c>
      <c r="Y12" s="255">
        <f>-36.39+14</f>
        <v>-22.39</v>
      </c>
      <c r="Z12" s="255" t="s">
        <v>66</v>
      </c>
      <c r="AA12" s="255" t="s">
        <v>66</v>
      </c>
      <c r="AB12" s="255">
        <v>-50.73</v>
      </c>
      <c r="AC12" s="255" t="s">
        <v>66</v>
      </c>
      <c r="AD12" s="255" t="s">
        <v>66</v>
      </c>
      <c r="AE12" s="255" t="s">
        <v>66</v>
      </c>
      <c r="AF12" s="255" t="s">
        <v>66</v>
      </c>
      <c r="AG12" s="255" t="s">
        <v>66</v>
      </c>
      <c r="AH12" s="255">
        <f>-45.11</f>
        <v>-45.11</v>
      </c>
      <c r="AI12" s="255" t="s">
        <v>66</v>
      </c>
      <c r="AJ12" s="255" t="s">
        <v>66</v>
      </c>
      <c r="AK12" s="255" t="s">
        <v>66</v>
      </c>
      <c r="AL12" s="255" t="s">
        <v>66</v>
      </c>
      <c r="AM12" s="96" t="s">
        <v>66</v>
      </c>
      <c r="AO12" s="157" t="s">
        <v>108</v>
      </c>
      <c r="AP12" s="176">
        <f>AP15-AP9</f>
        <v>525.6880000000001</v>
      </c>
    </row>
    <row r="13" spans="1:45" x14ac:dyDescent="0.25">
      <c r="B13" s="96"/>
      <c r="C13" s="121">
        <f t="shared" si="5"/>
        <v>-8.9899999999999984</v>
      </c>
      <c r="D13" s="258">
        <f>AP28</f>
        <v>-15</v>
      </c>
      <c r="E13" s="256">
        <f t="shared" si="6"/>
        <v>-23.99</v>
      </c>
      <c r="F13" s="257" t="s">
        <v>131</v>
      </c>
      <c r="G13" s="88">
        <f t="shared" si="7"/>
        <v>9.1474877010331059E-3</v>
      </c>
      <c r="H13" s="177" t="s">
        <v>66</v>
      </c>
      <c r="I13" s="177" t="s">
        <v>66</v>
      </c>
      <c r="J13" s="177" t="s">
        <v>66</v>
      </c>
      <c r="K13" s="177" t="s">
        <v>66</v>
      </c>
      <c r="L13" s="177" t="s">
        <v>66</v>
      </c>
      <c r="M13" s="177" t="s">
        <v>66</v>
      </c>
      <c r="N13" s="177" t="s">
        <v>66</v>
      </c>
      <c r="O13" s="238" t="s">
        <v>66</v>
      </c>
      <c r="P13" s="177" t="s">
        <v>66</v>
      </c>
      <c r="Q13" s="177" t="s">
        <v>66</v>
      </c>
      <c r="R13" s="177" t="s">
        <v>66</v>
      </c>
      <c r="S13" s="177" t="s">
        <v>66</v>
      </c>
      <c r="T13" s="177" t="s">
        <v>66</v>
      </c>
      <c r="U13" s="177" t="s">
        <v>66</v>
      </c>
      <c r="V13" s="177" t="s">
        <v>66</v>
      </c>
      <c r="W13" s="177" t="s">
        <v>66</v>
      </c>
      <c r="X13" s="177" t="s">
        <v>66</v>
      </c>
      <c r="Y13" s="177" t="s">
        <v>66</v>
      </c>
      <c r="Z13" s="177" t="s">
        <v>66</v>
      </c>
      <c r="AA13" s="177" t="s">
        <v>66</v>
      </c>
      <c r="AB13" s="177">
        <f>-23.99</f>
        <v>-23.99</v>
      </c>
      <c r="AC13" s="177" t="s">
        <v>66</v>
      </c>
      <c r="AD13" s="177" t="s">
        <v>66</v>
      </c>
      <c r="AE13" s="177" t="s">
        <v>66</v>
      </c>
      <c r="AF13" s="177" t="s">
        <v>66</v>
      </c>
      <c r="AG13" s="177" t="s">
        <v>66</v>
      </c>
      <c r="AH13" s="177" t="s">
        <v>66</v>
      </c>
      <c r="AI13" s="177" t="s">
        <v>66</v>
      </c>
      <c r="AJ13" s="177" t="s">
        <v>66</v>
      </c>
      <c r="AK13" s="177" t="s">
        <v>66</v>
      </c>
      <c r="AL13" s="177" t="s">
        <v>66</v>
      </c>
      <c r="AM13" s="96" t="s">
        <v>66</v>
      </c>
      <c r="AO13" s="54" t="s">
        <v>128</v>
      </c>
      <c r="AP13" s="174">
        <f>E32+AP15</f>
        <v>1649.65</v>
      </c>
    </row>
    <row r="14" spans="1:45" ht="16.5" x14ac:dyDescent="0.25">
      <c r="B14" s="96"/>
      <c r="C14" s="121">
        <f t="shared" si="5"/>
        <v>48.539999999999992</v>
      </c>
      <c r="D14" s="260">
        <f>AP22</f>
        <v>-300</v>
      </c>
      <c r="E14" s="261">
        <f t="shared" si="6"/>
        <v>-251.46</v>
      </c>
      <c r="F14" s="259" t="s">
        <v>27</v>
      </c>
      <c r="G14" s="253">
        <f t="shared" si="7"/>
        <v>9.5882753534880572E-2</v>
      </c>
      <c r="H14" s="254" t="s">
        <v>66</v>
      </c>
      <c r="I14" s="255" t="s">
        <v>66</v>
      </c>
      <c r="J14" s="255" t="s">
        <v>66</v>
      </c>
      <c r="K14" s="255" t="s">
        <v>66</v>
      </c>
      <c r="L14" s="255">
        <v>-17.29</v>
      </c>
      <c r="M14" s="255">
        <v>-4.17</v>
      </c>
      <c r="N14" s="255" t="s">
        <v>66</v>
      </c>
      <c r="O14" s="255">
        <v>-50</v>
      </c>
      <c r="P14" s="255" t="s">
        <v>66</v>
      </c>
      <c r="Q14" s="255" t="s">
        <v>66</v>
      </c>
      <c r="R14" s="254" t="s">
        <v>66</v>
      </c>
      <c r="S14" s="254" t="s">
        <v>66</v>
      </c>
      <c r="T14" s="255" t="s">
        <v>66</v>
      </c>
      <c r="U14" s="255" t="s">
        <v>66</v>
      </c>
      <c r="V14" s="255" t="s">
        <v>66</v>
      </c>
      <c r="W14" s="255">
        <f>-100</f>
        <v>-100</v>
      </c>
      <c r="X14" s="255" t="s">
        <v>66</v>
      </c>
      <c r="Y14" s="255" t="s">
        <v>66</v>
      </c>
      <c r="Z14" s="255" t="s">
        <v>66</v>
      </c>
      <c r="AA14" s="255" t="s">
        <v>66</v>
      </c>
      <c r="AB14" s="255" t="s">
        <v>66</v>
      </c>
      <c r="AC14" s="255" t="s">
        <v>66</v>
      </c>
      <c r="AD14" s="255" t="s">
        <v>66</v>
      </c>
      <c r="AE14" s="255" t="s">
        <v>66</v>
      </c>
      <c r="AF14" s="255" t="s">
        <v>66</v>
      </c>
      <c r="AG14" s="255" t="s">
        <v>66</v>
      </c>
      <c r="AH14" s="255" t="s">
        <v>66</v>
      </c>
      <c r="AI14" s="255" t="s">
        <v>66</v>
      </c>
      <c r="AJ14" s="255" t="s">
        <v>66</v>
      </c>
      <c r="AK14" s="255">
        <f>-80</f>
        <v>-80</v>
      </c>
      <c r="AL14" s="255" t="s">
        <v>66</v>
      </c>
      <c r="AM14" s="96" t="s">
        <v>66</v>
      </c>
      <c r="AO14" s="54" t="s">
        <v>129</v>
      </c>
      <c r="AP14" s="178">
        <f>AP13/E32</f>
        <v>0.44031292872890726</v>
      </c>
    </row>
    <row r="15" spans="1:45" ht="18.75" x14ac:dyDescent="0.3">
      <c r="B15" s="96"/>
      <c r="C15" s="121">
        <f t="shared" si="5"/>
        <v>-32.5</v>
      </c>
      <c r="D15" s="258">
        <f>AP34</f>
        <v>-60</v>
      </c>
      <c r="E15" s="256">
        <f t="shared" si="6"/>
        <v>-92.5</v>
      </c>
      <c r="F15" s="257" t="s">
        <v>111</v>
      </c>
      <c r="G15" s="88">
        <f t="shared" si="7"/>
        <v>3.5270638280348571E-2</v>
      </c>
      <c r="H15" s="177" t="s">
        <v>66</v>
      </c>
      <c r="I15" s="177" t="s">
        <v>66</v>
      </c>
      <c r="J15" s="177" t="s">
        <v>66</v>
      </c>
      <c r="K15" s="177" t="s">
        <v>66</v>
      </c>
      <c r="L15" s="177" t="s">
        <v>66</v>
      </c>
      <c r="M15" s="177" t="s">
        <v>66</v>
      </c>
      <c r="N15" s="177" t="s">
        <v>66</v>
      </c>
      <c r="O15" s="238" t="s">
        <v>66</v>
      </c>
      <c r="P15" s="177" t="s">
        <v>66</v>
      </c>
      <c r="Q15" s="177" t="s">
        <v>66</v>
      </c>
      <c r="R15" s="177">
        <v>-22.5</v>
      </c>
      <c r="S15" s="177" t="s">
        <v>66</v>
      </c>
      <c r="T15" s="177" t="s">
        <v>66</v>
      </c>
      <c r="U15" s="177" t="s">
        <v>66</v>
      </c>
      <c r="V15" s="177" t="s">
        <v>66</v>
      </c>
      <c r="W15" s="177" t="s">
        <v>66</v>
      </c>
      <c r="X15" s="177" t="s">
        <v>66</v>
      </c>
      <c r="Y15" s="177" t="s">
        <v>66</v>
      </c>
      <c r="Z15" s="177">
        <v>-50</v>
      </c>
      <c r="AA15" s="177" t="s">
        <v>66</v>
      </c>
      <c r="AB15" s="177" t="s">
        <v>66</v>
      </c>
      <c r="AC15" s="177" t="s">
        <v>66</v>
      </c>
      <c r="AD15" s="177" t="s">
        <v>66</v>
      </c>
      <c r="AE15" s="177" t="s">
        <v>66</v>
      </c>
      <c r="AF15" s="177">
        <f>-20</f>
        <v>-20</v>
      </c>
      <c r="AG15" s="177" t="s">
        <v>66</v>
      </c>
      <c r="AH15" s="177" t="s">
        <v>66</v>
      </c>
      <c r="AI15" s="177" t="s">
        <v>66</v>
      </c>
      <c r="AJ15" s="177" t="s">
        <v>66</v>
      </c>
      <c r="AK15" s="177" t="s">
        <v>66</v>
      </c>
      <c r="AL15" s="177" t="s">
        <v>66</v>
      </c>
      <c r="AM15" s="96" t="s">
        <v>66</v>
      </c>
      <c r="AO15" s="160" t="s">
        <v>110</v>
      </c>
      <c r="AP15" s="179">
        <f>SUM(AP16:AP39)</f>
        <v>-2096.89</v>
      </c>
    </row>
    <row r="16" spans="1:45" x14ac:dyDescent="0.25">
      <c r="B16" s="96"/>
      <c r="C16" s="121">
        <f t="shared" si="5"/>
        <v>10</v>
      </c>
      <c r="D16" s="260">
        <f>AP31</f>
        <v>-20</v>
      </c>
      <c r="E16" s="261">
        <f t="shared" si="6"/>
        <v>-10</v>
      </c>
      <c r="F16" s="259" t="s">
        <v>89</v>
      </c>
      <c r="G16" s="253">
        <f t="shared" si="7"/>
        <v>3.8130419762538999E-3</v>
      </c>
      <c r="H16" s="254" t="s">
        <v>66</v>
      </c>
      <c r="I16" s="255" t="s">
        <v>66</v>
      </c>
      <c r="J16" s="255" t="s">
        <v>66</v>
      </c>
      <c r="K16" s="255" t="s">
        <v>66</v>
      </c>
      <c r="L16" s="255" t="s">
        <v>66</v>
      </c>
      <c r="M16" s="255" t="s">
        <v>66</v>
      </c>
      <c r="N16" s="255" t="s">
        <v>66</v>
      </c>
      <c r="O16" s="255" t="s">
        <v>66</v>
      </c>
      <c r="P16" s="255" t="s">
        <v>66</v>
      </c>
      <c r="Q16" s="255" t="s">
        <v>66</v>
      </c>
      <c r="R16" s="254" t="s">
        <v>66</v>
      </c>
      <c r="S16" s="254" t="s">
        <v>66</v>
      </c>
      <c r="T16" s="255" t="s">
        <v>66</v>
      </c>
      <c r="U16" s="255" t="s">
        <v>66</v>
      </c>
      <c r="V16" s="255" t="s">
        <v>66</v>
      </c>
      <c r="W16" s="255" t="s">
        <v>66</v>
      </c>
      <c r="X16" s="255" t="s">
        <v>66</v>
      </c>
      <c r="Y16" s="255" t="s">
        <v>66</v>
      </c>
      <c r="Z16" s="255">
        <v>-10</v>
      </c>
      <c r="AA16" s="255" t="s">
        <v>66</v>
      </c>
      <c r="AB16" s="255" t="s">
        <v>66</v>
      </c>
      <c r="AC16" s="255" t="s">
        <v>66</v>
      </c>
      <c r="AD16" s="255" t="s">
        <v>66</v>
      </c>
      <c r="AE16" s="255" t="s">
        <v>66</v>
      </c>
      <c r="AF16" s="255" t="s">
        <v>66</v>
      </c>
      <c r="AG16" s="255" t="s">
        <v>66</v>
      </c>
      <c r="AH16" s="255" t="s">
        <v>66</v>
      </c>
      <c r="AI16" s="255" t="s">
        <v>66</v>
      </c>
      <c r="AJ16" s="255" t="s">
        <v>66</v>
      </c>
      <c r="AK16" s="255" t="s">
        <v>66</v>
      </c>
      <c r="AL16" s="255" t="s">
        <v>66</v>
      </c>
      <c r="AM16" s="96" t="s">
        <v>66</v>
      </c>
      <c r="AN16" s="147">
        <v>1</v>
      </c>
      <c r="AO16" s="54" t="s">
        <v>72</v>
      </c>
      <c r="AP16" s="87">
        <v>-550</v>
      </c>
    </row>
    <row r="17" spans="2:42" x14ac:dyDescent="0.25">
      <c r="B17" s="96"/>
      <c r="C17" s="121">
        <f t="shared" si="5"/>
        <v>0</v>
      </c>
      <c r="D17" s="258">
        <f>AP18</f>
        <v>-81.89</v>
      </c>
      <c r="E17" s="256">
        <f t="shared" si="6"/>
        <v>-81.89</v>
      </c>
      <c r="F17" s="257" t="s">
        <v>112</v>
      </c>
      <c r="G17" s="88">
        <f t="shared" si="7"/>
        <v>3.1225000743543185E-2</v>
      </c>
      <c r="H17" s="177" t="s">
        <v>66</v>
      </c>
      <c r="I17" s="177" t="s">
        <v>66</v>
      </c>
      <c r="J17" s="177" t="s">
        <v>66</v>
      </c>
      <c r="K17" s="177" t="s">
        <v>66</v>
      </c>
      <c r="L17" s="177" t="s">
        <v>66</v>
      </c>
      <c r="M17" s="177" t="s">
        <v>66</v>
      </c>
      <c r="N17" s="177" t="s">
        <v>66</v>
      </c>
      <c r="O17" s="238">
        <v>-26.9</v>
      </c>
      <c r="P17" s="177" t="s">
        <v>66</v>
      </c>
      <c r="Q17" s="177" t="s">
        <v>66</v>
      </c>
      <c r="R17" s="177" t="s">
        <v>66</v>
      </c>
      <c r="S17" s="177" t="s">
        <v>66</v>
      </c>
      <c r="T17" s="177" t="s">
        <v>66</v>
      </c>
      <c r="U17" s="177" t="s">
        <v>66</v>
      </c>
      <c r="V17" s="177" t="s">
        <v>66</v>
      </c>
      <c r="W17" s="177" t="s">
        <v>66</v>
      </c>
      <c r="X17" s="177" t="s">
        <v>66</v>
      </c>
      <c r="Y17" s="177" t="s">
        <v>66</v>
      </c>
      <c r="Z17" s="177" t="s">
        <v>66</v>
      </c>
      <c r="AA17" s="177" t="s">
        <v>66</v>
      </c>
      <c r="AB17" s="177" t="s">
        <v>66</v>
      </c>
      <c r="AC17" s="177" t="s">
        <v>66</v>
      </c>
      <c r="AD17" s="177" t="s">
        <v>66</v>
      </c>
      <c r="AE17" s="177" t="s">
        <v>66</v>
      </c>
      <c r="AF17" s="177" t="s">
        <v>66</v>
      </c>
      <c r="AG17" s="177">
        <v>-54.99</v>
      </c>
      <c r="AH17" s="177" t="s">
        <v>66</v>
      </c>
      <c r="AI17" s="177" t="s">
        <v>66</v>
      </c>
      <c r="AJ17" s="177" t="s">
        <v>66</v>
      </c>
      <c r="AK17" s="177" t="s">
        <v>66</v>
      </c>
      <c r="AL17" s="177" t="s">
        <v>66</v>
      </c>
      <c r="AM17" s="96" t="s">
        <v>66</v>
      </c>
      <c r="AN17" s="7">
        <f t="shared" ref="AN17:AN39" si="8">AN16+1</f>
        <v>2</v>
      </c>
      <c r="AO17" s="54" t="s">
        <v>127</v>
      </c>
      <c r="AP17" s="87">
        <v>-200</v>
      </c>
    </row>
    <row r="18" spans="2:42" x14ac:dyDescent="0.25">
      <c r="B18" s="96"/>
      <c r="C18" s="121">
        <f t="shared" si="5"/>
        <v>0</v>
      </c>
      <c r="D18" s="260">
        <f>AP20</f>
        <v>0</v>
      </c>
      <c r="E18" s="261">
        <f t="shared" si="6"/>
        <v>0</v>
      </c>
      <c r="F18" s="259" t="s">
        <v>113</v>
      </c>
      <c r="G18" s="253">
        <f t="shared" si="7"/>
        <v>0</v>
      </c>
      <c r="H18" s="254" t="s">
        <v>66</v>
      </c>
      <c r="I18" s="255" t="s">
        <v>66</v>
      </c>
      <c r="J18" s="255" t="s">
        <v>66</v>
      </c>
      <c r="K18" s="255" t="s">
        <v>66</v>
      </c>
      <c r="L18" s="255" t="s">
        <v>66</v>
      </c>
      <c r="M18" s="255" t="s">
        <v>66</v>
      </c>
      <c r="N18" s="255" t="s">
        <v>66</v>
      </c>
      <c r="O18" s="255" t="s">
        <v>66</v>
      </c>
      <c r="P18" s="255" t="s">
        <v>66</v>
      </c>
      <c r="Q18" s="255" t="s">
        <v>66</v>
      </c>
      <c r="R18" s="254" t="s">
        <v>66</v>
      </c>
      <c r="S18" s="254" t="s">
        <v>66</v>
      </c>
      <c r="T18" s="255" t="s">
        <v>66</v>
      </c>
      <c r="U18" s="255" t="s">
        <v>66</v>
      </c>
      <c r="V18" s="255" t="s">
        <v>66</v>
      </c>
      <c r="W18" s="255" t="s">
        <v>66</v>
      </c>
      <c r="X18" s="255" t="s">
        <v>66</v>
      </c>
      <c r="Y18" s="255" t="s">
        <v>66</v>
      </c>
      <c r="Z18" s="255" t="s">
        <v>66</v>
      </c>
      <c r="AA18" s="255" t="s">
        <v>66</v>
      </c>
      <c r="AB18" s="255" t="s">
        <v>66</v>
      </c>
      <c r="AC18" s="255" t="s">
        <v>66</v>
      </c>
      <c r="AD18" s="255" t="s">
        <v>66</v>
      </c>
      <c r="AE18" s="255" t="s">
        <v>66</v>
      </c>
      <c r="AF18" s="255" t="s">
        <v>66</v>
      </c>
      <c r="AG18" s="255" t="s">
        <v>66</v>
      </c>
      <c r="AH18" s="255" t="s">
        <v>66</v>
      </c>
      <c r="AI18" s="255" t="s">
        <v>66</v>
      </c>
      <c r="AJ18" s="255" t="s">
        <v>66</v>
      </c>
      <c r="AK18" s="255" t="s">
        <v>66</v>
      </c>
      <c r="AL18" s="255" t="s">
        <v>66</v>
      </c>
      <c r="AM18" s="96" t="s">
        <v>66</v>
      </c>
      <c r="AN18" s="147">
        <f t="shared" si="8"/>
        <v>3</v>
      </c>
      <c r="AO18" s="54" t="s">
        <v>29</v>
      </c>
      <c r="AP18" s="87">
        <v>-81.89</v>
      </c>
    </row>
    <row r="19" spans="2:42" x14ac:dyDescent="0.25">
      <c r="B19" s="96"/>
      <c r="C19" s="121">
        <f t="shared" si="5"/>
        <v>0</v>
      </c>
      <c r="D19" s="258">
        <f>AP21</f>
        <v>0</v>
      </c>
      <c r="E19" s="256">
        <f t="shared" si="6"/>
        <v>0</v>
      </c>
      <c r="F19" s="257" t="s">
        <v>115</v>
      </c>
      <c r="G19" s="88">
        <f t="shared" si="7"/>
        <v>0</v>
      </c>
      <c r="H19" s="177" t="s">
        <v>66</v>
      </c>
      <c r="I19" s="177" t="s">
        <v>66</v>
      </c>
      <c r="J19" s="177" t="s">
        <v>66</v>
      </c>
      <c r="K19" s="177" t="s">
        <v>66</v>
      </c>
      <c r="L19" s="177" t="s">
        <v>66</v>
      </c>
      <c r="M19" s="177" t="s">
        <v>66</v>
      </c>
      <c r="N19" s="177" t="s">
        <v>66</v>
      </c>
      <c r="O19" s="238" t="s">
        <v>66</v>
      </c>
      <c r="P19" s="177" t="s">
        <v>66</v>
      </c>
      <c r="Q19" s="177" t="s">
        <v>66</v>
      </c>
      <c r="R19" s="177" t="s">
        <v>66</v>
      </c>
      <c r="S19" s="177" t="s">
        <v>66</v>
      </c>
      <c r="T19" s="177" t="s">
        <v>66</v>
      </c>
      <c r="U19" s="177" t="s">
        <v>66</v>
      </c>
      <c r="V19" s="177" t="s">
        <v>66</v>
      </c>
      <c r="W19" s="177" t="s">
        <v>66</v>
      </c>
      <c r="X19" s="177" t="s">
        <v>66</v>
      </c>
      <c r="Y19" s="177" t="s">
        <v>66</v>
      </c>
      <c r="Z19" s="177" t="s">
        <v>66</v>
      </c>
      <c r="AA19" s="177" t="s">
        <v>66</v>
      </c>
      <c r="AB19" s="177" t="s">
        <v>66</v>
      </c>
      <c r="AC19" s="177" t="s">
        <v>66</v>
      </c>
      <c r="AD19" s="177" t="s">
        <v>66</v>
      </c>
      <c r="AE19" s="177" t="s">
        <v>66</v>
      </c>
      <c r="AF19" s="177" t="s">
        <v>66</v>
      </c>
      <c r="AG19" s="177" t="s">
        <v>66</v>
      </c>
      <c r="AH19" s="177" t="s">
        <v>66</v>
      </c>
      <c r="AI19" s="177" t="s">
        <v>66</v>
      </c>
      <c r="AJ19" s="177" t="s">
        <v>66</v>
      </c>
      <c r="AK19" s="177" t="s">
        <v>66</v>
      </c>
      <c r="AL19" s="177" t="s">
        <v>66</v>
      </c>
      <c r="AM19" s="96" t="s">
        <v>66</v>
      </c>
      <c r="AN19" s="147">
        <f t="shared" si="8"/>
        <v>4</v>
      </c>
      <c r="AO19" s="54" t="s">
        <v>130</v>
      </c>
      <c r="AP19" s="87">
        <v>-200</v>
      </c>
    </row>
    <row r="20" spans="2:42" x14ac:dyDescent="0.25">
      <c r="B20" s="96"/>
      <c r="C20" s="121">
        <f t="shared" si="5"/>
        <v>-65.669999999999987</v>
      </c>
      <c r="D20" s="260">
        <f>AP27</f>
        <v>-160</v>
      </c>
      <c r="E20" s="261">
        <f t="shared" si="6"/>
        <v>-225.67</v>
      </c>
      <c r="F20" s="259" t="s">
        <v>116</v>
      </c>
      <c r="G20" s="253">
        <f t="shared" si="7"/>
        <v>8.604891827812175E-2</v>
      </c>
      <c r="H20" s="254" t="s">
        <v>66</v>
      </c>
      <c r="I20" s="255">
        <v>-20.95</v>
      </c>
      <c r="J20" s="255" t="s">
        <v>66</v>
      </c>
      <c r="K20" s="255">
        <f>-12.97-7.83</f>
        <v>-20.8</v>
      </c>
      <c r="L20" s="255" t="s">
        <v>66</v>
      </c>
      <c r="M20" s="255" t="s">
        <v>66</v>
      </c>
      <c r="N20" s="255" t="s">
        <v>66</v>
      </c>
      <c r="O20" s="255" t="s">
        <v>66</v>
      </c>
      <c r="P20" s="255" t="s">
        <v>66</v>
      </c>
      <c r="Q20" s="255">
        <v>-7.38</v>
      </c>
      <c r="R20" s="254" t="s">
        <v>66</v>
      </c>
      <c r="S20" s="254">
        <f>-19.16-34.33-6.89</f>
        <v>-60.379999999999995</v>
      </c>
      <c r="T20" s="255" t="s">
        <v>66</v>
      </c>
      <c r="U20" s="255" t="s">
        <v>66</v>
      </c>
      <c r="V20" s="255" t="s">
        <v>66</v>
      </c>
      <c r="W20" s="255" t="s">
        <v>66</v>
      </c>
      <c r="X20" s="255">
        <f>-6.9</f>
        <v>-6.9</v>
      </c>
      <c r="Y20" s="255"/>
      <c r="Z20" s="255">
        <f>-6.64-8.13-17.12-27.3</f>
        <v>-59.19</v>
      </c>
      <c r="AA20" s="255" t="s">
        <v>66</v>
      </c>
      <c r="AB20" s="255" t="s">
        <v>66</v>
      </c>
      <c r="AC20" s="255" t="s">
        <v>66</v>
      </c>
      <c r="AD20" s="255" t="s">
        <v>66</v>
      </c>
      <c r="AE20" s="255" t="s">
        <v>66</v>
      </c>
      <c r="AF20" s="255">
        <f>-17.67-14.4</f>
        <v>-32.07</v>
      </c>
      <c r="AG20" s="255">
        <f>-18</f>
        <v>-18</v>
      </c>
      <c r="AH20" s="255" t="s">
        <v>66</v>
      </c>
      <c r="AI20" s="255" t="s">
        <v>66</v>
      </c>
      <c r="AJ20" s="255" t="s">
        <v>66</v>
      </c>
      <c r="AK20" s="255" t="s">
        <v>66</v>
      </c>
      <c r="AL20" s="255" t="s">
        <v>66</v>
      </c>
      <c r="AM20" s="96" t="s">
        <v>66</v>
      </c>
      <c r="AN20" s="147">
        <f t="shared" si="8"/>
        <v>5</v>
      </c>
      <c r="AO20" s="54" t="s">
        <v>31</v>
      </c>
      <c r="AP20" s="87">
        <v>0</v>
      </c>
    </row>
    <row r="21" spans="2:42" ht="15.75" customHeight="1" x14ac:dyDescent="0.25">
      <c r="B21" s="96"/>
      <c r="C21" s="121">
        <f t="shared" si="5"/>
        <v>50</v>
      </c>
      <c r="D21" s="258">
        <f>AP37</f>
        <v>-50</v>
      </c>
      <c r="E21" s="256">
        <f t="shared" si="6"/>
        <v>0</v>
      </c>
      <c r="F21" s="257" t="s">
        <v>122</v>
      </c>
      <c r="G21" s="88">
        <f t="shared" si="7"/>
        <v>0</v>
      </c>
      <c r="H21" s="177" t="s">
        <v>66</v>
      </c>
      <c r="I21" s="177" t="s">
        <v>66</v>
      </c>
      <c r="J21" s="177" t="s">
        <v>66</v>
      </c>
      <c r="K21" s="177" t="s">
        <v>66</v>
      </c>
      <c r="L21" s="177" t="s">
        <v>66</v>
      </c>
      <c r="M21" s="177" t="s">
        <v>66</v>
      </c>
      <c r="N21" s="177" t="s">
        <v>66</v>
      </c>
      <c r="O21" s="238" t="s">
        <v>66</v>
      </c>
      <c r="P21" s="177" t="s">
        <v>66</v>
      </c>
      <c r="Q21" s="177" t="s">
        <v>66</v>
      </c>
      <c r="R21" s="177" t="s">
        <v>66</v>
      </c>
      <c r="S21" s="177" t="s">
        <v>66</v>
      </c>
      <c r="T21" s="177" t="s">
        <v>66</v>
      </c>
      <c r="U21" s="177" t="s">
        <v>66</v>
      </c>
      <c r="V21" s="177" t="s">
        <v>66</v>
      </c>
      <c r="W21" s="177" t="s">
        <v>66</v>
      </c>
      <c r="X21" s="177" t="s">
        <v>66</v>
      </c>
      <c r="Y21" s="177" t="s">
        <v>66</v>
      </c>
      <c r="Z21" s="177" t="s">
        <v>66</v>
      </c>
      <c r="AA21" s="177" t="s">
        <v>66</v>
      </c>
      <c r="AB21" s="177" t="s">
        <v>66</v>
      </c>
      <c r="AC21" s="177" t="s">
        <v>66</v>
      </c>
      <c r="AD21" s="177" t="s">
        <v>66</v>
      </c>
      <c r="AE21" s="177" t="s">
        <v>66</v>
      </c>
      <c r="AF21" s="177" t="s">
        <v>66</v>
      </c>
      <c r="AG21" s="177" t="s">
        <v>66</v>
      </c>
      <c r="AH21" s="177" t="s">
        <v>66</v>
      </c>
      <c r="AI21" s="177" t="s">
        <v>66</v>
      </c>
      <c r="AJ21" s="177" t="s">
        <v>66</v>
      </c>
      <c r="AK21" s="177" t="s">
        <v>66</v>
      </c>
      <c r="AL21" s="177" t="s">
        <v>66</v>
      </c>
      <c r="AM21" s="96" t="s">
        <v>66</v>
      </c>
      <c r="AN21" s="147">
        <f t="shared" si="8"/>
        <v>6</v>
      </c>
      <c r="AO21" s="54" t="s">
        <v>32</v>
      </c>
      <c r="AP21" s="87">
        <v>0</v>
      </c>
    </row>
    <row r="22" spans="2:42" ht="15.75" customHeight="1" x14ac:dyDescent="0.25">
      <c r="B22" s="96"/>
      <c r="C22" s="121">
        <f t="shared" si="5"/>
        <v>-12</v>
      </c>
      <c r="D22" s="260">
        <v>-15</v>
      </c>
      <c r="E22" s="261">
        <f t="shared" si="6"/>
        <v>-27</v>
      </c>
      <c r="F22" s="259" t="s">
        <v>118</v>
      </c>
      <c r="G22" s="253">
        <f t="shared" si="7"/>
        <v>1.0295213335885529E-2</v>
      </c>
      <c r="H22" s="254" t="s">
        <v>66</v>
      </c>
      <c r="I22" s="255" t="s">
        <v>66</v>
      </c>
      <c r="J22" s="255" t="s">
        <v>66</v>
      </c>
      <c r="K22" s="255" t="s">
        <v>66</v>
      </c>
      <c r="L22" s="255" t="s">
        <v>66</v>
      </c>
      <c r="M22" s="255" t="s">
        <v>66</v>
      </c>
      <c r="N22" s="255" t="s">
        <v>66</v>
      </c>
      <c r="O22" s="255" t="s">
        <v>66</v>
      </c>
      <c r="P22" s="255" t="s">
        <v>66</v>
      </c>
      <c r="Q22" s="255" t="s">
        <v>66</v>
      </c>
      <c r="R22" s="254" t="s">
        <v>66</v>
      </c>
      <c r="S22" s="254" t="s">
        <v>66</v>
      </c>
      <c r="T22" s="255" t="s">
        <v>66</v>
      </c>
      <c r="U22" s="255" t="s">
        <v>66</v>
      </c>
      <c r="V22" s="255" t="s">
        <v>66</v>
      </c>
      <c r="W22" s="255" t="s">
        <v>66</v>
      </c>
      <c r="X22" s="255" t="s">
        <v>66</v>
      </c>
      <c r="Y22" s="255" t="s">
        <v>66</v>
      </c>
      <c r="Z22" s="255" t="s">
        <v>66</v>
      </c>
      <c r="AA22" s="255" t="s">
        <v>66</v>
      </c>
      <c r="AB22" s="255" t="s">
        <v>66</v>
      </c>
      <c r="AC22" s="255">
        <v>-5</v>
      </c>
      <c r="AD22" s="255" t="s">
        <v>66</v>
      </c>
      <c r="AE22" s="255" t="s">
        <v>66</v>
      </c>
      <c r="AF22" s="255" t="s">
        <v>66</v>
      </c>
      <c r="AG22" s="255">
        <v>-22</v>
      </c>
      <c r="AH22" s="255" t="s">
        <v>66</v>
      </c>
      <c r="AI22" s="255" t="s">
        <v>66</v>
      </c>
      <c r="AJ22" s="255" t="s">
        <v>66</v>
      </c>
      <c r="AK22" s="255" t="s">
        <v>66</v>
      </c>
      <c r="AL22" s="255" t="s">
        <v>66</v>
      </c>
      <c r="AM22" s="96" t="s">
        <v>66</v>
      </c>
      <c r="AN22" s="147">
        <f t="shared" si="8"/>
        <v>7</v>
      </c>
      <c r="AO22" s="54" t="s">
        <v>27</v>
      </c>
      <c r="AP22" s="87">
        <v>-300</v>
      </c>
    </row>
    <row r="23" spans="2:42" ht="15.75" customHeight="1" x14ac:dyDescent="0.25">
      <c r="B23" s="96"/>
      <c r="C23" s="121">
        <f t="shared" si="5"/>
        <v>5</v>
      </c>
      <c r="D23" s="258">
        <f>AP26</f>
        <v>-5</v>
      </c>
      <c r="E23" s="256">
        <f t="shared" si="6"/>
        <v>0</v>
      </c>
      <c r="F23" s="257" t="s">
        <v>35</v>
      </c>
      <c r="G23" s="88">
        <f t="shared" si="7"/>
        <v>0</v>
      </c>
      <c r="H23" s="177" t="s">
        <v>66</v>
      </c>
      <c r="I23" s="177" t="s">
        <v>66</v>
      </c>
      <c r="J23" s="177" t="s">
        <v>66</v>
      </c>
      <c r="K23" s="177" t="s">
        <v>66</v>
      </c>
      <c r="L23" s="177" t="s">
        <v>66</v>
      </c>
      <c r="M23" s="177" t="s">
        <v>66</v>
      </c>
      <c r="N23" s="177" t="s">
        <v>66</v>
      </c>
      <c r="O23" s="238" t="s">
        <v>66</v>
      </c>
      <c r="P23" s="177" t="s">
        <v>66</v>
      </c>
      <c r="Q23" s="177" t="s">
        <v>66</v>
      </c>
      <c r="R23" s="177" t="s">
        <v>66</v>
      </c>
      <c r="S23" s="177" t="s">
        <v>66</v>
      </c>
      <c r="T23" s="177" t="s">
        <v>66</v>
      </c>
      <c r="U23" s="177" t="s">
        <v>66</v>
      </c>
      <c r="V23" s="177" t="s">
        <v>66</v>
      </c>
      <c r="W23" s="177" t="s">
        <v>66</v>
      </c>
      <c r="X23" s="177" t="s">
        <v>66</v>
      </c>
      <c r="Y23" s="177" t="s">
        <v>66</v>
      </c>
      <c r="Z23" s="177" t="s">
        <v>66</v>
      </c>
      <c r="AA23" s="177" t="s">
        <v>66</v>
      </c>
      <c r="AB23" s="177" t="s">
        <v>66</v>
      </c>
      <c r="AC23" s="177" t="s">
        <v>66</v>
      </c>
      <c r="AD23" s="177" t="s">
        <v>66</v>
      </c>
      <c r="AE23" s="177" t="s">
        <v>66</v>
      </c>
      <c r="AF23" s="177" t="s">
        <v>66</v>
      </c>
      <c r="AG23" s="177" t="s">
        <v>66</v>
      </c>
      <c r="AH23" s="177" t="s">
        <v>66</v>
      </c>
      <c r="AI23" s="177" t="s">
        <v>66</v>
      </c>
      <c r="AJ23" s="177" t="s">
        <v>66</v>
      </c>
      <c r="AK23" s="177" t="s">
        <v>66</v>
      </c>
      <c r="AL23" s="177" t="s">
        <v>66</v>
      </c>
      <c r="AM23" s="96" t="s">
        <v>66</v>
      </c>
      <c r="AN23" s="147">
        <f t="shared" si="8"/>
        <v>8</v>
      </c>
      <c r="AO23" s="54" t="s">
        <v>114</v>
      </c>
      <c r="AP23" s="87">
        <v>-100</v>
      </c>
    </row>
    <row r="24" spans="2:42" ht="15.75" customHeight="1" x14ac:dyDescent="0.25">
      <c r="B24" s="96"/>
      <c r="C24" s="121">
        <f t="shared" si="5"/>
        <v>0</v>
      </c>
      <c r="D24" s="260">
        <f>AP38</f>
        <v>0</v>
      </c>
      <c r="E24" s="261">
        <f t="shared" si="6"/>
        <v>0</v>
      </c>
      <c r="F24" s="259" t="s">
        <v>36</v>
      </c>
      <c r="G24" s="253">
        <f t="shared" si="7"/>
        <v>0</v>
      </c>
      <c r="H24" s="254" t="s">
        <v>66</v>
      </c>
      <c r="I24" s="255" t="s">
        <v>66</v>
      </c>
      <c r="J24" s="255" t="s">
        <v>66</v>
      </c>
      <c r="K24" s="255" t="s">
        <v>66</v>
      </c>
      <c r="L24" s="255" t="s">
        <v>66</v>
      </c>
      <c r="M24" s="255" t="s">
        <v>66</v>
      </c>
      <c r="N24" s="255" t="s">
        <v>66</v>
      </c>
      <c r="O24" s="255" t="s">
        <v>66</v>
      </c>
      <c r="P24" s="255" t="s">
        <v>66</v>
      </c>
      <c r="Q24" s="255" t="s">
        <v>66</v>
      </c>
      <c r="R24" s="254" t="s">
        <v>66</v>
      </c>
      <c r="S24" s="254" t="s">
        <v>66</v>
      </c>
      <c r="T24" s="255" t="s">
        <v>66</v>
      </c>
      <c r="U24" s="255" t="s">
        <v>66</v>
      </c>
      <c r="V24" s="255" t="s">
        <v>66</v>
      </c>
      <c r="W24" s="255" t="s">
        <v>66</v>
      </c>
      <c r="X24" s="255" t="s">
        <v>66</v>
      </c>
      <c r="Y24" s="255" t="s">
        <v>66</v>
      </c>
      <c r="Z24" s="255" t="s">
        <v>66</v>
      </c>
      <c r="AA24" s="255" t="s">
        <v>66</v>
      </c>
      <c r="AB24" s="255" t="s">
        <v>66</v>
      </c>
      <c r="AC24" s="255" t="s">
        <v>66</v>
      </c>
      <c r="AD24" s="255" t="s">
        <v>66</v>
      </c>
      <c r="AE24" s="255" t="s">
        <v>66</v>
      </c>
      <c r="AF24" s="255" t="s">
        <v>66</v>
      </c>
      <c r="AG24" s="255" t="s">
        <v>66</v>
      </c>
      <c r="AH24" s="255" t="s">
        <v>66</v>
      </c>
      <c r="AI24" s="255" t="s">
        <v>66</v>
      </c>
      <c r="AJ24" s="255" t="s">
        <v>66</v>
      </c>
      <c r="AK24" s="255" t="s">
        <v>66</v>
      </c>
      <c r="AL24" s="255" t="s">
        <v>66</v>
      </c>
      <c r="AM24" s="96" t="s">
        <v>66</v>
      </c>
      <c r="AN24" s="147">
        <f t="shared" si="8"/>
        <v>9</v>
      </c>
      <c r="AO24" s="54" t="s">
        <v>107</v>
      </c>
      <c r="AP24" s="87">
        <v>-250</v>
      </c>
    </row>
    <row r="25" spans="2:42" ht="15.75" customHeight="1" x14ac:dyDescent="0.25">
      <c r="B25" s="96"/>
      <c r="C25" s="121">
        <f t="shared" si="5"/>
        <v>-40.759999999999991</v>
      </c>
      <c r="D25" s="258">
        <f>AP23</f>
        <v>-100</v>
      </c>
      <c r="E25" s="256">
        <f t="shared" si="6"/>
        <v>-140.76</v>
      </c>
      <c r="F25" s="257" t="s">
        <v>39</v>
      </c>
      <c r="G25" s="88">
        <f t="shared" si="7"/>
        <v>5.3672378857749892E-2</v>
      </c>
      <c r="H25" s="177" t="s">
        <v>66</v>
      </c>
      <c r="I25" s="177" t="s">
        <v>66</v>
      </c>
      <c r="J25" s="177" t="s">
        <v>66</v>
      </c>
      <c r="K25" s="177" t="s">
        <v>66</v>
      </c>
      <c r="L25" s="177">
        <v>-35</v>
      </c>
      <c r="M25" s="177" t="s">
        <v>66</v>
      </c>
      <c r="N25" s="177" t="s">
        <v>66</v>
      </c>
      <c r="O25" s="238" t="s">
        <v>66</v>
      </c>
      <c r="P25" s="177" t="s">
        <v>66</v>
      </c>
      <c r="Q25" s="177" t="s">
        <v>66</v>
      </c>
      <c r="R25" s="177" t="s">
        <v>66</v>
      </c>
      <c r="S25" s="177" t="s">
        <v>66</v>
      </c>
      <c r="T25" s="177" t="s">
        <v>66</v>
      </c>
      <c r="U25" s="177" t="s">
        <v>66</v>
      </c>
      <c r="V25" s="177" t="s">
        <v>66</v>
      </c>
      <c r="W25" s="177">
        <f>-24.9</f>
        <v>-24.9</v>
      </c>
      <c r="X25" s="177" t="s">
        <v>66</v>
      </c>
      <c r="Y25" s="177">
        <f>-4.64-15.98</f>
        <v>-20.62</v>
      </c>
      <c r="Z25" s="177" t="s">
        <v>66</v>
      </c>
      <c r="AA25" s="177" t="s">
        <v>66</v>
      </c>
      <c r="AB25" s="177">
        <f>-22</f>
        <v>-22</v>
      </c>
      <c r="AC25" s="177" t="s">
        <v>66</v>
      </c>
      <c r="AD25" s="177" t="s">
        <v>66</v>
      </c>
      <c r="AE25" s="177" t="s">
        <v>66</v>
      </c>
      <c r="AF25" s="177" t="s">
        <v>66</v>
      </c>
      <c r="AG25" s="177"/>
      <c r="AH25" s="177" t="s">
        <v>66</v>
      </c>
      <c r="AI25" s="177" t="s">
        <v>66</v>
      </c>
      <c r="AJ25" s="177">
        <f>-38.24</f>
        <v>-38.24</v>
      </c>
      <c r="AK25" s="177" t="s">
        <v>66</v>
      </c>
      <c r="AL25" s="177" t="s">
        <v>66</v>
      </c>
      <c r="AM25" s="96" t="s">
        <v>66</v>
      </c>
      <c r="AN25" s="147">
        <f t="shared" si="8"/>
        <v>10</v>
      </c>
      <c r="AO25" s="54" t="s">
        <v>22</v>
      </c>
      <c r="AP25" s="87">
        <v>-20</v>
      </c>
    </row>
    <row r="26" spans="2:42" ht="15.75" customHeight="1" x14ac:dyDescent="0.25">
      <c r="B26" s="96"/>
      <c r="C26" s="121">
        <f t="shared" si="5"/>
        <v>0</v>
      </c>
      <c r="D26" s="260">
        <f>AP36</f>
        <v>0</v>
      </c>
      <c r="E26" s="261">
        <f t="shared" si="6"/>
        <v>0</v>
      </c>
      <c r="F26" s="259" t="s">
        <v>40</v>
      </c>
      <c r="G26" s="253">
        <f t="shared" si="7"/>
        <v>0</v>
      </c>
      <c r="H26" s="254" t="s">
        <v>66</v>
      </c>
      <c r="I26" s="255" t="s">
        <v>66</v>
      </c>
      <c r="J26" s="255" t="s">
        <v>66</v>
      </c>
      <c r="K26" s="255" t="s">
        <v>66</v>
      </c>
      <c r="L26" s="255" t="s">
        <v>66</v>
      </c>
      <c r="M26" s="255" t="s">
        <v>66</v>
      </c>
      <c r="N26" s="255" t="s">
        <v>66</v>
      </c>
      <c r="O26" s="255" t="s">
        <v>66</v>
      </c>
      <c r="P26" s="255" t="s">
        <v>66</v>
      </c>
      <c r="Q26" s="255" t="s">
        <v>66</v>
      </c>
      <c r="R26" s="254" t="s">
        <v>66</v>
      </c>
      <c r="S26" s="254" t="s">
        <v>66</v>
      </c>
      <c r="T26" s="255" t="s">
        <v>66</v>
      </c>
      <c r="U26" s="255" t="s">
        <v>66</v>
      </c>
      <c r="V26" s="255" t="s">
        <v>66</v>
      </c>
      <c r="W26" s="255" t="s">
        <v>66</v>
      </c>
      <c r="X26" s="255" t="s">
        <v>66</v>
      </c>
      <c r="Y26" s="255" t="s">
        <v>66</v>
      </c>
      <c r="Z26" s="255" t="s">
        <v>66</v>
      </c>
      <c r="AA26" s="255" t="s">
        <v>66</v>
      </c>
      <c r="AB26" s="255" t="s">
        <v>66</v>
      </c>
      <c r="AC26" s="255" t="s">
        <v>66</v>
      </c>
      <c r="AD26" s="255" t="s">
        <v>66</v>
      </c>
      <c r="AE26" s="255" t="s">
        <v>66</v>
      </c>
      <c r="AF26" s="255" t="s">
        <v>66</v>
      </c>
      <c r="AG26" s="255" t="s">
        <v>66</v>
      </c>
      <c r="AH26" s="255" t="s">
        <v>66</v>
      </c>
      <c r="AI26" s="255" t="s">
        <v>66</v>
      </c>
      <c r="AJ26" s="255" t="s">
        <v>66</v>
      </c>
      <c r="AK26" s="255" t="s">
        <v>66</v>
      </c>
      <c r="AL26" s="255" t="s">
        <v>66</v>
      </c>
      <c r="AM26" s="96" t="s">
        <v>66</v>
      </c>
      <c r="AN26" s="147">
        <f t="shared" si="8"/>
        <v>11</v>
      </c>
      <c r="AO26" s="54" t="s">
        <v>35</v>
      </c>
      <c r="AP26" s="87">
        <v>-5</v>
      </c>
    </row>
    <row r="27" spans="2:42" ht="15.75" customHeight="1" x14ac:dyDescent="0.25">
      <c r="B27" s="96"/>
      <c r="C27" s="121">
        <f t="shared" si="5"/>
        <v>-12</v>
      </c>
      <c r="D27" s="258">
        <f>AP38</f>
        <v>0</v>
      </c>
      <c r="E27" s="256">
        <f t="shared" si="6"/>
        <v>-12</v>
      </c>
      <c r="F27" s="257" t="s">
        <v>41</v>
      </c>
      <c r="G27" s="88">
        <f t="shared" si="7"/>
        <v>4.57565037150468E-3</v>
      </c>
      <c r="H27" s="177" t="s">
        <v>66</v>
      </c>
      <c r="I27" s="177" t="s">
        <v>66</v>
      </c>
      <c r="J27" s="177" t="s">
        <v>66</v>
      </c>
      <c r="K27" s="177" t="s">
        <v>66</v>
      </c>
      <c r="L27" s="177" t="s">
        <v>66</v>
      </c>
      <c r="M27" s="177" t="s">
        <v>66</v>
      </c>
      <c r="N27" s="177" t="s">
        <v>66</v>
      </c>
      <c r="O27" s="238" t="s">
        <v>66</v>
      </c>
      <c r="P27" s="177" t="s">
        <v>66</v>
      </c>
      <c r="Q27" s="177" t="s">
        <v>66</v>
      </c>
      <c r="R27" s="177" t="s">
        <v>66</v>
      </c>
      <c r="S27" s="177" t="s">
        <v>66</v>
      </c>
      <c r="T27" s="177" t="s">
        <v>66</v>
      </c>
      <c r="U27" s="177" t="s">
        <v>66</v>
      </c>
      <c r="V27" s="177">
        <f>-12</f>
        <v>-12</v>
      </c>
      <c r="W27" s="177" t="s">
        <v>66</v>
      </c>
      <c r="X27" s="177" t="s">
        <v>66</v>
      </c>
      <c r="Y27" s="177" t="s">
        <v>66</v>
      </c>
      <c r="Z27" s="177" t="s">
        <v>66</v>
      </c>
      <c r="AA27" s="177" t="s">
        <v>66</v>
      </c>
      <c r="AB27" s="177" t="s">
        <v>66</v>
      </c>
      <c r="AC27" s="177" t="s">
        <v>66</v>
      </c>
      <c r="AD27" s="177" t="s">
        <v>66</v>
      </c>
      <c r="AE27" s="177" t="s">
        <v>66</v>
      </c>
      <c r="AF27" s="177" t="s">
        <v>66</v>
      </c>
      <c r="AG27" s="177" t="s">
        <v>66</v>
      </c>
      <c r="AH27" s="177" t="s">
        <v>66</v>
      </c>
      <c r="AI27" s="177" t="s">
        <v>66</v>
      </c>
      <c r="AJ27" s="177" t="s">
        <v>66</v>
      </c>
      <c r="AK27" s="177" t="s">
        <v>66</v>
      </c>
      <c r="AL27" s="177" t="s">
        <v>66</v>
      </c>
      <c r="AM27" s="96" t="s">
        <v>66</v>
      </c>
      <c r="AN27" s="147">
        <f t="shared" si="8"/>
        <v>12</v>
      </c>
      <c r="AO27" s="54" t="s">
        <v>33</v>
      </c>
      <c r="AP27" s="87">
        <v>-160</v>
      </c>
    </row>
    <row r="28" spans="2:42" ht="15.75" customHeight="1" x14ac:dyDescent="0.25">
      <c r="B28" s="96"/>
      <c r="C28" s="121">
        <f t="shared" si="5"/>
        <v>-7.9900000000000091</v>
      </c>
      <c r="D28" s="260">
        <f>AP16</f>
        <v>-550</v>
      </c>
      <c r="E28" s="261">
        <f t="shared" si="6"/>
        <v>-557.99</v>
      </c>
      <c r="F28" s="259" t="s">
        <v>72</v>
      </c>
      <c r="G28" s="253">
        <f t="shared" si="7"/>
        <v>0.21276392923299137</v>
      </c>
      <c r="H28" s="254" t="s">
        <v>66</v>
      </c>
      <c r="I28" s="255" t="s">
        <v>66</v>
      </c>
      <c r="J28" s="255" t="s">
        <v>66</v>
      </c>
      <c r="K28" s="255" t="s">
        <v>66</v>
      </c>
      <c r="L28" s="255" t="s">
        <v>66</v>
      </c>
      <c r="M28" s="255" t="s">
        <v>66</v>
      </c>
      <c r="N28" s="255">
        <v>-550</v>
      </c>
      <c r="O28" s="255" t="s">
        <v>66</v>
      </c>
      <c r="P28" s="255" t="s">
        <v>66</v>
      </c>
      <c r="Q28" s="255" t="s">
        <v>66</v>
      </c>
      <c r="R28" s="254" t="s">
        <v>66</v>
      </c>
      <c r="S28" s="254" t="s">
        <v>66</v>
      </c>
      <c r="T28" s="255" t="s">
        <v>66</v>
      </c>
      <c r="U28" s="255" t="s">
        <v>66</v>
      </c>
      <c r="V28" s="255" t="s">
        <v>66</v>
      </c>
      <c r="W28" s="255" t="s">
        <v>66</v>
      </c>
      <c r="X28" s="255" t="s">
        <v>66</v>
      </c>
      <c r="Y28" s="255" t="s">
        <v>66</v>
      </c>
      <c r="Z28" s="255" t="s">
        <v>66</v>
      </c>
      <c r="AA28" s="255" t="s">
        <v>66</v>
      </c>
      <c r="AB28" s="255" t="s">
        <v>66</v>
      </c>
      <c r="AC28" s="255" t="s">
        <v>66</v>
      </c>
      <c r="AD28" s="255" t="s">
        <v>66</v>
      </c>
      <c r="AE28" s="255" t="s">
        <v>66</v>
      </c>
      <c r="AF28" s="255" t="s">
        <v>66</v>
      </c>
      <c r="AG28" s="255" t="s">
        <v>66</v>
      </c>
      <c r="AH28" s="255" t="s">
        <v>66</v>
      </c>
      <c r="AI28" s="255">
        <f>-7.99</f>
        <v>-7.99</v>
      </c>
      <c r="AJ28" s="255" t="s">
        <v>66</v>
      </c>
      <c r="AK28" s="255" t="s">
        <v>66</v>
      </c>
      <c r="AL28" s="255" t="s">
        <v>66</v>
      </c>
      <c r="AM28" s="96" t="s">
        <v>66</v>
      </c>
      <c r="AN28" s="147">
        <f t="shared" si="8"/>
        <v>13</v>
      </c>
      <c r="AO28" s="54" t="s">
        <v>131</v>
      </c>
      <c r="AP28" s="87">
        <v>-15</v>
      </c>
    </row>
    <row r="29" spans="2:42" ht="15.75" customHeight="1" x14ac:dyDescent="0.25">
      <c r="B29" s="246"/>
      <c r="C29" s="121"/>
      <c r="D29" s="260"/>
      <c r="E29" s="261">
        <f>-(505)/3</f>
        <v>-168.33333333333334</v>
      </c>
      <c r="F29" s="259" t="s">
        <v>209</v>
      </c>
      <c r="G29" s="253">
        <f t="shared" si="7"/>
        <v>6.4186206600273979E-2</v>
      </c>
      <c r="H29" s="254"/>
      <c r="I29" s="255"/>
      <c r="J29" s="255"/>
      <c r="K29" s="255"/>
      <c r="L29" s="255"/>
      <c r="M29" s="255"/>
      <c r="N29" s="255"/>
      <c r="O29" s="255"/>
      <c r="P29" s="255"/>
      <c r="Q29" s="255"/>
      <c r="R29" s="254"/>
      <c r="S29" s="254"/>
      <c r="T29" s="255"/>
      <c r="U29" s="255"/>
      <c r="V29" s="25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55"/>
      <c r="AJ29" s="255"/>
      <c r="AK29" s="255"/>
      <c r="AL29" s="255"/>
      <c r="AM29" s="246"/>
      <c r="AN29" s="147"/>
      <c r="AO29" s="54"/>
      <c r="AP29" s="87"/>
    </row>
    <row r="30" spans="2:42" ht="15.75" customHeight="1" x14ac:dyDescent="0.25">
      <c r="B30" s="96"/>
      <c r="C30" s="121">
        <f t="shared" si="5"/>
        <v>0</v>
      </c>
      <c r="D30" s="258">
        <f>AP30</f>
        <v>0</v>
      </c>
      <c r="E30" s="256">
        <f t="shared" si="6"/>
        <v>0</v>
      </c>
      <c r="F30" s="257" t="s">
        <v>121</v>
      </c>
      <c r="G30" s="88">
        <f t="shared" si="7"/>
        <v>0</v>
      </c>
      <c r="H30" s="177" t="s">
        <v>66</v>
      </c>
      <c r="I30" s="177" t="s">
        <v>66</v>
      </c>
      <c r="J30" s="177" t="s">
        <v>66</v>
      </c>
      <c r="K30" s="177" t="s">
        <v>66</v>
      </c>
      <c r="L30" s="177" t="s">
        <v>66</v>
      </c>
      <c r="M30" s="177" t="s">
        <v>66</v>
      </c>
      <c r="N30" s="177" t="s">
        <v>66</v>
      </c>
      <c r="O30" s="238" t="s">
        <v>66</v>
      </c>
      <c r="P30" s="177" t="s">
        <v>66</v>
      </c>
      <c r="Q30" s="177" t="s">
        <v>66</v>
      </c>
      <c r="R30" s="177" t="s">
        <v>66</v>
      </c>
      <c r="S30" s="177" t="s">
        <v>66</v>
      </c>
      <c r="T30" s="177" t="s">
        <v>66</v>
      </c>
      <c r="U30" s="177" t="s">
        <v>66</v>
      </c>
      <c r="V30" s="177" t="s">
        <v>66</v>
      </c>
      <c r="W30" s="177" t="s">
        <v>66</v>
      </c>
      <c r="X30" s="177" t="s">
        <v>66</v>
      </c>
      <c r="Y30" s="177" t="s">
        <v>66</v>
      </c>
      <c r="Z30" s="177" t="s">
        <v>66</v>
      </c>
      <c r="AA30" s="177" t="s">
        <v>66</v>
      </c>
      <c r="AB30" s="177" t="s">
        <v>66</v>
      </c>
      <c r="AC30" s="177" t="s">
        <v>66</v>
      </c>
      <c r="AD30" s="177" t="s">
        <v>66</v>
      </c>
      <c r="AE30" s="177" t="s">
        <v>66</v>
      </c>
      <c r="AF30" s="177" t="s">
        <v>66</v>
      </c>
      <c r="AG30" s="177" t="s">
        <v>66</v>
      </c>
      <c r="AH30" s="177" t="s">
        <v>66</v>
      </c>
      <c r="AI30" s="177" t="s">
        <v>66</v>
      </c>
      <c r="AJ30" s="177" t="s">
        <v>66</v>
      </c>
      <c r="AK30" s="177" t="s">
        <v>66</v>
      </c>
      <c r="AL30" s="177" t="s">
        <v>66</v>
      </c>
      <c r="AM30" s="96" t="s">
        <v>66</v>
      </c>
      <c r="AN30" s="147">
        <f>AN28+1</f>
        <v>14</v>
      </c>
      <c r="AO30" s="54" t="s">
        <v>42</v>
      </c>
      <c r="AP30" s="87">
        <v>0</v>
      </c>
    </row>
    <row r="31" spans="2:42" ht="15.75" customHeight="1" x14ac:dyDescent="0.25">
      <c r="B31" s="96"/>
      <c r="C31" s="121"/>
      <c r="D31" s="260"/>
      <c r="E31" s="261">
        <f>SUM(H31:AK31)</f>
        <v>0</v>
      </c>
      <c r="F31" s="259" t="s">
        <v>96</v>
      </c>
      <c r="G31" s="253">
        <f t="shared" si="7"/>
        <v>0</v>
      </c>
      <c r="H31" s="254" t="s">
        <v>66</v>
      </c>
      <c r="I31" s="255" t="s">
        <v>66</v>
      </c>
      <c r="J31" s="255" t="s">
        <v>66</v>
      </c>
      <c r="K31" s="255" t="s">
        <v>66</v>
      </c>
      <c r="L31" s="255" t="s">
        <v>66</v>
      </c>
      <c r="M31" s="255" t="s">
        <v>66</v>
      </c>
      <c r="N31" s="255" t="s">
        <v>66</v>
      </c>
      <c r="O31" s="255" t="s">
        <v>66</v>
      </c>
      <c r="P31" s="255" t="s">
        <v>66</v>
      </c>
      <c r="Q31" s="255" t="s">
        <v>66</v>
      </c>
      <c r="R31" s="254" t="s">
        <v>66</v>
      </c>
      <c r="S31" s="254" t="s">
        <v>66</v>
      </c>
      <c r="T31" s="255" t="s">
        <v>66</v>
      </c>
      <c r="U31" s="255" t="s">
        <v>66</v>
      </c>
      <c r="V31" s="255" t="s">
        <v>66</v>
      </c>
      <c r="W31" s="255" t="s">
        <v>66</v>
      </c>
      <c r="X31" s="255" t="s">
        <v>66</v>
      </c>
      <c r="Y31" s="255" t="s">
        <v>66</v>
      </c>
      <c r="Z31" s="255" t="s">
        <v>66</v>
      </c>
      <c r="AA31" s="255" t="s">
        <v>66</v>
      </c>
      <c r="AB31" s="255" t="s">
        <v>66</v>
      </c>
      <c r="AC31" s="255" t="s">
        <v>66</v>
      </c>
      <c r="AD31" s="255" t="s">
        <v>66</v>
      </c>
      <c r="AE31" s="255" t="s">
        <v>66</v>
      </c>
      <c r="AF31" s="255" t="s">
        <v>66</v>
      </c>
      <c r="AG31" s="255" t="s">
        <v>66</v>
      </c>
      <c r="AH31" s="255" t="s">
        <v>66</v>
      </c>
      <c r="AI31" s="255" t="s">
        <v>66</v>
      </c>
      <c r="AJ31" s="255" t="s">
        <v>66</v>
      </c>
      <c r="AK31" s="255" t="s">
        <v>66</v>
      </c>
      <c r="AL31" s="255" t="s">
        <v>66</v>
      </c>
      <c r="AM31" s="96" t="s">
        <v>66</v>
      </c>
      <c r="AN31" s="147">
        <f>AN30+1</f>
        <v>15</v>
      </c>
      <c r="AO31" s="54" t="s">
        <v>89</v>
      </c>
      <c r="AP31" s="87">
        <v>-20</v>
      </c>
    </row>
    <row r="32" spans="2:42" ht="15.75" customHeight="1" x14ac:dyDescent="0.25">
      <c r="B32" s="96"/>
      <c r="C32" s="99" t="s">
        <v>44</v>
      </c>
      <c r="D32" s="99"/>
      <c r="E32" s="124">
        <f>SUM(H32:AL32)</f>
        <v>3746.54</v>
      </c>
      <c r="F32" s="262"/>
      <c r="G32" s="125"/>
      <c r="H32" s="126"/>
      <c r="I32" s="126"/>
      <c r="J32" s="126">
        <f>3261.61</f>
        <v>3261.61</v>
      </c>
      <c r="K32" s="126"/>
      <c r="L32" s="126">
        <v>50</v>
      </c>
      <c r="M32" s="126"/>
      <c r="N32" s="126"/>
      <c r="O32" s="245"/>
      <c r="P32" s="126"/>
      <c r="Q32" s="126"/>
      <c r="R32" s="126"/>
      <c r="S32" s="126"/>
      <c r="T32" s="126"/>
      <c r="U32" s="126"/>
      <c r="V32" s="126"/>
      <c r="W32" s="126">
        <v>307</v>
      </c>
      <c r="X32" s="126"/>
      <c r="Y32" s="126"/>
      <c r="Z32" s="126">
        <v>50</v>
      </c>
      <c r="AA32" s="126"/>
      <c r="AB32" s="126"/>
      <c r="AC32" s="126"/>
      <c r="AD32" s="126"/>
      <c r="AE32" s="126"/>
      <c r="AF32" s="126"/>
      <c r="AG32" s="126">
        <v>50</v>
      </c>
      <c r="AH32" s="126"/>
      <c r="AI32" s="126"/>
      <c r="AJ32" s="126"/>
      <c r="AK32" s="126"/>
      <c r="AL32" s="126">
        <v>27.93</v>
      </c>
      <c r="AM32" s="96" t="s">
        <v>66</v>
      </c>
      <c r="AN32" s="147">
        <f t="shared" si="8"/>
        <v>16</v>
      </c>
      <c r="AO32" s="54" t="s">
        <v>109</v>
      </c>
      <c r="AP32" s="87">
        <v>-15</v>
      </c>
    </row>
    <row r="33" spans="2:42" ht="15.75" customHeight="1" x14ac:dyDescent="0.25">
      <c r="B33" s="96"/>
      <c r="C33" s="267">
        <f>SUM(C7:C30)</f>
        <v>-49.72999999999999</v>
      </c>
      <c r="D33" s="164"/>
      <c r="E33" s="263"/>
      <c r="F33" s="165"/>
      <c r="G33" s="166"/>
      <c r="H33" s="167"/>
      <c r="I33" s="167"/>
      <c r="J33" s="168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97"/>
      <c r="AN33" s="147">
        <f t="shared" si="8"/>
        <v>17</v>
      </c>
      <c r="AO33" s="54" t="s">
        <v>81</v>
      </c>
      <c r="AP33" s="87">
        <v>-40</v>
      </c>
    </row>
    <row r="34" spans="2:42" ht="15.75" customHeight="1" x14ac:dyDescent="0.25">
      <c r="B34" s="96"/>
      <c r="C34" s="110" t="s">
        <v>205</v>
      </c>
      <c r="D34" s="110"/>
      <c r="E34" s="264"/>
      <c r="F34" s="58"/>
      <c r="G34" s="66"/>
      <c r="H34" s="251">
        <f>SUM($H6:H$6)</f>
        <v>0</v>
      </c>
      <c r="I34" s="251">
        <f>SUM($H6:I$6)</f>
        <v>-29.439999999999998</v>
      </c>
      <c r="J34" s="251">
        <f>SUM($H6:J$6)</f>
        <v>-48.58</v>
      </c>
      <c r="K34" s="251">
        <f>SUM($H6:K$6)</f>
        <v>-108.71</v>
      </c>
      <c r="L34" s="251">
        <f>SUM($H6:L$6)</f>
        <v>-199.71999999999997</v>
      </c>
      <c r="M34" s="251">
        <f>SUM($H6:M$6)</f>
        <v>-228.39999999999998</v>
      </c>
      <c r="N34" s="251">
        <f>SUM($H6:N$6)</f>
        <v>-780.9</v>
      </c>
      <c r="O34" s="251">
        <f>SUM($H6:O$6)</f>
        <v>-877.7</v>
      </c>
      <c r="P34" s="251">
        <f>SUM($H6:P$6)</f>
        <v>-911.74</v>
      </c>
      <c r="Q34" s="251">
        <f>SUM($H6:Q$6)</f>
        <v>-946.12</v>
      </c>
      <c r="R34" s="251">
        <f>SUM($H6:R$6)</f>
        <v>-971.62</v>
      </c>
      <c r="S34" s="251">
        <f>SUM($H6:S$6)</f>
        <v>-1079</v>
      </c>
      <c r="T34" s="251">
        <f>SUM($H6:T$6)</f>
        <v>-1135.24</v>
      </c>
      <c r="U34" s="251">
        <f>SUM($H6:U$6)</f>
        <v>-1183.54</v>
      </c>
      <c r="V34" s="251">
        <f>SUM($H6:V$6)</f>
        <v>-1240.04</v>
      </c>
      <c r="W34" s="251">
        <f>SUM($H6:W$6)</f>
        <v>-1378.78</v>
      </c>
      <c r="X34" s="251">
        <f>SUM($H6:X$6)</f>
        <v>-1390.68</v>
      </c>
      <c r="Y34" s="251">
        <f>SUM($H6:Y$6)</f>
        <v>-1458.18</v>
      </c>
      <c r="Z34" s="251">
        <f>SUM($H6:Z$6)</f>
        <v>-1577.3700000000001</v>
      </c>
      <c r="AA34" s="251">
        <f>SUM($H6:AA$6)</f>
        <v>-1577.3700000000001</v>
      </c>
      <c r="AB34" s="251">
        <f>SUM($H6:AB$6)</f>
        <v>-1688.99</v>
      </c>
      <c r="AC34" s="251">
        <f>SUM($H6:AC$6)</f>
        <v>-1713.91</v>
      </c>
      <c r="AD34" s="251">
        <f>SUM($H6:AD$6)</f>
        <v>-1713.91</v>
      </c>
      <c r="AE34" s="251">
        <f>SUM($H6:AE$6)</f>
        <v>-1723.41</v>
      </c>
      <c r="AF34" s="251">
        <f>SUM($H6:AF$6)</f>
        <v>-1819.98</v>
      </c>
      <c r="AG34" s="251">
        <f>SUM($H6:AG$6)</f>
        <v>-1914.97</v>
      </c>
      <c r="AH34" s="251">
        <f>SUM($H6:AH$6)</f>
        <v>-1960.08</v>
      </c>
      <c r="AI34" s="251">
        <f>SUM($H6:AI$6)</f>
        <v>-1992.58</v>
      </c>
      <c r="AJ34" s="251">
        <f>SUM($H6:AJ$6)</f>
        <v>-2030.82</v>
      </c>
      <c r="AK34" s="251">
        <f>SUM($H6:AK$6)</f>
        <v>-2126.62</v>
      </c>
      <c r="AL34" s="251">
        <f>SUM($H6:AL$6)</f>
        <v>-2131.62</v>
      </c>
      <c r="AM34" s="97"/>
      <c r="AN34" s="147">
        <f t="shared" si="8"/>
        <v>18</v>
      </c>
      <c r="AO34" s="54" t="s">
        <v>28</v>
      </c>
      <c r="AP34" s="87">
        <v>-60</v>
      </c>
    </row>
    <row r="35" spans="2:42" ht="15.75" customHeight="1" x14ac:dyDescent="0.25">
      <c r="B35" s="96"/>
      <c r="C35" s="99" t="s">
        <v>69</v>
      </c>
      <c r="D35" s="169"/>
      <c r="E35" s="169"/>
      <c r="F35" s="44"/>
      <c r="G35" s="115">
        <f>'Dez2019'!AO36</f>
        <v>10544.64000000001</v>
      </c>
      <c r="H35" s="73">
        <f>G45+H6+H32</f>
        <v>10544.64000000001</v>
      </c>
      <c r="I35" s="73">
        <f>H45+I6+I32</f>
        <v>10515.20000000001</v>
      </c>
      <c r="J35" s="73">
        <f>I45+J6+J32</f>
        <v>13757.670000000011</v>
      </c>
      <c r="K35" s="73">
        <f>J45+K6+K32</f>
        <v>13697.540000000012</v>
      </c>
      <c r="L35" s="73">
        <f>K45+L6+L32</f>
        <v>13656.530000000012</v>
      </c>
      <c r="M35" s="73">
        <f>L45+M6+M32</f>
        <v>13627.850000000011</v>
      </c>
      <c r="N35" s="73">
        <f>M45+N6+N32</f>
        <v>13075.350000000011</v>
      </c>
      <c r="O35" s="73">
        <f>N45+O6+O32</f>
        <v>12978.550000000012</v>
      </c>
      <c r="P35" s="73">
        <f>O45+P6+P32</f>
        <v>12944.510000000011</v>
      </c>
      <c r="Q35" s="73">
        <f>P45+Q6+Q32</f>
        <v>12910.130000000012</v>
      </c>
      <c r="R35" s="73">
        <f>Q45+R6+R32</f>
        <v>12884.630000000012</v>
      </c>
      <c r="S35" s="73">
        <f>R45+S6+S32</f>
        <v>12777.250000000013</v>
      </c>
      <c r="T35" s="73">
        <f>S45+T6+T32</f>
        <v>12721.010000000013</v>
      </c>
      <c r="U35" s="73">
        <f>T45+U6+U32</f>
        <v>12672.710000000014</v>
      </c>
      <c r="V35" s="73">
        <f>U45+V6+V32</f>
        <v>12616.210000000014</v>
      </c>
      <c r="W35" s="73">
        <f>V45+W6+W32</f>
        <v>12784.470000000014</v>
      </c>
      <c r="X35" s="73">
        <f>W45+X6+X32</f>
        <v>12772.570000000014</v>
      </c>
      <c r="Y35" s="73">
        <f>X45+Y6+Y32</f>
        <v>12705.070000000014</v>
      </c>
      <c r="Z35" s="73">
        <f>Y45+Z6+Z32</f>
        <v>12635.880000000014</v>
      </c>
      <c r="AA35" s="73">
        <f>Z45+AA6+AA32</f>
        <v>12635.880000000014</v>
      </c>
      <c r="AB35" s="73">
        <f>AA45+AB6+AB32</f>
        <v>12524.260000000013</v>
      </c>
      <c r="AC35" s="73">
        <f>AB45+AC6+AC32</f>
        <v>12499.340000000013</v>
      </c>
      <c r="AD35" s="73">
        <f>AC45+AD6+AD32</f>
        <v>12499.340000000013</v>
      </c>
      <c r="AE35" s="73">
        <f>AD45+AE6+AE32</f>
        <v>12489.840000000013</v>
      </c>
      <c r="AF35" s="73">
        <f>AE45+AF6+AF32</f>
        <v>12393.270000000013</v>
      </c>
      <c r="AG35" s="73">
        <f>AF45+AG6+AG32</f>
        <v>12348.280000000013</v>
      </c>
      <c r="AH35" s="73">
        <f>AG45+AH6+AH32</f>
        <v>12303.170000000013</v>
      </c>
      <c r="AI35" s="73">
        <f>AH45+AI6+AI32</f>
        <v>12270.670000000013</v>
      </c>
      <c r="AJ35" s="73">
        <f>AI45+AJ6+AJ32</f>
        <v>12232.430000000013</v>
      </c>
      <c r="AK35" s="73">
        <f>AI45+AK6+AK32</f>
        <v>12174.870000000014</v>
      </c>
      <c r="AL35" s="73">
        <f>AJ45+AL6+AL32</f>
        <v>12255.360000000013</v>
      </c>
      <c r="AM35" s="97"/>
      <c r="AN35" s="147">
        <f t="shared" si="8"/>
        <v>19</v>
      </c>
      <c r="AO35" s="54" t="s">
        <v>120</v>
      </c>
      <c r="AP35" s="87">
        <f>-8-22</f>
        <v>-30</v>
      </c>
    </row>
    <row r="36" spans="2:42" ht="15.75" customHeight="1" x14ac:dyDescent="0.25">
      <c r="B36" s="96"/>
      <c r="C36" s="268" t="s">
        <v>61</v>
      </c>
      <c r="D36" s="268"/>
      <c r="E36" s="268"/>
      <c r="F36" s="269"/>
      <c r="G36" s="269"/>
      <c r="H36" s="270"/>
      <c r="I36" s="270"/>
      <c r="J36" s="270"/>
      <c r="K36" s="270"/>
      <c r="L36" s="270"/>
      <c r="M36" s="270"/>
      <c r="N36" s="270"/>
      <c r="O36" s="271"/>
      <c r="P36" s="271"/>
      <c r="Q36" s="271"/>
      <c r="R36" s="271"/>
      <c r="S36" s="271"/>
      <c r="T36" s="271"/>
      <c r="U36" s="271">
        <v>80</v>
      </c>
      <c r="V36" s="270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>
        <v>115</v>
      </c>
      <c r="AM36" s="97"/>
      <c r="AN36" s="147">
        <f t="shared" si="8"/>
        <v>20</v>
      </c>
      <c r="AO36" s="54" t="s">
        <v>40</v>
      </c>
      <c r="AP36" s="87">
        <v>0</v>
      </c>
    </row>
    <row r="37" spans="2:42" ht="15.75" customHeight="1" x14ac:dyDescent="0.25">
      <c r="B37" s="246"/>
      <c r="C37" s="272" t="s">
        <v>194</v>
      </c>
      <c r="D37" s="273"/>
      <c r="E37" s="273"/>
      <c r="F37" s="274"/>
      <c r="G37" s="274"/>
      <c r="H37" s="275"/>
      <c r="I37" s="275"/>
      <c r="J37" s="275"/>
      <c r="K37" s="275"/>
      <c r="L37" s="275"/>
      <c r="M37" s="275"/>
      <c r="N37" s="275"/>
      <c r="O37" s="276"/>
      <c r="P37" s="276"/>
      <c r="Q37" s="276"/>
      <c r="R37" s="276"/>
      <c r="S37" s="276"/>
      <c r="T37" s="276"/>
      <c r="U37" s="276">
        <v>208.69</v>
      </c>
      <c r="V37" s="275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276"/>
      <c r="AL37" s="276">
        <v>69.52</v>
      </c>
      <c r="AM37" s="247"/>
      <c r="AN37" s="147">
        <f t="shared" si="8"/>
        <v>21</v>
      </c>
      <c r="AO37" s="54" t="s">
        <v>122</v>
      </c>
      <c r="AP37" s="87">
        <v>-50</v>
      </c>
    </row>
    <row r="38" spans="2:42" ht="15.75" customHeight="1" x14ac:dyDescent="0.25">
      <c r="B38" s="96"/>
      <c r="C38" s="268" t="s">
        <v>134</v>
      </c>
      <c r="D38" s="268"/>
      <c r="E38" s="268"/>
      <c r="F38" s="269"/>
      <c r="G38" s="269"/>
      <c r="H38" s="270"/>
      <c r="I38" s="270"/>
      <c r="J38" s="270"/>
      <c r="K38" s="270"/>
      <c r="L38" s="270"/>
      <c r="M38" s="270"/>
      <c r="N38" s="270"/>
      <c r="O38" s="271"/>
      <c r="P38" s="271"/>
      <c r="Q38" s="271"/>
      <c r="R38" s="271"/>
      <c r="S38" s="271"/>
      <c r="T38" s="271"/>
      <c r="U38" s="271">
        <f>-6*41.64-1*23.3-5*45.59-5*19.97</f>
        <v>-600.94000000000005</v>
      </c>
      <c r="V38" s="270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>
        <f>U38+19.96+19.97+45.59+41.64+23.3</f>
        <v>-450.47999999999996</v>
      </c>
      <c r="AM38" s="97"/>
      <c r="AN38" s="147">
        <f t="shared" si="8"/>
        <v>22</v>
      </c>
      <c r="AO38" s="54" t="s">
        <v>36</v>
      </c>
      <c r="AP38" s="87">
        <f>BaseDeDados!X22</f>
        <v>0</v>
      </c>
    </row>
    <row r="39" spans="2:42" ht="15.75" customHeight="1" x14ac:dyDescent="0.25">
      <c r="B39" s="96"/>
      <c r="C39" s="272" t="s">
        <v>70</v>
      </c>
      <c r="D39" s="273"/>
      <c r="E39" s="273"/>
      <c r="F39" s="274"/>
      <c r="G39" s="274"/>
      <c r="H39" s="275"/>
      <c r="I39" s="275"/>
      <c r="J39" s="275"/>
      <c r="K39" s="275"/>
      <c r="L39" s="275"/>
      <c r="M39" s="275"/>
      <c r="N39" s="275"/>
      <c r="O39" s="276"/>
      <c r="P39" s="276"/>
      <c r="Q39" s="276"/>
      <c r="R39" s="276"/>
      <c r="S39" s="276"/>
      <c r="T39" s="276"/>
      <c r="U39" s="276">
        <f>-799.18</f>
        <v>-799.18</v>
      </c>
      <c r="V39" s="275"/>
      <c r="W39" s="276"/>
      <c r="X39" s="276"/>
      <c r="Y39" s="276"/>
      <c r="Z39" s="276"/>
      <c r="AA39" s="276"/>
      <c r="AB39" s="276"/>
      <c r="AC39" s="276"/>
      <c r="AD39" s="276"/>
      <c r="AE39" s="276"/>
      <c r="AF39" s="276"/>
      <c r="AG39" s="276"/>
      <c r="AH39" s="276"/>
      <c r="AI39" s="276"/>
      <c r="AJ39" s="276"/>
      <c r="AK39" s="276"/>
      <c r="AL39" s="276">
        <f>-1415.64-255.62</f>
        <v>-1671.2600000000002</v>
      </c>
      <c r="AM39" s="97"/>
      <c r="AN39" s="151">
        <f t="shared" si="8"/>
        <v>23</v>
      </c>
      <c r="AO39" s="63" t="s">
        <v>41</v>
      </c>
      <c r="AP39" s="98">
        <v>0</v>
      </c>
    </row>
    <row r="40" spans="2:42" ht="15.75" customHeight="1" x14ac:dyDescent="0.25">
      <c r="B40" s="96"/>
      <c r="C40" s="268" t="s">
        <v>204</v>
      </c>
      <c r="D40" s="268"/>
      <c r="E40" s="268"/>
      <c r="F40" s="269"/>
      <c r="G40" s="269"/>
      <c r="H40" s="270"/>
      <c r="I40" s="270"/>
      <c r="J40" s="270"/>
      <c r="K40" s="270"/>
      <c r="L40" s="270"/>
      <c r="M40" s="270"/>
      <c r="N40" s="270"/>
      <c r="O40" s="271"/>
      <c r="P40" s="271"/>
      <c r="Q40" s="271"/>
      <c r="R40" s="271"/>
      <c r="S40" s="271"/>
      <c r="T40" s="271"/>
      <c r="U40" s="271">
        <v>30.44</v>
      </c>
      <c r="V40" s="270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/>
      <c r="AH40" s="271"/>
      <c r="AI40" s="271"/>
      <c r="AJ40" s="271"/>
      <c r="AK40" s="271"/>
      <c r="AL40" s="271">
        <f>U40</f>
        <v>30.44</v>
      </c>
      <c r="AM40" s="97"/>
    </row>
    <row r="41" spans="2:42" ht="15.75" customHeight="1" x14ac:dyDescent="0.25">
      <c r="B41" s="96"/>
      <c r="C41" s="272" t="s">
        <v>138</v>
      </c>
      <c r="D41" s="273"/>
      <c r="E41" s="273"/>
      <c r="F41" s="274"/>
      <c r="G41" s="274"/>
      <c r="H41" s="275"/>
      <c r="I41" s="275"/>
      <c r="J41" s="275"/>
      <c r="K41" s="275"/>
      <c r="L41" s="275"/>
      <c r="M41" s="275"/>
      <c r="N41" s="275"/>
      <c r="O41" s="276"/>
      <c r="P41" s="276"/>
      <c r="Q41" s="276"/>
      <c r="R41" s="276"/>
      <c r="S41" s="276"/>
      <c r="T41" s="276"/>
      <c r="U41" s="276">
        <v>39.090000000000003</v>
      </c>
      <c r="V41" s="275"/>
      <c r="W41" s="276"/>
      <c r="X41" s="276"/>
      <c r="Y41" s="276"/>
      <c r="Z41" s="276"/>
      <c r="AA41" s="276"/>
      <c r="AB41" s="276"/>
      <c r="AC41" s="276"/>
      <c r="AD41" s="276"/>
      <c r="AE41" s="276"/>
      <c r="AF41" s="276"/>
      <c r="AG41" s="276"/>
      <c r="AH41" s="276"/>
      <c r="AI41" s="276"/>
      <c r="AJ41" s="276"/>
      <c r="AK41" s="276"/>
      <c r="AL41" s="276">
        <f>U41</f>
        <v>39.090000000000003</v>
      </c>
      <c r="AM41" s="97"/>
    </row>
    <row r="42" spans="2:42" ht="15.75" customHeight="1" x14ac:dyDescent="0.25">
      <c r="B42" s="96"/>
      <c r="C42" s="268" t="s">
        <v>95</v>
      </c>
      <c r="D42" s="268"/>
      <c r="E42" s="268"/>
      <c r="F42" s="269"/>
      <c r="G42" s="269"/>
      <c r="H42" s="270"/>
      <c r="I42" s="270"/>
      <c r="J42" s="270"/>
      <c r="K42" s="270"/>
      <c r="L42" s="270"/>
      <c r="M42" s="270"/>
      <c r="N42" s="270"/>
      <c r="O42" s="271"/>
      <c r="P42" s="271"/>
      <c r="Q42" s="271"/>
      <c r="R42" s="271"/>
      <c r="S42" s="271"/>
      <c r="T42" s="271"/>
      <c r="U42" s="271">
        <f>13083.92</f>
        <v>13083.92</v>
      </c>
      <c r="V42" s="270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71"/>
      <c r="AI42" s="271"/>
      <c r="AJ42" s="271"/>
      <c r="AK42" s="271"/>
      <c r="AL42" s="271">
        <f>12762.8+354.76</f>
        <v>13117.56</v>
      </c>
      <c r="AM42" s="97"/>
    </row>
    <row r="43" spans="2:42" ht="15.75" customHeight="1" x14ac:dyDescent="0.25">
      <c r="B43" s="96"/>
      <c r="C43" s="272" t="s">
        <v>73</v>
      </c>
      <c r="D43" s="273"/>
      <c r="E43" s="273"/>
      <c r="F43" s="274"/>
      <c r="G43" s="274"/>
      <c r="H43" s="275"/>
      <c r="I43" s="275"/>
      <c r="J43" s="275"/>
      <c r="K43" s="275"/>
      <c r="L43" s="275"/>
      <c r="M43" s="275"/>
      <c r="N43" s="275"/>
      <c r="O43" s="276"/>
      <c r="P43" s="276"/>
      <c r="Q43" s="276"/>
      <c r="R43" s="276"/>
      <c r="S43" s="276"/>
      <c r="T43" s="276"/>
      <c r="U43" s="276">
        <f>1864</f>
        <v>1864</v>
      </c>
      <c r="V43" s="275"/>
      <c r="W43" s="276"/>
      <c r="X43" s="276"/>
      <c r="Y43" s="276"/>
      <c r="Z43" s="276"/>
      <c r="AA43" s="276"/>
      <c r="AB43" s="276"/>
      <c r="AC43" s="276"/>
      <c r="AD43" s="276"/>
      <c r="AE43" s="276"/>
      <c r="AF43" s="276"/>
      <c r="AG43" s="276"/>
      <c r="AH43" s="276"/>
      <c r="AI43" s="276"/>
      <c r="AJ43" s="276"/>
      <c r="AK43" s="276"/>
      <c r="AL43" s="276">
        <f>U43</f>
        <v>1864</v>
      </c>
      <c r="AM43" s="97"/>
    </row>
    <row r="44" spans="2:42" ht="15.75" customHeight="1" x14ac:dyDescent="0.25">
      <c r="B44" s="96"/>
      <c r="C44" s="268" t="s">
        <v>119</v>
      </c>
      <c r="D44" s="268"/>
      <c r="E44" s="268"/>
      <c r="F44" s="269"/>
      <c r="G44" s="269"/>
      <c r="H44" s="270"/>
      <c r="I44" s="270"/>
      <c r="J44" s="270"/>
      <c r="K44" s="270"/>
      <c r="L44" s="270"/>
      <c r="M44" s="270"/>
      <c r="N44" s="270"/>
      <c r="O44" s="271"/>
      <c r="P44" s="271"/>
      <c r="Q44" s="271"/>
      <c r="R44" s="271"/>
      <c r="S44" s="271"/>
      <c r="T44" s="271"/>
      <c r="U44" s="271">
        <v>0</v>
      </c>
      <c r="V44" s="270"/>
      <c r="W44" s="271"/>
      <c r="X44" s="271"/>
      <c r="Y44" s="271"/>
      <c r="Z44" s="271"/>
      <c r="AA44" s="271"/>
      <c r="AB44" s="271"/>
      <c r="AC44" s="271"/>
      <c r="AD44" s="271"/>
      <c r="AE44" s="271"/>
      <c r="AF44" s="271"/>
      <c r="AG44" s="271"/>
      <c r="AH44" s="271"/>
      <c r="AI44" s="271"/>
      <c r="AJ44" s="271"/>
      <c r="AK44" s="271"/>
      <c r="AL44" s="271">
        <v>0</v>
      </c>
      <c r="AM44" s="97"/>
    </row>
    <row r="45" spans="2:42" ht="15.75" customHeight="1" x14ac:dyDescent="0.25">
      <c r="B45" s="96"/>
      <c r="C45" s="86" t="s">
        <v>80</v>
      </c>
      <c r="D45" s="86"/>
      <c r="E45" s="86"/>
      <c r="F45" s="12"/>
      <c r="G45" s="50">
        <f t="shared" ref="G45:AL45" si="9">G35</f>
        <v>10544.64000000001</v>
      </c>
      <c r="H45" s="50">
        <f t="shared" si="9"/>
        <v>10544.64000000001</v>
      </c>
      <c r="I45" s="50">
        <f t="shared" si="9"/>
        <v>10515.20000000001</v>
      </c>
      <c r="J45" s="50">
        <f t="shared" si="9"/>
        <v>13757.670000000011</v>
      </c>
      <c r="K45" s="50">
        <f t="shared" si="9"/>
        <v>13697.540000000012</v>
      </c>
      <c r="L45" s="50">
        <f t="shared" si="9"/>
        <v>13656.530000000012</v>
      </c>
      <c r="M45" s="50">
        <f t="shared" si="9"/>
        <v>13627.850000000011</v>
      </c>
      <c r="N45" s="50">
        <f t="shared" si="9"/>
        <v>13075.350000000011</v>
      </c>
      <c r="O45" s="50">
        <f t="shared" si="9"/>
        <v>12978.550000000012</v>
      </c>
      <c r="P45" s="50">
        <f t="shared" si="9"/>
        <v>12944.510000000011</v>
      </c>
      <c r="Q45" s="50">
        <f t="shared" si="9"/>
        <v>12910.130000000012</v>
      </c>
      <c r="R45" s="50">
        <f t="shared" si="9"/>
        <v>12884.630000000012</v>
      </c>
      <c r="S45" s="50">
        <f t="shared" si="9"/>
        <v>12777.250000000013</v>
      </c>
      <c r="T45" s="50">
        <f t="shared" si="9"/>
        <v>12721.010000000013</v>
      </c>
      <c r="U45" s="50">
        <f t="shared" si="9"/>
        <v>12672.710000000014</v>
      </c>
      <c r="V45" s="50">
        <f t="shared" si="9"/>
        <v>12616.210000000014</v>
      </c>
      <c r="W45" s="50">
        <f t="shared" si="9"/>
        <v>12784.470000000014</v>
      </c>
      <c r="X45" s="50">
        <f t="shared" si="9"/>
        <v>12772.570000000014</v>
      </c>
      <c r="Y45" s="50">
        <f t="shared" si="9"/>
        <v>12705.070000000014</v>
      </c>
      <c r="Z45" s="50">
        <f t="shared" si="9"/>
        <v>12635.880000000014</v>
      </c>
      <c r="AA45" s="50">
        <f t="shared" si="9"/>
        <v>12635.880000000014</v>
      </c>
      <c r="AB45" s="50">
        <f t="shared" si="9"/>
        <v>12524.260000000013</v>
      </c>
      <c r="AC45" s="50">
        <f t="shared" si="9"/>
        <v>12499.340000000013</v>
      </c>
      <c r="AD45" s="170">
        <f t="shared" si="9"/>
        <v>12499.340000000013</v>
      </c>
      <c r="AE45" s="50">
        <f t="shared" si="9"/>
        <v>12489.840000000013</v>
      </c>
      <c r="AF45" s="50">
        <f t="shared" si="9"/>
        <v>12393.270000000013</v>
      </c>
      <c r="AG45" s="50">
        <f t="shared" si="9"/>
        <v>12348.280000000013</v>
      </c>
      <c r="AH45" s="50">
        <f t="shared" si="9"/>
        <v>12303.170000000013</v>
      </c>
      <c r="AI45" s="50">
        <f t="shared" si="9"/>
        <v>12270.670000000013</v>
      </c>
      <c r="AJ45" s="50">
        <f t="shared" si="9"/>
        <v>12232.430000000013</v>
      </c>
      <c r="AK45" s="50">
        <f t="shared" si="9"/>
        <v>12174.870000000014</v>
      </c>
      <c r="AL45" s="50">
        <f t="shared" si="9"/>
        <v>12255.360000000013</v>
      </c>
      <c r="AM45" s="97"/>
    </row>
    <row r="46" spans="2:42" ht="15.75" customHeight="1" x14ac:dyDescent="0.25">
      <c r="B46" s="96"/>
      <c r="C46" s="117" t="s">
        <v>74</v>
      </c>
      <c r="D46" s="117"/>
      <c r="E46" s="265"/>
      <c r="F46" s="70"/>
      <c r="G46" s="70"/>
      <c r="H46" s="138"/>
      <c r="I46" s="138"/>
      <c r="J46" s="138"/>
      <c r="K46" s="138"/>
      <c r="L46" s="138"/>
      <c r="M46" s="138"/>
      <c r="N46" s="138"/>
      <c r="O46" s="69"/>
      <c r="P46" s="69"/>
      <c r="Q46" s="69"/>
      <c r="R46" s="69"/>
      <c r="S46" s="71"/>
      <c r="T46" s="71"/>
      <c r="U46" s="71">
        <f>SUM(U36:U44)</f>
        <v>13906.02</v>
      </c>
      <c r="V46" s="252"/>
      <c r="W46" s="71"/>
      <c r="X46" s="69"/>
      <c r="Y46" s="71"/>
      <c r="Z46" s="71"/>
      <c r="AA46" s="71"/>
      <c r="AB46" s="71"/>
      <c r="AC46" s="71"/>
      <c r="AD46" s="1"/>
      <c r="AE46" s="71"/>
      <c r="AF46" s="71"/>
      <c r="AG46" s="71"/>
      <c r="AH46" s="71"/>
      <c r="AI46" s="71"/>
      <c r="AJ46" s="71"/>
      <c r="AK46" s="71"/>
      <c r="AL46" s="71">
        <f>SUM(AL36:AL44)</f>
        <v>13113.869999999999</v>
      </c>
      <c r="AM46" s="97"/>
    </row>
    <row r="47" spans="2:42" ht="15.75" customHeight="1" x14ac:dyDescent="0.25">
      <c r="B47" s="96"/>
      <c r="C47" s="97"/>
      <c r="D47" s="97"/>
      <c r="E47" s="247"/>
      <c r="F47" s="127"/>
      <c r="G47" s="12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6"/>
    </row>
    <row r="48" spans="2:42" ht="9" customHeight="1" x14ac:dyDescent="0.25"/>
    <row r="49" spans="3:38" ht="15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ht="15.75" customHeight="1" x14ac:dyDescent="0.25">
      <c r="C50" s="1"/>
      <c r="D50" s="1"/>
      <c r="E50" s="1"/>
      <c r="F50" s="1"/>
      <c r="G50" s="1"/>
      <c r="N50" s="5"/>
      <c r="O50" s="5"/>
      <c r="P50" s="5"/>
      <c r="Q50" s="128"/>
      <c r="R50" s="5"/>
      <c r="S50" s="5"/>
      <c r="T50" s="5"/>
      <c r="U50" s="128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K50" s="5"/>
      <c r="AL50" s="5"/>
    </row>
    <row r="51" spans="3:38" ht="15.75" customHeight="1" x14ac:dyDescent="0.25">
      <c r="C51" s="1"/>
      <c r="D51" s="1"/>
      <c r="E51" s="1"/>
      <c r="F51" s="1"/>
      <c r="G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K51" s="5"/>
      <c r="AL51" s="5"/>
    </row>
    <row r="52" spans="3:38" ht="15.75" customHeight="1" x14ac:dyDescent="0.25">
      <c r="C52" s="1"/>
      <c r="D52" s="1"/>
      <c r="E52" s="1"/>
      <c r="F52" s="1"/>
      <c r="G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K52" s="8"/>
      <c r="AL52" s="8"/>
    </row>
    <row r="53" spans="3:38" ht="15.75" customHeight="1" x14ac:dyDescent="0.25">
      <c r="C53" s="1"/>
      <c r="D53" s="1"/>
      <c r="E53" s="1"/>
      <c r="F53" s="1"/>
      <c r="G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</row>
    <row r="54" spans="3:38" ht="15.75" customHeight="1" x14ac:dyDescent="0.25">
      <c r="C54" s="1"/>
      <c r="D54" s="1"/>
      <c r="E54" s="1"/>
      <c r="F54" s="1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</row>
    <row r="55" spans="3:38" ht="15.75" customHeight="1" x14ac:dyDescent="0.25">
      <c r="F55" s="15"/>
      <c r="G55" s="1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ht="15.75" customHeight="1" x14ac:dyDescent="0.25">
      <c r="L56" s="1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</row>
    <row r="57" spans="3:38" ht="15.75" customHeight="1" x14ac:dyDescent="0.25"/>
    <row r="58" spans="3:38" ht="15.75" customHeight="1" x14ac:dyDescent="0.25"/>
    <row r="59" spans="3:38" ht="15.7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3:38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3:38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3:38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3:38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3:38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ht="15.7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ht="15.7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3:38" ht="15.7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3:38" ht="15.7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ht="15.7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3:38" ht="15.7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3:38" ht="15.7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ht="15.7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3:38" ht="15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3:38" ht="15.7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ht="15.7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3:38" ht="15.7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3:38" ht="15.7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3:38" ht="15.7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ht="15.7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ht="15.7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ht="15.7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ht="15.7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ht="15.7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3:38" ht="15.7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3:38" ht="15.7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ht="15.7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3:38" ht="15.7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3:38" ht="15.7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ht="15.7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3:38" ht="15.7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3:38" ht="15.7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ht="15.7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3:38" ht="15.7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3:38" ht="15.7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3:38" ht="15.7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ht="15.7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ht="15.7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ht="15.7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ht="15.7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ht="15.7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3:38" ht="15.7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3:38" ht="15.7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ht="15.7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3:38" ht="15.7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3:38" ht="15.7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ht="15.7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3:38" ht="15.7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3:38" ht="15.7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ht="15.7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3:38" ht="15.7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3:38" ht="15.7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3:38" ht="15.7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ht="15.7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ht="15.7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ht="15.7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ht="15.7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3:38" ht="15.7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3:38" ht="15.7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ht="15.7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3:38" ht="15.7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3:38" ht="15.7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ht="15.7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3:38" ht="15.7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3:38" ht="15.7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ht="15.7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3:38" ht="15.7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3:38" ht="15.7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3:38" ht="15.7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3:38" ht="15.7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3:38" ht="15.7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3:38" ht="15.7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3:38" ht="15.7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3:38" ht="15.7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3:38" ht="15.7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3:38" ht="15.7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3:38" ht="15.7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3:38" ht="15.7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3:38" ht="15.7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3:38" ht="15.7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3:38" ht="15.7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3:38" ht="15.7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3:38" ht="15.7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3:38" ht="15.7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3:38" ht="15.7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3:38" ht="15.7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3:38" ht="15.7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3:38" ht="15.7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3:38" ht="15.7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3:38" ht="15.7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3:38" ht="15.7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3:38" ht="15.7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3:38" ht="15.7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3:38" ht="15.7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3:38" ht="15.7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3:38" ht="15.7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3:38" ht="15.7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3:38" ht="15.7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3:38" ht="15.7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3:38" ht="15.7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3:38" ht="15.7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3:38" ht="15.7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3:38" ht="15.7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3:38" ht="15.7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3:38" ht="15.7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3:38" ht="15.7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3:38" ht="15.7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3:38" ht="15.7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3:38" ht="15.7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3:38" ht="15.7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3:38" ht="15.7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3:38" ht="15.7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3:38" ht="15.7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3:38" ht="15.7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3:38" ht="15.7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3:38" ht="15.7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3:38" ht="15.7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3:38" ht="15.7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3:38" ht="15.7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3:38" ht="15.7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3:38" ht="15.7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3:38" ht="15.7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3:38" ht="15.7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3:38" ht="15.7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3:38" ht="15.7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3:38" ht="15.7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3:38" ht="15.7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3:38" ht="15.7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3:38" ht="15.7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3:38" ht="15.7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3:38" ht="15.7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3:38" ht="15.7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3:38" ht="15.7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3:38" ht="15.7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3:38" ht="15.7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3:38" ht="15.7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3:38" ht="15.7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3:38" ht="15.7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3:38" ht="15.7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3:38" ht="15.7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3:38" ht="15.7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3:38" ht="15.7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3:38" ht="15.7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3:38" ht="15.7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3:38" ht="15.7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3:38" ht="15.7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3:38" ht="15.7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3:38" ht="15.7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3:38" ht="15.7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3:38" ht="15.7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3:38" ht="15.7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3:38" ht="15.7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3:38" ht="15.7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3:38" ht="15.7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3:38" ht="15.7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3:38" ht="15.7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3:38" ht="15.7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3:38" ht="15.7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3:38" ht="15.7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3:38" ht="15.7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3:38" ht="15.7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3:38" ht="15.7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3:38" ht="15.7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3:38" ht="15.7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3:38" ht="15.7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3:38" ht="15.7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3:38" ht="15.7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3:38" ht="15.7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3:38" ht="15.7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3:38" ht="15.7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3:38" ht="15.7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3:38" ht="15.7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3:38" ht="15.7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3:38" ht="15.7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3:38" ht="15.7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3:38" ht="15.7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3:38" ht="15.7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3:38" ht="15.7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3:38" ht="15.7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3:38" ht="15.7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3:38" ht="15.7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3:38" ht="15.7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3:38" ht="15.7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3:38" ht="15.7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3:38" ht="15.7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3:38" ht="15.7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3:38" ht="15.7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3:38" ht="15.7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3:38" ht="15.7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3:38" ht="15.7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3:38" ht="15.75" customHeight="1" x14ac:dyDescent="0.25"/>
    <row r="254" spans="3:38" ht="15.75" customHeight="1" x14ac:dyDescent="0.25"/>
    <row r="255" spans="3:38" ht="15.75" customHeight="1" x14ac:dyDescent="0.25"/>
    <row r="256" spans="3:38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AO7:AP7"/>
  </mergeCells>
  <conditionalFormatting sqref="A4 AP10 C8">
    <cfRule type="cellIs" dxfId="65" priority="7" operator="lessThan">
      <formula>0</formula>
    </cfRule>
  </conditionalFormatting>
  <conditionalFormatting sqref="A4 AP10 C8">
    <cfRule type="cellIs" dxfId="64" priority="8" operator="greaterThan">
      <formula>0</formula>
    </cfRule>
  </conditionalFormatting>
  <conditionalFormatting sqref="A4 AP10">
    <cfRule type="cellIs" dxfId="63" priority="9" operator="lessThan">
      <formula>0</formula>
    </cfRule>
  </conditionalFormatting>
  <conditionalFormatting sqref="C8">
    <cfRule type="cellIs" dxfId="62" priority="10" operator="equal">
      <formula>0</formula>
    </cfRule>
  </conditionalFormatting>
  <conditionalFormatting sqref="A9">
    <cfRule type="cellIs" dxfId="61" priority="13" operator="lessThan">
      <formula>0</formula>
    </cfRule>
  </conditionalFormatting>
  <conditionalFormatting sqref="F4">
    <cfRule type="cellIs" dxfId="60" priority="14" operator="lessThan">
      <formula>0</formula>
    </cfRule>
  </conditionalFormatting>
  <conditionalFormatting sqref="F4">
    <cfRule type="cellIs" dxfId="59" priority="15" operator="greaterThan">
      <formula>0</formula>
    </cfRule>
  </conditionalFormatting>
  <conditionalFormatting sqref="F4">
    <cfRule type="cellIs" dxfId="58" priority="16" operator="lessThan">
      <formula>0</formula>
    </cfRule>
  </conditionalFormatting>
  <conditionalFormatting sqref="AP12">
    <cfRule type="cellIs" dxfId="57" priority="17" operator="lessThan">
      <formula>0</formula>
    </cfRule>
  </conditionalFormatting>
  <conditionalFormatting sqref="AP13">
    <cfRule type="cellIs" dxfId="56" priority="18" operator="lessThan">
      <formula>0</formula>
    </cfRule>
  </conditionalFormatting>
  <conditionalFormatting sqref="AP13">
    <cfRule type="cellIs" dxfId="55" priority="19" operator="greaterThan">
      <formula>0</formula>
    </cfRule>
  </conditionalFormatting>
  <conditionalFormatting sqref="AP13">
    <cfRule type="cellIs" dxfId="54" priority="20" operator="lessThan">
      <formula>0</formula>
    </cfRule>
  </conditionalFormatting>
  <conditionalFormatting sqref="C7">
    <cfRule type="cellIs" dxfId="53" priority="21" operator="equal">
      <formula>0</formula>
    </cfRule>
  </conditionalFormatting>
  <conditionalFormatting sqref="C7">
    <cfRule type="cellIs" dxfId="52" priority="22" operator="lessThan">
      <formula>0</formula>
    </cfRule>
  </conditionalFormatting>
  <conditionalFormatting sqref="C7">
    <cfRule type="cellIs" dxfId="51" priority="23" operator="greaterThan">
      <formula>0</formula>
    </cfRule>
  </conditionalFormatting>
  <conditionalFormatting sqref="C10 C12 C14 C16 C18 C20 C22 C24 C26 C28:C29 C31">
    <cfRule type="cellIs" dxfId="50" priority="1" operator="lessThan">
      <formula>0</formula>
    </cfRule>
  </conditionalFormatting>
  <conditionalFormatting sqref="C10 C12 C14 C16 C18 C20 C22 C24 C26 C28:C29 C31">
    <cfRule type="cellIs" dxfId="49" priority="2" operator="greaterThan">
      <formula>0</formula>
    </cfRule>
  </conditionalFormatting>
  <conditionalFormatting sqref="C10 C12 C14 C16 C18 C20 C22 C24 C26 C28:C29 C31">
    <cfRule type="cellIs" dxfId="48" priority="3" operator="equal">
      <formula>0</formula>
    </cfRule>
  </conditionalFormatting>
  <conditionalFormatting sqref="C9 C11 C13 C15 C17 C19 C21 C23 C25 C27 C30">
    <cfRule type="cellIs" dxfId="47" priority="4" operator="equal">
      <formula>0</formula>
    </cfRule>
  </conditionalFormatting>
  <conditionalFormatting sqref="C9 C11 C13 C15 C17 C19 C21 C23 C25 C27 C30">
    <cfRule type="cellIs" dxfId="46" priority="5" operator="lessThan">
      <formula>0</formula>
    </cfRule>
  </conditionalFormatting>
  <conditionalFormatting sqref="C9 C11 C13 C15 C17 C19 C21 C23 C25 C27 C30">
    <cfRule type="cellIs" dxfId="45" priority="6" operator="greaterThan">
      <formula>0</formula>
    </cfRule>
  </conditionalFormatting>
  <pageMargins left="0.511811024" right="0.511811024" top="0.78740157499999996" bottom="0.78740157499999996" header="0" footer="0"/>
  <pageSetup orientation="landscape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FD83-3976-4671-AF08-89E96850437D}">
  <dimension ref="A1:AQ1002"/>
  <sheetViews>
    <sheetView showGridLines="0" zoomScale="80" zoomScaleNormal="80" workbookViewId="0">
      <pane xSplit="6" ySplit="6" topLeftCell="G7" activePane="bottomRight" state="frozen"/>
      <selection pane="topRight" activeCell="J1" sqref="J1"/>
      <selection pane="bottomLeft" activeCell="A7" sqref="A7"/>
      <selection pane="bottomRight" activeCell="G28" sqref="E28:G28"/>
    </sheetView>
  </sheetViews>
  <sheetFormatPr defaultColWidth="14.42578125" defaultRowHeight="15" customHeight="1" x14ac:dyDescent="0.25"/>
  <cols>
    <col min="1" max="1" width="1.28515625" customWidth="1"/>
    <col min="2" max="2" width="1.7109375" customWidth="1"/>
    <col min="3" max="3" width="11.28515625" bestFit="1" customWidth="1"/>
    <col min="4" max="4" width="8.5703125" customWidth="1"/>
    <col min="5" max="5" width="12.28515625" bestFit="1" customWidth="1"/>
    <col min="6" max="6" width="16.28515625" bestFit="1" customWidth="1"/>
    <col min="7" max="10" width="8.140625" bestFit="1" customWidth="1"/>
    <col min="11" max="11" width="8.5703125" bestFit="1" customWidth="1"/>
    <col min="12" max="12" width="8.7109375" bestFit="1" customWidth="1"/>
    <col min="13" max="14" width="8.140625" bestFit="1" customWidth="1"/>
    <col min="15" max="15" width="8.5703125" bestFit="1" customWidth="1"/>
    <col min="16" max="19" width="8.140625" bestFit="1" customWidth="1"/>
    <col min="20" max="20" width="8.5703125" bestFit="1" customWidth="1"/>
    <col min="21" max="21" width="9.85546875" bestFit="1" customWidth="1"/>
    <col min="22" max="28" width="8.140625" bestFit="1" customWidth="1"/>
    <col min="29" max="29" width="8.5703125" bestFit="1" customWidth="1"/>
    <col min="30" max="32" width="8.140625" bestFit="1" customWidth="1"/>
    <col min="33" max="33" width="8.85546875" bestFit="1" customWidth="1"/>
    <col min="34" max="36" width="8.140625" bestFit="1" customWidth="1"/>
    <col min="37" max="37" width="2" customWidth="1"/>
    <col min="38" max="38" width="3.42578125" bestFit="1" customWidth="1"/>
    <col min="39" max="39" width="22.85546875" bestFit="1" customWidth="1"/>
    <col min="40" max="40" width="16" bestFit="1" customWidth="1"/>
    <col min="42" max="42" width="5.5703125" bestFit="1" customWidth="1"/>
    <col min="43" max="43" width="5" bestFit="1" customWidth="1"/>
  </cols>
  <sheetData>
    <row r="1" spans="1:43" ht="6.75" customHeight="1" thickBot="1" x14ac:dyDescent="0.3">
      <c r="B1" s="96"/>
      <c r="C1" s="96"/>
      <c r="D1" s="96"/>
      <c r="E1" s="24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</row>
    <row r="2" spans="1:43" x14ac:dyDescent="0.25">
      <c r="A2" s="121"/>
      <c r="B2" s="96"/>
      <c r="D2" s="144"/>
      <c r="E2" s="74" t="s">
        <v>45</v>
      </c>
      <c r="F2" s="75">
        <f>SUM(E7:E31)</f>
        <v>-1915.3933333333332</v>
      </c>
      <c r="G2" s="12"/>
      <c r="H2" s="48">
        <f t="shared" ref="H2:AJ2" si="0">H6/$AN$9</f>
        <v>0</v>
      </c>
      <c r="I2" s="48">
        <f t="shared" si="0"/>
        <v>1.9861650424991044E-2</v>
      </c>
      <c r="J2" s="48">
        <f t="shared" si="0"/>
        <v>1.3375197074391151E-2</v>
      </c>
      <c r="K2" s="48">
        <f t="shared" si="0"/>
        <v>3.0650695100294823E-2</v>
      </c>
      <c r="L2" s="48">
        <f t="shared" si="0"/>
        <v>1.0980611519680621E-2</v>
      </c>
      <c r="M2" s="48">
        <f t="shared" si="0"/>
        <v>9.0764370865748043E-3</v>
      </c>
      <c r="N2" s="48">
        <f t="shared" si="0"/>
        <v>8.4595918476813702E-3</v>
      </c>
      <c r="O2" s="48">
        <f t="shared" si="0"/>
        <v>2.327537159178638E-2</v>
      </c>
      <c r="P2" s="48">
        <f t="shared" si="0"/>
        <v>2.2800285817731813E-2</v>
      </c>
      <c r="Q2" s="48">
        <f t="shared" si="0"/>
        <v>0.22099151167312567</v>
      </c>
      <c r="R2" s="48">
        <f t="shared" si="0"/>
        <v>2.8072205374982524E-2</v>
      </c>
      <c r="S2" s="48">
        <f t="shared" si="0"/>
        <v>1.7241015993915837E-2</v>
      </c>
      <c r="T2" s="48">
        <f t="shared" si="0"/>
        <v>3.4826852307709995E-2</v>
      </c>
      <c r="U2" s="48">
        <f t="shared" si="0"/>
        <v>1.8087741446061487E-2</v>
      </c>
      <c r="V2" s="48">
        <f t="shared" si="0"/>
        <v>7.6435170906360211E-3</v>
      </c>
      <c r="W2" s="48">
        <f t="shared" si="0"/>
        <v>1.4367513328263198E-2</v>
      </c>
      <c r="X2" s="48">
        <f t="shared" si="0"/>
        <v>1.3654884667181344E-2</v>
      </c>
      <c r="Y2" s="48">
        <f t="shared" si="0"/>
        <v>1.2543796969795655E-2</v>
      </c>
      <c r="Z2" s="48">
        <f t="shared" si="0"/>
        <v>1.321044958822707E-2</v>
      </c>
      <c r="AA2" s="48">
        <f t="shared" si="0"/>
        <v>0</v>
      </c>
      <c r="AB2" s="48">
        <f t="shared" si="0"/>
        <v>8.9614969799486997E-3</v>
      </c>
      <c r="AC2" s="48">
        <f t="shared" si="0"/>
        <v>0</v>
      </c>
      <c r="AD2" s="48">
        <f t="shared" si="0"/>
        <v>1.3555269908105386E-2</v>
      </c>
      <c r="AE2" s="48">
        <f t="shared" si="0"/>
        <v>2.4581857470436445E-2</v>
      </c>
      <c r="AF2" s="48">
        <f t="shared" si="0"/>
        <v>3.6777002783466253E-2</v>
      </c>
      <c r="AG2" s="48">
        <f t="shared" si="0"/>
        <v>3.2378628036573945E-2</v>
      </c>
      <c r="AH2" s="48">
        <f t="shared" si="0"/>
        <v>0</v>
      </c>
      <c r="AI2" s="48">
        <f t="shared" si="0"/>
        <v>1.09576234983554E-2</v>
      </c>
      <c r="AJ2" s="48">
        <f t="shared" si="0"/>
        <v>2.3026334694096488E-2</v>
      </c>
      <c r="AK2" s="97"/>
    </row>
    <row r="3" spans="1:43" hidden="1" x14ac:dyDescent="0.25">
      <c r="A3" s="54"/>
      <c r="B3" s="96"/>
      <c r="D3" s="54"/>
      <c r="E3" s="76"/>
      <c r="F3" s="77"/>
      <c r="G3" s="1"/>
      <c r="H3" s="55" t="str">
        <f t="shared" ref="H3:AJ3" si="1">IF(OR(H4="sex",H4="sáb",H4="dom"),"fds","sem")</f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55" t="str">
        <f t="shared" si="1"/>
        <v>sem</v>
      </c>
      <c r="AJ3" s="55" t="str">
        <f t="shared" si="1"/>
        <v>sem</v>
      </c>
      <c r="AK3" s="96"/>
    </row>
    <row r="4" spans="1:43" x14ac:dyDescent="0.25">
      <c r="A4" s="146"/>
      <c r="B4" s="96"/>
      <c r="D4" s="86"/>
      <c r="E4" s="79" t="s">
        <v>47</v>
      </c>
      <c r="F4" s="102">
        <f>E32+F2</f>
        <v>1813.2566666666669</v>
      </c>
      <c r="G4" s="104" t="s">
        <v>7</v>
      </c>
      <c r="H4" s="105" t="str">
        <f t="shared" ref="H4:AJ4" si="2">TEXT(H5,"ddd")</f>
        <v>Sat</v>
      </c>
      <c r="I4" s="105" t="str">
        <f t="shared" si="2"/>
        <v>Sun</v>
      </c>
      <c r="J4" s="105" t="str">
        <f t="shared" si="2"/>
        <v>Mon</v>
      </c>
      <c r="K4" s="105" t="str">
        <f t="shared" si="2"/>
        <v>Tue</v>
      </c>
      <c r="L4" s="105" t="str">
        <f t="shared" si="2"/>
        <v>Wed</v>
      </c>
      <c r="M4" s="105" t="str">
        <f t="shared" si="2"/>
        <v>Thu</v>
      </c>
      <c r="N4" s="105" t="str">
        <f t="shared" si="2"/>
        <v>Fri</v>
      </c>
      <c r="O4" s="105" t="str">
        <f t="shared" si="2"/>
        <v>Sat</v>
      </c>
      <c r="P4" s="105" t="str">
        <f t="shared" si="2"/>
        <v>Sun</v>
      </c>
      <c r="Q4" s="105" t="str">
        <f t="shared" si="2"/>
        <v>Mon</v>
      </c>
      <c r="R4" s="105" t="str">
        <f t="shared" si="2"/>
        <v>Tue</v>
      </c>
      <c r="S4" s="105" t="str">
        <f t="shared" si="2"/>
        <v>Wed</v>
      </c>
      <c r="T4" s="105" t="str">
        <f t="shared" si="2"/>
        <v>Thu</v>
      </c>
      <c r="U4" s="105" t="str">
        <f t="shared" si="2"/>
        <v>Fri</v>
      </c>
      <c r="V4" s="105" t="str">
        <f t="shared" si="2"/>
        <v>Sat</v>
      </c>
      <c r="W4" s="105" t="str">
        <f t="shared" si="2"/>
        <v>Sun</v>
      </c>
      <c r="X4" s="105" t="str">
        <f t="shared" si="2"/>
        <v>Mon</v>
      </c>
      <c r="Y4" s="105" t="str">
        <f t="shared" si="2"/>
        <v>Tue</v>
      </c>
      <c r="Z4" s="105" t="str">
        <f t="shared" si="2"/>
        <v>Wed</v>
      </c>
      <c r="AA4" s="105" t="str">
        <f t="shared" si="2"/>
        <v>Thu</v>
      </c>
      <c r="AB4" s="105" t="str">
        <f t="shared" si="2"/>
        <v>Fri</v>
      </c>
      <c r="AC4" s="105" t="str">
        <f t="shared" si="2"/>
        <v>Sat</v>
      </c>
      <c r="AD4" s="105" t="str">
        <f t="shared" si="2"/>
        <v>Sun</v>
      </c>
      <c r="AE4" s="105" t="str">
        <f t="shared" si="2"/>
        <v>Mon</v>
      </c>
      <c r="AF4" s="105" t="str">
        <f t="shared" si="2"/>
        <v>Tue</v>
      </c>
      <c r="AG4" s="105" t="str">
        <f t="shared" si="2"/>
        <v>Wed</v>
      </c>
      <c r="AH4" s="105" t="str">
        <f t="shared" si="2"/>
        <v>Thu</v>
      </c>
      <c r="AI4" s="105" t="str">
        <f t="shared" si="2"/>
        <v>Fri</v>
      </c>
      <c r="AJ4" s="105" t="str">
        <f t="shared" si="2"/>
        <v>Sat</v>
      </c>
      <c r="AK4" s="96"/>
    </row>
    <row r="5" spans="1:43" ht="15.75" thickBot="1" x14ac:dyDescent="0.3">
      <c r="A5" s="149"/>
      <c r="B5" s="96"/>
      <c r="D5" s="150"/>
      <c r="E5" s="81" t="s">
        <v>51</v>
      </c>
      <c r="F5" s="108">
        <f>-F4/-E32</f>
        <v>0.48630380075004809</v>
      </c>
      <c r="G5" s="109"/>
      <c r="H5" s="111">
        <f>DATE($AP$8,$AP$10,1)</f>
        <v>43862</v>
      </c>
      <c r="I5" s="111">
        <f t="shared" ref="I5:AJ5" si="3">H5+1</f>
        <v>43863</v>
      </c>
      <c r="J5" s="111">
        <f t="shared" si="3"/>
        <v>43864</v>
      </c>
      <c r="K5" s="111">
        <f t="shared" si="3"/>
        <v>43865</v>
      </c>
      <c r="L5" s="111">
        <f t="shared" si="3"/>
        <v>43866</v>
      </c>
      <c r="M5" s="111">
        <f t="shared" si="3"/>
        <v>43867</v>
      </c>
      <c r="N5" s="111">
        <f t="shared" si="3"/>
        <v>43868</v>
      </c>
      <c r="O5" s="111">
        <f t="shared" si="3"/>
        <v>43869</v>
      </c>
      <c r="P5" s="111">
        <f t="shared" si="3"/>
        <v>43870</v>
      </c>
      <c r="Q5" s="111">
        <f t="shared" si="3"/>
        <v>43871</v>
      </c>
      <c r="R5" s="111">
        <f t="shared" si="3"/>
        <v>43872</v>
      </c>
      <c r="S5" s="111">
        <f t="shared" si="3"/>
        <v>43873</v>
      </c>
      <c r="T5" s="111">
        <f t="shared" si="3"/>
        <v>43874</v>
      </c>
      <c r="U5" s="111">
        <f t="shared" si="3"/>
        <v>43875</v>
      </c>
      <c r="V5" s="111">
        <f t="shared" si="3"/>
        <v>43876</v>
      </c>
      <c r="W5" s="111">
        <f t="shared" si="3"/>
        <v>43877</v>
      </c>
      <c r="X5" s="111">
        <f t="shared" si="3"/>
        <v>43878</v>
      </c>
      <c r="Y5" s="111">
        <f t="shared" si="3"/>
        <v>43879</v>
      </c>
      <c r="Z5" s="111">
        <f t="shared" si="3"/>
        <v>43880</v>
      </c>
      <c r="AA5" s="111">
        <f t="shared" si="3"/>
        <v>43881</v>
      </c>
      <c r="AB5" s="111">
        <f t="shared" si="3"/>
        <v>43882</v>
      </c>
      <c r="AC5" s="111">
        <f t="shared" si="3"/>
        <v>43883</v>
      </c>
      <c r="AD5" s="111">
        <f t="shared" si="3"/>
        <v>43884</v>
      </c>
      <c r="AE5" s="111">
        <f t="shared" si="3"/>
        <v>43885</v>
      </c>
      <c r="AF5" s="111">
        <f t="shared" si="3"/>
        <v>43886</v>
      </c>
      <c r="AG5" s="111">
        <f t="shared" si="3"/>
        <v>43887</v>
      </c>
      <c r="AH5" s="111">
        <f t="shared" si="3"/>
        <v>43888</v>
      </c>
      <c r="AI5" s="111">
        <f t="shared" si="3"/>
        <v>43889</v>
      </c>
      <c r="AJ5" s="111">
        <f t="shared" si="3"/>
        <v>43890</v>
      </c>
      <c r="AK5" s="96"/>
    </row>
    <row r="6" spans="1:43" ht="15.75" thickBot="1" x14ac:dyDescent="0.3">
      <c r="B6" s="96"/>
      <c r="C6" s="153" t="s">
        <v>105</v>
      </c>
      <c r="D6" s="153" t="s">
        <v>104</v>
      </c>
      <c r="E6" s="153"/>
      <c r="F6" s="154" t="s">
        <v>106</v>
      </c>
      <c r="G6" s="155">
        <f>SUM(G8:G30)</f>
        <v>0.66300646282677311</v>
      </c>
      <c r="H6" s="156">
        <f t="shared" ref="H6:AJ6" si="4">SUM(H7:H30)</f>
        <v>0</v>
      </c>
      <c r="I6" s="156">
        <f t="shared" si="4"/>
        <v>-51.839999999999996</v>
      </c>
      <c r="J6" s="156">
        <f t="shared" si="4"/>
        <v>-34.909999999999997</v>
      </c>
      <c r="K6" s="156">
        <f t="shared" si="4"/>
        <v>-80</v>
      </c>
      <c r="L6" s="156">
        <f t="shared" si="4"/>
        <v>-28.66</v>
      </c>
      <c r="M6" s="156">
        <f t="shared" si="4"/>
        <v>-23.69</v>
      </c>
      <c r="N6" s="156">
        <f t="shared" si="4"/>
        <v>-22.08</v>
      </c>
      <c r="O6" s="156">
        <f t="shared" si="4"/>
        <v>-60.75</v>
      </c>
      <c r="P6" s="156">
        <f t="shared" si="4"/>
        <v>-59.510000000000005</v>
      </c>
      <c r="Q6" s="156">
        <f t="shared" si="4"/>
        <v>-576.79999999999995</v>
      </c>
      <c r="R6" s="156">
        <f t="shared" si="4"/>
        <v>-73.27000000000001</v>
      </c>
      <c r="S6" s="156">
        <f t="shared" si="4"/>
        <v>-45</v>
      </c>
      <c r="T6" s="156">
        <f t="shared" si="4"/>
        <v>-90.9</v>
      </c>
      <c r="U6" s="156">
        <f t="shared" si="4"/>
        <v>-47.210000000000008</v>
      </c>
      <c r="V6" s="156">
        <f t="shared" si="4"/>
        <v>-19.95</v>
      </c>
      <c r="W6" s="156">
        <f t="shared" si="4"/>
        <v>-37.5</v>
      </c>
      <c r="X6" s="156">
        <f t="shared" si="4"/>
        <v>-35.64</v>
      </c>
      <c r="Y6" s="156">
        <f t="shared" si="4"/>
        <v>-32.739999999999995</v>
      </c>
      <c r="Z6" s="156">
        <f t="shared" si="4"/>
        <v>-34.480000000000004</v>
      </c>
      <c r="AA6" s="156">
        <f t="shared" si="4"/>
        <v>0</v>
      </c>
      <c r="AB6" s="156">
        <f t="shared" si="4"/>
        <v>-23.39</v>
      </c>
      <c r="AC6" s="156">
        <f t="shared" si="4"/>
        <v>0</v>
      </c>
      <c r="AD6" s="156">
        <f t="shared" si="4"/>
        <v>-35.380000000000003</v>
      </c>
      <c r="AE6" s="156">
        <f t="shared" si="4"/>
        <v>-64.16</v>
      </c>
      <c r="AF6" s="156">
        <f t="shared" si="4"/>
        <v>-95.990000000000009</v>
      </c>
      <c r="AG6" s="156">
        <f t="shared" si="4"/>
        <v>-84.51</v>
      </c>
      <c r="AH6" s="156">
        <f t="shared" si="4"/>
        <v>0</v>
      </c>
      <c r="AI6" s="156">
        <f t="shared" si="4"/>
        <v>-28.6</v>
      </c>
      <c r="AJ6" s="156">
        <f t="shared" si="4"/>
        <v>-60.1</v>
      </c>
      <c r="AK6" s="96"/>
    </row>
    <row r="7" spans="1:43" ht="17.25" x14ac:dyDescent="0.3">
      <c r="B7" s="96"/>
      <c r="C7" s="121">
        <f t="shared" ref="C7:C30" si="5">E7-D7</f>
        <v>15.090000000000003</v>
      </c>
      <c r="D7" s="258">
        <f>AN17</f>
        <v>-200</v>
      </c>
      <c r="E7" s="256">
        <f t="shared" ref="E7:E32" si="6">SUM(H7:AJ7)</f>
        <v>-184.91</v>
      </c>
      <c r="F7" s="257" t="s">
        <v>127</v>
      </c>
      <c r="G7" s="88">
        <f t="shared" ref="G7:G31" si="7">E7/$AN$9</f>
        <v>7.084525038744395E-2</v>
      </c>
      <c r="H7" s="177" t="s">
        <v>66</v>
      </c>
      <c r="I7" s="177" t="s">
        <v>66</v>
      </c>
      <c r="J7" s="177" t="s">
        <v>66</v>
      </c>
      <c r="K7" s="177" t="s">
        <v>66</v>
      </c>
      <c r="L7" s="177">
        <f>-24.52</f>
        <v>-24.52</v>
      </c>
      <c r="M7" s="177" t="s">
        <v>66</v>
      </c>
      <c r="N7" s="177" t="s">
        <v>66</v>
      </c>
      <c r="O7" s="177" t="s">
        <v>66</v>
      </c>
      <c r="P7" s="177" t="s">
        <v>66</v>
      </c>
      <c r="Q7" s="177" t="s">
        <v>66</v>
      </c>
      <c r="R7" s="177">
        <f>-24.5</f>
        <v>-24.5</v>
      </c>
      <c r="S7" s="177" t="s">
        <v>66</v>
      </c>
      <c r="T7" s="177">
        <f>-10.9</f>
        <v>-10.9</v>
      </c>
      <c r="U7" s="177">
        <f>-24.51</f>
        <v>-24.51</v>
      </c>
      <c r="V7" s="177" t="s">
        <v>66</v>
      </c>
      <c r="W7" s="177" t="s">
        <v>66</v>
      </c>
      <c r="X7" s="177" t="s">
        <v>66</v>
      </c>
      <c r="Y7" s="177" t="s">
        <v>66</v>
      </c>
      <c r="Z7" s="177">
        <f>-28.48</f>
        <v>-28.48</v>
      </c>
      <c r="AA7" s="177" t="s">
        <v>66</v>
      </c>
      <c r="AB7" s="177">
        <f>-18.89</f>
        <v>-18.89</v>
      </c>
      <c r="AC7" s="177" t="s">
        <v>66</v>
      </c>
      <c r="AD7" s="177" t="s">
        <v>66</v>
      </c>
      <c r="AE7" s="177" t="s">
        <v>66</v>
      </c>
      <c r="AF7" s="177" t="s">
        <v>66</v>
      </c>
      <c r="AG7" s="177">
        <f>-24.51</f>
        <v>-24.51</v>
      </c>
      <c r="AH7" s="177" t="s">
        <v>66</v>
      </c>
      <c r="AI7" s="177">
        <f>-28.6</f>
        <v>-28.6</v>
      </c>
      <c r="AJ7" s="238" t="s">
        <v>66</v>
      </c>
      <c r="AK7" s="96"/>
      <c r="AM7" s="285" t="s">
        <v>100</v>
      </c>
      <c r="AN7" s="286"/>
    </row>
    <row r="8" spans="1:43" x14ac:dyDescent="0.25">
      <c r="B8" s="96"/>
      <c r="C8" s="121">
        <f t="shared" si="5"/>
        <v>65.75</v>
      </c>
      <c r="D8" s="260">
        <f>AN24</f>
        <v>-250</v>
      </c>
      <c r="E8" s="261">
        <f t="shared" si="6"/>
        <v>-184.25</v>
      </c>
      <c r="F8" s="259" t="s">
        <v>107</v>
      </c>
      <c r="G8" s="253">
        <f t="shared" si="7"/>
        <v>7.059238215286652E-2</v>
      </c>
      <c r="H8" s="255" t="s">
        <v>66</v>
      </c>
      <c r="I8" s="255">
        <f>-10.4</f>
        <v>-10.4</v>
      </c>
      <c r="J8" s="255" t="s">
        <v>66</v>
      </c>
      <c r="K8" s="255" t="s">
        <v>66</v>
      </c>
      <c r="L8" s="255" t="s">
        <v>66</v>
      </c>
      <c r="M8" s="255">
        <f>-20</f>
        <v>-20</v>
      </c>
      <c r="N8" s="255" t="s">
        <v>66</v>
      </c>
      <c r="O8" s="255">
        <f>-18.9</f>
        <v>-18.899999999999999</v>
      </c>
      <c r="P8" s="255">
        <f>-24.3</f>
        <v>-24.3</v>
      </c>
      <c r="Q8" s="255">
        <f>-11</f>
        <v>-11</v>
      </c>
      <c r="R8" s="255" t="s">
        <v>66</v>
      </c>
      <c r="S8" s="255" t="s">
        <v>66</v>
      </c>
      <c r="T8" s="255" t="s">
        <v>66</v>
      </c>
      <c r="U8" s="255" t="s">
        <v>66</v>
      </c>
      <c r="V8" s="255" t="s">
        <v>66</v>
      </c>
      <c r="W8" s="255">
        <f>-22</f>
        <v>-22</v>
      </c>
      <c r="X8" s="255" t="s">
        <v>66</v>
      </c>
      <c r="Y8" s="255" t="s">
        <v>66</v>
      </c>
      <c r="Z8" s="255">
        <f>-6</f>
        <v>-6</v>
      </c>
      <c r="AA8" s="255" t="s">
        <v>66</v>
      </c>
      <c r="AB8" s="255" t="s">
        <v>66</v>
      </c>
      <c r="AC8" s="255" t="s">
        <v>66</v>
      </c>
      <c r="AD8" s="255" t="s">
        <v>66</v>
      </c>
      <c r="AE8" s="255">
        <f>-47.85</f>
        <v>-47.85</v>
      </c>
      <c r="AF8" s="255" t="s">
        <v>66</v>
      </c>
      <c r="AG8" s="255" t="s">
        <v>66</v>
      </c>
      <c r="AH8" s="255" t="s">
        <v>66</v>
      </c>
      <c r="AI8" s="255" t="s">
        <v>66</v>
      </c>
      <c r="AJ8" s="254">
        <f>-16.8-7</f>
        <v>-23.8</v>
      </c>
      <c r="AK8" s="96" t="s">
        <v>66</v>
      </c>
      <c r="AN8" s="172"/>
      <c r="AP8" s="78">
        <v>2020</v>
      </c>
      <c r="AQ8" s="56">
        <f ca="1">TODAY()</f>
        <v>43926</v>
      </c>
    </row>
    <row r="9" spans="1:43" x14ac:dyDescent="0.25">
      <c r="A9" s="158"/>
      <c r="B9" s="96"/>
      <c r="C9" s="121">
        <f t="shared" si="5"/>
        <v>3</v>
      </c>
      <c r="D9" s="258">
        <f>AN25</f>
        <v>-20</v>
      </c>
      <c r="E9" s="256">
        <f t="shared" si="6"/>
        <v>-17</v>
      </c>
      <c r="F9" s="257" t="s">
        <v>22</v>
      </c>
      <c r="G9" s="88">
        <f t="shared" si="7"/>
        <v>6.5132727088126497E-3</v>
      </c>
      <c r="H9" s="177" t="s">
        <v>66</v>
      </c>
      <c r="I9" s="177" t="s">
        <v>66</v>
      </c>
      <c r="J9" s="177" t="s">
        <v>66</v>
      </c>
      <c r="K9" s="177" t="s">
        <v>66</v>
      </c>
      <c r="L9" s="177" t="s">
        <v>66</v>
      </c>
      <c r="M9" s="177" t="s">
        <v>66</v>
      </c>
      <c r="N9" s="177">
        <v>-5</v>
      </c>
      <c r="O9" s="177" t="s">
        <v>66</v>
      </c>
      <c r="P9" s="177" t="s">
        <v>66</v>
      </c>
      <c r="Q9" s="177" t="s">
        <v>66</v>
      </c>
      <c r="R9" s="177">
        <f>-4</f>
        <v>-4</v>
      </c>
      <c r="S9" s="177" t="s">
        <v>66</v>
      </c>
      <c r="T9" s="177" t="s">
        <v>66</v>
      </c>
      <c r="U9" s="177" t="s">
        <v>66</v>
      </c>
      <c r="V9" s="177" t="s">
        <v>66</v>
      </c>
      <c r="W9" s="177">
        <f>-3.5</f>
        <v>-3.5</v>
      </c>
      <c r="X9" s="177" t="s">
        <v>66</v>
      </c>
      <c r="Y9" s="177" t="s">
        <v>66</v>
      </c>
      <c r="Z9" s="177" t="s">
        <v>66</v>
      </c>
      <c r="AA9" s="177" t="s">
        <v>66</v>
      </c>
      <c r="AB9" s="177">
        <v>-4.5</v>
      </c>
      <c r="AC9" s="177" t="s">
        <v>66</v>
      </c>
      <c r="AD9" s="266" t="s">
        <v>66</v>
      </c>
      <c r="AE9" s="266" t="s">
        <v>66</v>
      </c>
      <c r="AF9" s="177" t="s">
        <v>66</v>
      </c>
      <c r="AG9" s="177" t="s">
        <v>66</v>
      </c>
      <c r="AH9" s="177" t="s">
        <v>66</v>
      </c>
      <c r="AI9" s="177" t="s">
        <v>66</v>
      </c>
      <c r="AJ9" s="177" t="s">
        <v>66</v>
      </c>
      <c r="AK9" s="96" t="s">
        <v>66</v>
      </c>
      <c r="AM9" s="145" t="s">
        <v>101</v>
      </c>
      <c r="AN9" s="173">
        <f>-E32*(1-AN11)</f>
        <v>-2610.0549999999998</v>
      </c>
      <c r="AP9" s="78" t="s">
        <v>1</v>
      </c>
      <c r="AQ9" s="1" t="str">
        <f ca="1">IF(Y5=AQ8,"sim","não")</f>
        <v>não</v>
      </c>
    </row>
    <row r="10" spans="1:43" x14ac:dyDescent="0.25">
      <c r="B10" s="96"/>
      <c r="C10" s="121">
        <f t="shared" si="5"/>
        <v>-1.8000000000000007</v>
      </c>
      <c r="D10" s="260">
        <f>AN32</f>
        <v>-15</v>
      </c>
      <c r="E10" s="261">
        <f t="shared" si="6"/>
        <v>-16.8</v>
      </c>
      <c r="F10" s="259" t="s">
        <v>109</v>
      </c>
      <c r="G10" s="253">
        <f t="shared" si="7"/>
        <v>6.4366459710619136E-3</v>
      </c>
      <c r="H10" s="255" t="s">
        <v>66</v>
      </c>
      <c r="I10" s="255">
        <f>-1.5</f>
        <v>-1.5</v>
      </c>
      <c r="J10" s="255" t="s">
        <v>66</v>
      </c>
      <c r="K10" s="255" t="s">
        <v>66</v>
      </c>
      <c r="L10" s="255" t="s">
        <v>66</v>
      </c>
      <c r="M10" s="255" t="s">
        <v>66</v>
      </c>
      <c r="N10" s="255" t="s">
        <v>66</v>
      </c>
      <c r="O10" s="255" t="s">
        <v>66</v>
      </c>
      <c r="P10" s="255">
        <f>-6</f>
        <v>-6</v>
      </c>
      <c r="Q10" s="255" t="s">
        <v>66</v>
      </c>
      <c r="R10" s="255" t="s">
        <v>66</v>
      </c>
      <c r="S10" s="255" t="s">
        <v>66</v>
      </c>
      <c r="T10" s="255" t="s">
        <v>66</v>
      </c>
      <c r="U10" s="255" t="s">
        <v>66</v>
      </c>
      <c r="V10" s="255" t="s">
        <v>66</v>
      </c>
      <c r="W10" s="255" t="s">
        <v>66</v>
      </c>
      <c r="X10" s="255" t="s">
        <v>66</v>
      </c>
      <c r="Y10" s="255" t="s">
        <v>66</v>
      </c>
      <c r="Z10" s="255" t="s">
        <v>66</v>
      </c>
      <c r="AA10" s="255" t="s">
        <v>66</v>
      </c>
      <c r="AB10" s="255" t="s">
        <v>66</v>
      </c>
      <c r="AC10" s="255" t="s">
        <v>66</v>
      </c>
      <c r="AD10" s="255" t="s">
        <v>66</v>
      </c>
      <c r="AE10" s="255" t="s">
        <v>66</v>
      </c>
      <c r="AF10" s="255" t="s">
        <v>66</v>
      </c>
      <c r="AG10" s="255" t="s">
        <v>66</v>
      </c>
      <c r="AH10" s="255" t="s">
        <v>66</v>
      </c>
      <c r="AI10" s="255" t="s">
        <v>66</v>
      </c>
      <c r="AJ10" s="255">
        <f>-7.8-1.5</f>
        <v>-9.3000000000000007</v>
      </c>
      <c r="AK10" s="96" t="s">
        <v>66</v>
      </c>
      <c r="AM10" s="147" t="s">
        <v>102</v>
      </c>
      <c r="AN10" s="174"/>
      <c r="AP10" s="78">
        <v>2</v>
      </c>
    </row>
    <row r="11" spans="1:43" x14ac:dyDescent="0.25">
      <c r="B11" s="96"/>
      <c r="C11" s="121">
        <f t="shared" si="5"/>
        <v>10</v>
      </c>
      <c r="D11" s="258">
        <f>AN33</f>
        <v>-40</v>
      </c>
      <c r="E11" s="256">
        <f t="shared" si="6"/>
        <v>-30</v>
      </c>
      <c r="F11" s="257" t="s">
        <v>81</v>
      </c>
      <c r="G11" s="88">
        <f t="shared" si="7"/>
        <v>1.1494010662610559E-2</v>
      </c>
      <c r="H11" s="177" t="s">
        <v>66</v>
      </c>
      <c r="I11" s="177" t="s">
        <v>66</v>
      </c>
      <c r="J11" s="177" t="s">
        <v>66</v>
      </c>
      <c r="K11" s="177" t="s">
        <v>66</v>
      </c>
      <c r="L11" s="177" t="s">
        <v>66</v>
      </c>
      <c r="M11" s="177" t="s">
        <v>66</v>
      </c>
      <c r="N11" s="177" t="s">
        <v>66</v>
      </c>
      <c r="O11" s="177" t="s">
        <v>66</v>
      </c>
      <c r="P11" s="278" t="s">
        <v>66</v>
      </c>
      <c r="Q11" s="177" t="s">
        <v>66</v>
      </c>
      <c r="R11" s="177" t="s">
        <v>66</v>
      </c>
      <c r="S11" s="177" t="s">
        <v>66</v>
      </c>
      <c r="T11" s="177" t="s">
        <v>66</v>
      </c>
      <c r="U11" s="177" t="s">
        <v>66</v>
      </c>
      <c r="V11" s="177" t="s">
        <v>66</v>
      </c>
      <c r="W11" s="177" t="s">
        <v>66</v>
      </c>
      <c r="X11" s="177" t="s">
        <v>66</v>
      </c>
      <c r="Y11" s="177" t="s">
        <v>66</v>
      </c>
      <c r="Z11" s="177" t="s">
        <v>66</v>
      </c>
      <c r="AA11" s="177" t="s">
        <v>66</v>
      </c>
      <c r="AB11" s="177" t="s">
        <v>66</v>
      </c>
      <c r="AC11" s="177" t="s">
        <v>66</v>
      </c>
      <c r="AD11" s="177">
        <v>-10</v>
      </c>
      <c r="AE11" s="177" t="s">
        <v>66</v>
      </c>
      <c r="AF11" s="177" t="s">
        <v>66</v>
      </c>
      <c r="AG11" s="177">
        <f>-20</f>
        <v>-20</v>
      </c>
      <c r="AH11" s="177" t="s">
        <v>66</v>
      </c>
      <c r="AI11" s="177" t="s">
        <v>66</v>
      </c>
      <c r="AJ11" s="177" t="s">
        <v>66</v>
      </c>
      <c r="AK11" s="96" t="s">
        <v>66</v>
      </c>
      <c r="AM11" s="151" t="s">
        <v>103</v>
      </c>
      <c r="AN11" s="175">
        <v>0.3</v>
      </c>
    </row>
    <row r="12" spans="1:43" x14ac:dyDescent="0.25">
      <c r="B12" s="96"/>
      <c r="C12" s="121">
        <f t="shared" si="5"/>
        <v>18.389999999999986</v>
      </c>
      <c r="D12" s="260">
        <f>AN19</f>
        <v>-200</v>
      </c>
      <c r="E12" s="261">
        <f t="shared" si="6"/>
        <v>-181.61</v>
      </c>
      <c r="F12" s="259" t="s">
        <v>130</v>
      </c>
      <c r="G12" s="253">
        <f t="shared" si="7"/>
        <v>6.9580909214556785E-2</v>
      </c>
      <c r="H12" s="255" t="s">
        <v>66</v>
      </c>
      <c r="I12" s="255" t="s">
        <v>66</v>
      </c>
      <c r="J12" s="255">
        <f>-34.91</f>
        <v>-34.909999999999997</v>
      </c>
      <c r="K12" s="255" t="s">
        <v>66</v>
      </c>
      <c r="L12" s="255">
        <f>-(28.66-24.52)</f>
        <v>-4.1400000000000006</v>
      </c>
      <c r="M12" s="255" t="s">
        <v>66</v>
      </c>
      <c r="N12" s="255" t="s">
        <v>66</v>
      </c>
      <c r="O12" s="255" t="s">
        <v>66</v>
      </c>
      <c r="P12" s="255">
        <f>-6.15</f>
        <v>-6.15</v>
      </c>
      <c r="Q12" s="254" t="s">
        <v>66</v>
      </c>
      <c r="R12" s="255">
        <f>-44.77</f>
        <v>-44.77</v>
      </c>
      <c r="S12" s="255" t="s">
        <v>66</v>
      </c>
      <c r="T12" s="255" t="s">
        <v>66</v>
      </c>
      <c r="U12" s="255">
        <f>-16</f>
        <v>-16</v>
      </c>
      <c r="V12" s="255" t="s">
        <v>66</v>
      </c>
      <c r="W12" s="255" t="s">
        <v>66</v>
      </c>
      <c r="X12" s="255">
        <f>-35.64</f>
        <v>-35.64</v>
      </c>
      <c r="Y12" s="255" t="s">
        <v>66</v>
      </c>
      <c r="Z12" s="255" t="s">
        <v>66</v>
      </c>
      <c r="AA12" s="255" t="s">
        <v>66</v>
      </c>
      <c r="AB12" s="255" t="s">
        <v>66</v>
      </c>
      <c r="AC12" s="279" t="s">
        <v>66</v>
      </c>
      <c r="AD12" s="255" t="s">
        <v>66</v>
      </c>
      <c r="AE12" s="255" t="s">
        <v>66</v>
      </c>
      <c r="AF12" s="255" t="s">
        <v>66</v>
      </c>
      <c r="AG12" s="255">
        <f>-40</f>
        <v>-40</v>
      </c>
      <c r="AH12" s="255" t="s">
        <v>66</v>
      </c>
      <c r="AI12" s="255" t="s">
        <v>66</v>
      </c>
      <c r="AJ12" s="255" t="s">
        <v>66</v>
      </c>
      <c r="AK12" s="96" t="s">
        <v>66</v>
      </c>
      <c r="AM12" s="157" t="s">
        <v>108</v>
      </c>
      <c r="AN12" s="176">
        <f>AN15-AN9</f>
        <v>633.16499999999996</v>
      </c>
    </row>
    <row r="13" spans="1:43" x14ac:dyDescent="0.25">
      <c r="B13" s="96"/>
      <c r="C13" s="121">
        <f t="shared" si="5"/>
        <v>6.25</v>
      </c>
      <c r="D13" s="258">
        <f>AN29</f>
        <v>-15</v>
      </c>
      <c r="E13" s="256">
        <f t="shared" si="6"/>
        <v>-8.75</v>
      </c>
      <c r="F13" s="257" t="s">
        <v>131</v>
      </c>
      <c r="G13" s="88">
        <f t="shared" si="7"/>
        <v>3.3524197765947461E-3</v>
      </c>
      <c r="H13" s="177" t="s">
        <v>66</v>
      </c>
      <c r="I13" s="177" t="s">
        <v>66</v>
      </c>
      <c r="J13" s="177" t="s">
        <v>66</v>
      </c>
      <c r="K13" s="177" t="s">
        <v>66</v>
      </c>
      <c r="L13" s="177" t="s">
        <v>66</v>
      </c>
      <c r="M13" s="177" t="s">
        <v>66</v>
      </c>
      <c r="N13" s="177" t="s">
        <v>66</v>
      </c>
      <c r="O13" s="177" t="s">
        <v>66</v>
      </c>
      <c r="P13" s="177" t="s">
        <v>66</v>
      </c>
      <c r="Q13" s="177" t="s">
        <v>66</v>
      </c>
      <c r="R13" s="177" t="s">
        <v>66</v>
      </c>
      <c r="S13" s="177" t="s">
        <v>66</v>
      </c>
      <c r="T13" s="177" t="s">
        <v>66</v>
      </c>
      <c r="U13" s="177" t="s">
        <v>66</v>
      </c>
      <c r="V13" s="177" t="s">
        <v>66</v>
      </c>
      <c r="W13" s="177" t="s">
        <v>66</v>
      </c>
      <c r="X13" s="177" t="s">
        <v>66</v>
      </c>
      <c r="Y13" s="177">
        <f>-8.75</f>
        <v>-8.75</v>
      </c>
      <c r="Z13" s="177" t="s">
        <v>66</v>
      </c>
      <c r="AA13" s="177" t="s">
        <v>66</v>
      </c>
      <c r="AB13" s="177" t="s">
        <v>66</v>
      </c>
      <c r="AC13" s="177" t="s">
        <v>66</v>
      </c>
      <c r="AD13" s="177" t="s">
        <v>66</v>
      </c>
      <c r="AE13" s="177" t="s">
        <v>66</v>
      </c>
      <c r="AF13" s="177" t="s">
        <v>66</v>
      </c>
      <c r="AG13" s="177" t="s">
        <v>66</v>
      </c>
      <c r="AH13" s="177" t="s">
        <v>66</v>
      </c>
      <c r="AI13" s="177" t="s">
        <v>66</v>
      </c>
      <c r="AJ13" s="177" t="s">
        <v>66</v>
      </c>
      <c r="AK13" s="96" t="s">
        <v>66</v>
      </c>
      <c r="AM13" s="54" t="s">
        <v>128</v>
      </c>
      <c r="AN13" s="174">
        <f>E32+AN15</f>
        <v>1751.7600000000002</v>
      </c>
    </row>
    <row r="14" spans="1:43" ht="16.5" x14ac:dyDescent="0.25">
      <c r="B14" s="96"/>
      <c r="C14" s="121">
        <f t="shared" si="5"/>
        <v>5.3199999999999932</v>
      </c>
      <c r="D14" s="260">
        <f>AN22</f>
        <v>-180</v>
      </c>
      <c r="E14" s="261">
        <f t="shared" si="6"/>
        <v>-174.68</v>
      </c>
      <c r="F14" s="259" t="s">
        <v>27</v>
      </c>
      <c r="G14" s="253">
        <f t="shared" si="7"/>
        <v>6.6925792751493754E-2</v>
      </c>
      <c r="H14" s="255" t="s">
        <v>66</v>
      </c>
      <c r="I14" s="255" t="s">
        <v>66</v>
      </c>
      <c r="J14" s="255" t="s">
        <v>66</v>
      </c>
      <c r="K14" s="255">
        <f>-80</f>
        <v>-80</v>
      </c>
      <c r="L14" s="255" t="s">
        <v>66</v>
      </c>
      <c r="M14" s="255">
        <f>-3.69</f>
        <v>-3.69</v>
      </c>
      <c r="N14" s="255" t="s">
        <v>66</v>
      </c>
      <c r="O14" s="255" t="s">
        <v>66</v>
      </c>
      <c r="P14" s="255" t="s">
        <v>66</v>
      </c>
      <c r="Q14" s="255" t="s">
        <v>66</v>
      </c>
      <c r="R14" s="255" t="s">
        <v>66</v>
      </c>
      <c r="S14" s="255" t="s">
        <v>66</v>
      </c>
      <c r="T14" s="255">
        <f>-80</f>
        <v>-80</v>
      </c>
      <c r="U14" s="255" t="s">
        <v>66</v>
      </c>
      <c r="V14" s="255" t="s">
        <v>66</v>
      </c>
      <c r="W14" s="255" t="s">
        <v>66</v>
      </c>
      <c r="X14" s="255" t="s">
        <v>66</v>
      </c>
      <c r="Y14" s="255" t="s">
        <v>66</v>
      </c>
      <c r="Z14" s="255" t="s">
        <v>66</v>
      </c>
      <c r="AA14" s="255" t="s">
        <v>66</v>
      </c>
      <c r="AB14" s="255" t="s">
        <v>66</v>
      </c>
      <c r="AC14" s="255" t="s">
        <v>66</v>
      </c>
      <c r="AD14" s="255">
        <f>-10.99</f>
        <v>-10.99</v>
      </c>
      <c r="AE14" s="255" t="s">
        <v>66</v>
      </c>
      <c r="AF14" s="255" t="s">
        <v>66</v>
      </c>
      <c r="AG14" s="279" t="s">
        <v>66</v>
      </c>
      <c r="AH14" s="255" t="s">
        <v>66</v>
      </c>
      <c r="AI14" s="255" t="s">
        <v>66</v>
      </c>
      <c r="AJ14" s="255" t="s">
        <v>66</v>
      </c>
      <c r="AK14" s="96" t="s">
        <v>66</v>
      </c>
      <c r="AM14" s="54" t="s">
        <v>129</v>
      </c>
      <c r="AN14" s="178">
        <f>AN13/E32</f>
        <v>0.46981078942780902</v>
      </c>
    </row>
    <row r="15" spans="1:43" ht="18.75" x14ac:dyDescent="0.3">
      <c r="B15" s="96"/>
      <c r="C15" s="121">
        <f t="shared" si="5"/>
        <v>60</v>
      </c>
      <c r="D15" s="258">
        <f>AN34</f>
        <v>-60</v>
      </c>
      <c r="E15" s="256">
        <f t="shared" si="6"/>
        <v>0</v>
      </c>
      <c r="F15" s="257" t="s">
        <v>111</v>
      </c>
      <c r="G15" s="88">
        <f t="shared" si="7"/>
        <v>0</v>
      </c>
      <c r="H15" s="177" t="s">
        <v>66</v>
      </c>
      <c r="I15" s="177" t="s">
        <v>66</v>
      </c>
      <c r="J15" s="177" t="s">
        <v>66</v>
      </c>
      <c r="K15" s="177" t="s">
        <v>66</v>
      </c>
      <c r="L15" s="177" t="s">
        <v>66</v>
      </c>
      <c r="M15" s="177" t="s">
        <v>66</v>
      </c>
      <c r="N15" s="177" t="s">
        <v>66</v>
      </c>
      <c r="O15" s="177" t="s">
        <v>66</v>
      </c>
      <c r="P15" s="177" t="s">
        <v>66</v>
      </c>
      <c r="Q15" s="177" t="s">
        <v>66</v>
      </c>
      <c r="R15" s="177" t="s">
        <v>66</v>
      </c>
      <c r="S15" s="177" t="s">
        <v>66</v>
      </c>
      <c r="T15" s="177" t="s">
        <v>66</v>
      </c>
      <c r="U15" s="177" t="s">
        <v>66</v>
      </c>
      <c r="V15" s="177" t="s">
        <v>66</v>
      </c>
      <c r="W15" s="177" t="s">
        <v>66</v>
      </c>
      <c r="X15" s="177" t="s">
        <v>66</v>
      </c>
      <c r="Y15" s="177" t="s">
        <v>66</v>
      </c>
      <c r="Z15" s="177" t="s">
        <v>66</v>
      </c>
      <c r="AA15" s="177" t="s">
        <v>66</v>
      </c>
      <c r="AB15" s="177" t="s">
        <v>66</v>
      </c>
      <c r="AC15" s="177" t="s">
        <v>66</v>
      </c>
      <c r="AD15" s="177" t="s">
        <v>66</v>
      </c>
      <c r="AE15" s="177" t="s">
        <v>66</v>
      </c>
      <c r="AF15" s="177" t="s">
        <v>66</v>
      </c>
      <c r="AG15" s="177" t="s">
        <v>66</v>
      </c>
      <c r="AH15" s="177" t="s">
        <v>66</v>
      </c>
      <c r="AI15" s="177" t="s">
        <v>66</v>
      </c>
      <c r="AJ15" s="177" t="s">
        <v>66</v>
      </c>
      <c r="AK15" s="96" t="s">
        <v>66</v>
      </c>
      <c r="AM15" s="160" t="s">
        <v>110</v>
      </c>
      <c r="AN15" s="179">
        <f>SUM(AN16:AN39)</f>
        <v>-1976.8899999999999</v>
      </c>
    </row>
    <row r="16" spans="1:43" x14ac:dyDescent="0.25">
      <c r="B16" s="96"/>
      <c r="C16" s="121">
        <f t="shared" si="5"/>
        <v>20</v>
      </c>
      <c r="D16" s="260">
        <f>AN31</f>
        <v>-20</v>
      </c>
      <c r="E16" s="261">
        <f t="shared" si="6"/>
        <v>0</v>
      </c>
      <c r="F16" s="259" t="s">
        <v>89</v>
      </c>
      <c r="G16" s="253">
        <f t="shared" si="7"/>
        <v>0</v>
      </c>
      <c r="H16" s="255" t="s">
        <v>66</v>
      </c>
      <c r="I16" s="255" t="s">
        <v>66</v>
      </c>
      <c r="J16" s="255" t="s">
        <v>66</v>
      </c>
      <c r="K16" s="255" t="s">
        <v>66</v>
      </c>
      <c r="L16" s="255" t="s">
        <v>66</v>
      </c>
      <c r="M16" s="255" t="s">
        <v>66</v>
      </c>
      <c r="N16" s="255" t="s">
        <v>66</v>
      </c>
      <c r="O16" s="255" t="s">
        <v>66</v>
      </c>
      <c r="P16" s="255" t="s">
        <v>66</v>
      </c>
      <c r="Q16" s="255" t="s">
        <v>66</v>
      </c>
      <c r="R16" s="255" t="s">
        <v>66</v>
      </c>
      <c r="S16" s="255" t="s">
        <v>66</v>
      </c>
      <c r="T16" s="255" t="s">
        <v>66</v>
      </c>
      <c r="U16" s="255" t="s">
        <v>66</v>
      </c>
      <c r="V16" s="255" t="s">
        <v>66</v>
      </c>
      <c r="W16" s="279" t="s">
        <v>66</v>
      </c>
      <c r="X16" s="255" t="s">
        <v>66</v>
      </c>
      <c r="Y16" s="255" t="s">
        <v>66</v>
      </c>
      <c r="Z16" s="255" t="s">
        <v>66</v>
      </c>
      <c r="AA16" s="255" t="s">
        <v>66</v>
      </c>
      <c r="AB16" s="255" t="s">
        <v>66</v>
      </c>
      <c r="AC16" s="255" t="s">
        <v>66</v>
      </c>
      <c r="AD16" s="255" t="s">
        <v>66</v>
      </c>
      <c r="AE16" s="255" t="s">
        <v>66</v>
      </c>
      <c r="AF16" s="255" t="s">
        <v>66</v>
      </c>
      <c r="AG16" s="255" t="s">
        <v>66</v>
      </c>
      <c r="AH16" s="255" t="s">
        <v>66</v>
      </c>
      <c r="AI16" s="255" t="s">
        <v>66</v>
      </c>
      <c r="AJ16" s="255" t="s">
        <v>66</v>
      </c>
      <c r="AK16" s="96" t="s">
        <v>66</v>
      </c>
      <c r="AL16" s="147">
        <v>1</v>
      </c>
      <c r="AM16" s="54" t="s">
        <v>72</v>
      </c>
      <c r="AN16" s="87">
        <v>-550</v>
      </c>
    </row>
    <row r="17" spans="2:40" x14ac:dyDescent="0.25">
      <c r="B17" s="96"/>
      <c r="C17" s="121">
        <f t="shared" si="5"/>
        <v>0</v>
      </c>
      <c r="D17" s="258">
        <f>AN18</f>
        <v>-81.89</v>
      </c>
      <c r="E17" s="256">
        <f t="shared" si="6"/>
        <v>-81.89</v>
      </c>
      <c r="F17" s="257" t="s">
        <v>112</v>
      </c>
      <c r="G17" s="88">
        <f t="shared" si="7"/>
        <v>3.1374817772039286E-2</v>
      </c>
      <c r="H17" s="177" t="s">
        <v>66</v>
      </c>
      <c r="I17" s="177" t="s">
        <v>66</v>
      </c>
      <c r="J17" s="177" t="s">
        <v>66</v>
      </c>
      <c r="K17" s="177" t="s">
        <v>66</v>
      </c>
      <c r="L17" s="177" t="s">
        <v>66</v>
      </c>
      <c r="M17" s="177" t="s">
        <v>66</v>
      </c>
      <c r="N17" s="177" t="s">
        <v>66</v>
      </c>
      <c r="O17" s="177">
        <f>-26.9</f>
        <v>-26.9</v>
      </c>
      <c r="P17" s="177" t="s">
        <v>66</v>
      </c>
      <c r="Q17" s="177" t="s">
        <v>66</v>
      </c>
      <c r="R17" s="177" t="s">
        <v>66</v>
      </c>
      <c r="S17" s="177" t="s">
        <v>66</v>
      </c>
      <c r="T17" s="177" t="s">
        <v>66</v>
      </c>
      <c r="U17" s="177" t="s">
        <v>66</v>
      </c>
      <c r="V17" s="177" t="s">
        <v>66</v>
      </c>
      <c r="W17" s="177" t="s">
        <v>66</v>
      </c>
      <c r="X17" s="177" t="s">
        <v>66</v>
      </c>
      <c r="Y17" s="177" t="s">
        <v>66</v>
      </c>
      <c r="Z17" s="177" t="s">
        <v>66</v>
      </c>
      <c r="AA17" s="177" t="s">
        <v>66</v>
      </c>
      <c r="AB17" s="177" t="s">
        <v>66</v>
      </c>
      <c r="AC17" s="177" t="s">
        <v>66</v>
      </c>
      <c r="AD17" s="177" t="s">
        <v>66</v>
      </c>
      <c r="AE17" s="177" t="s">
        <v>66</v>
      </c>
      <c r="AF17" s="177">
        <f>-54.99</f>
        <v>-54.99</v>
      </c>
      <c r="AG17" s="177" t="s">
        <v>66</v>
      </c>
      <c r="AH17" s="177" t="s">
        <v>66</v>
      </c>
      <c r="AI17" s="177" t="s">
        <v>66</v>
      </c>
      <c r="AJ17" s="177" t="s">
        <v>66</v>
      </c>
      <c r="AK17" s="96" t="s">
        <v>66</v>
      </c>
      <c r="AL17" s="7">
        <f t="shared" ref="AL17:AL39" si="8">AL16+1</f>
        <v>2</v>
      </c>
      <c r="AM17" s="54" t="s">
        <v>127</v>
      </c>
      <c r="AN17" s="87">
        <v>-200</v>
      </c>
    </row>
    <row r="18" spans="2:40" x14ac:dyDescent="0.25">
      <c r="B18" s="96"/>
      <c r="C18" s="121">
        <f t="shared" si="5"/>
        <v>0</v>
      </c>
      <c r="D18" s="260">
        <f>AN20</f>
        <v>0</v>
      </c>
      <c r="E18" s="261">
        <f t="shared" si="6"/>
        <v>0</v>
      </c>
      <c r="F18" s="259" t="s">
        <v>113</v>
      </c>
      <c r="G18" s="253">
        <f t="shared" si="7"/>
        <v>0</v>
      </c>
      <c r="H18" s="255" t="s">
        <v>66</v>
      </c>
      <c r="I18" s="255" t="s">
        <v>66</v>
      </c>
      <c r="J18" s="255" t="s">
        <v>66</v>
      </c>
      <c r="K18" s="255" t="s">
        <v>66</v>
      </c>
      <c r="L18" s="255" t="s">
        <v>66</v>
      </c>
      <c r="M18" s="255" t="s">
        <v>66</v>
      </c>
      <c r="N18" s="255" t="s">
        <v>66</v>
      </c>
      <c r="O18" s="255" t="s">
        <v>66</v>
      </c>
      <c r="P18" s="255" t="s">
        <v>66</v>
      </c>
      <c r="Q18" s="255" t="s">
        <v>66</v>
      </c>
      <c r="R18" s="255" t="s">
        <v>66</v>
      </c>
      <c r="S18" s="255" t="s">
        <v>66</v>
      </c>
      <c r="T18" s="255" t="s">
        <v>66</v>
      </c>
      <c r="U18" s="255" t="s">
        <v>66</v>
      </c>
      <c r="V18" s="255" t="s">
        <v>66</v>
      </c>
      <c r="W18" s="255" t="s">
        <v>66</v>
      </c>
      <c r="X18" s="255" t="s">
        <v>66</v>
      </c>
      <c r="Y18" s="255" t="s">
        <v>66</v>
      </c>
      <c r="Z18" s="255" t="s">
        <v>66</v>
      </c>
      <c r="AA18" s="255" t="s">
        <v>66</v>
      </c>
      <c r="AB18" s="255" t="s">
        <v>66</v>
      </c>
      <c r="AC18" s="255" t="s">
        <v>66</v>
      </c>
      <c r="AD18" s="255" t="s">
        <v>66</v>
      </c>
      <c r="AE18" s="255" t="s">
        <v>66</v>
      </c>
      <c r="AF18" s="255" t="s">
        <v>66</v>
      </c>
      <c r="AG18" s="255" t="s">
        <v>66</v>
      </c>
      <c r="AH18" s="255" t="s">
        <v>66</v>
      </c>
      <c r="AI18" s="255" t="s">
        <v>66</v>
      </c>
      <c r="AJ18" s="255" t="s">
        <v>66</v>
      </c>
      <c r="AK18" s="96" t="s">
        <v>66</v>
      </c>
      <c r="AL18" s="147">
        <f t="shared" si="8"/>
        <v>3</v>
      </c>
      <c r="AM18" s="54" t="s">
        <v>29</v>
      </c>
      <c r="AN18" s="87">
        <v>-81.89</v>
      </c>
    </row>
    <row r="19" spans="2:40" x14ac:dyDescent="0.25">
      <c r="B19" s="96"/>
      <c r="C19" s="121">
        <f t="shared" si="5"/>
        <v>-27</v>
      </c>
      <c r="D19" s="258">
        <f>AN21</f>
        <v>0</v>
      </c>
      <c r="E19" s="256">
        <f t="shared" si="6"/>
        <v>-27</v>
      </c>
      <c r="F19" s="257" t="s">
        <v>115</v>
      </c>
      <c r="G19" s="88">
        <f t="shared" si="7"/>
        <v>1.0344609596349502E-2</v>
      </c>
      <c r="H19" s="177" t="s">
        <v>66</v>
      </c>
      <c r="I19" s="177" t="s">
        <v>66</v>
      </c>
      <c r="J19" s="177" t="s">
        <v>66</v>
      </c>
      <c r="K19" s="177" t="s">
        <v>66</v>
      </c>
      <c r="L19" s="177" t="s">
        <v>66</v>
      </c>
      <c r="M19" s="177" t="s">
        <v>66</v>
      </c>
      <c r="N19" s="177" t="s">
        <v>66</v>
      </c>
      <c r="O19" s="177" t="s">
        <v>66</v>
      </c>
      <c r="P19" s="177" t="s">
        <v>66</v>
      </c>
      <c r="Q19" s="177" t="s">
        <v>66</v>
      </c>
      <c r="R19" s="177" t="s">
        <v>66</v>
      </c>
      <c r="S19" s="177" t="s">
        <v>66</v>
      </c>
      <c r="T19" s="177" t="s">
        <v>66</v>
      </c>
      <c r="U19" s="177" t="s">
        <v>66</v>
      </c>
      <c r="V19" s="177" t="s">
        <v>66</v>
      </c>
      <c r="W19" s="177" t="s">
        <v>66</v>
      </c>
      <c r="X19" s="177" t="s">
        <v>66</v>
      </c>
      <c r="Y19" s="177" t="s">
        <v>66</v>
      </c>
      <c r="Z19" s="177" t="s">
        <v>66</v>
      </c>
      <c r="AA19" s="177" t="s">
        <v>66</v>
      </c>
      <c r="AB19" s="177" t="s">
        <v>66</v>
      </c>
      <c r="AC19" s="177" t="s">
        <v>66</v>
      </c>
      <c r="AD19" s="177" t="s">
        <v>66</v>
      </c>
      <c r="AE19" s="177" t="s">
        <v>66</v>
      </c>
      <c r="AF19" s="177" t="s">
        <v>66</v>
      </c>
      <c r="AG19" s="177" t="s">
        <v>66</v>
      </c>
      <c r="AH19" s="177" t="s">
        <v>66</v>
      </c>
      <c r="AI19" s="177" t="s">
        <v>66</v>
      </c>
      <c r="AJ19" s="177">
        <f>-27</f>
        <v>-27</v>
      </c>
      <c r="AK19" s="96" t="s">
        <v>66</v>
      </c>
      <c r="AL19" s="147">
        <f t="shared" si="8"/>
        <v>4</v>
      </c>
      <c r="AM19" s="54" t="s">
        <v>130</v>
      </c>
      <c r="AN19" s="87">
        <v>-200</v>
      </c>
    </row>
    <row r="20" spans="2:40" x14ac:dyDescent="0.25">
      <c r="B20" s="96"/>
      <c r="C20" s="121">
        <f t="shared" si="5"/>
        <v>-45.379999999999995</v>
      </c>
      <c r="D20" s="260">
        <f>AN27</f>
        <v>-160</v>
      </c>
      <c r="E20" s="261">
        <f t="shared" si="6"/>
        <v>-205.38</v>
      </c>
      <c r="F20" s="259" t="s">
        <v>116</v>
      </c>
      <c r="G20" s="253">
        <f t="shared" si="7"/>
        <v>7.8687996996231885E-2</v>
      </c>
      <c r="H20" s="255" t="s">
        <v>66</v>
      </c>
      <c r="I20" s="255">
        <f>-39.94</f>
        <v>-39.94</v>
      </c>
      <c r="J20" s="255" t="s">
        <v>66</v>
      </c>
      <c r="K20" s="255" t="s">
        <v>66</v>
      </c>
      <c r="L20" s="255" t="s">
        <v>66</v>
      </c>
      <c r="M20" s="255" t="s">
        <v>66</v>
      </c>
      <c r="N20" s="255">
        <f>-17.08</f>
        <v>-17.079999999999998</v>
      </c>
      <c r="O20" s="255">
        <f>-14.95</f>
        <v>-14.95</v>
      </c>
      <c r="P20" s="255">
        <f>-13.46-6.6-13+10</f>
        <v>-23.060000000000002</v>
      </c>
      <c r="Q20" s="255" t="s">
        <v>66</v>
      </c>
      <c r="R20" s="255" t="s">
        <v>66</v>
      </c>
      <c r="S20" s="255" t="s">
        <v>66</v>
      </c>
      <c r="T20" s="255" t="s">
        <v>66</v>
      </c>
      <c r="U20" s="255">
        <f>-6.7</f>
        <v>-6.7</v>
      </c>
      <c r="V20" s="255">
        <f>-19.95</f>
        <v>-19.95</v>
      </c>
      <c r="W20" s="255">
        <f>-12</f>
        <v>-12</v>
      </c>
      <c r="X20" s="255" t="s">
        <v>66</v>
      </c>
      <c r="Y20" s="255" t="s">
        <v>66</v>
      </c>
      <c r="Z20" s="255" t="s">
        <v>66</v>
      </c>
      <c r="AA20" s="255" t="s">
        <v>66</v>
      </c>
      <c r="AB20" s="255" t="s">
        <v>66</v>
      </c>
      <c r="AC20" s="255" t="s">
        <v>66</v>
      </c>
      <c r="AD20" s="255">
        <f>-14.39</f>
        <v>-14.39</v>
      </c>
      <c r="AE20" s="255">
        <f>-16.31</f>
        <v>-16.309999999999999</v>
      </c>
      <c r="AF20" s="254">
        <f>-41</f>
        <v>-41</v>
      </c>
      <c r="AG20" s="255" t="s">
        <v>66</v>
      </c>
      <c r="AH20" s="255" t="s">
        <v>66</v>
      </c>
      <c r="AI20" s="255" t="s">
        <v>66</v>
      </c>
      <c r="AJ20" s="255" t="s">
        <v>66</v>
      </c>
      <c r="AK20" s="96" t="s">
        <v>66</v>
      </c>
      <c r="AL20" s="147">
        <f t="shared" si="8"/>
        <v>5</v>
      </c>
      <c r="AM20" s="54" t="s">
        <v>31</v>
      </c>
      <c r="AN20" s="87">
        <v>0</v>
      </c>
    </row>
    <row r="21" spans="2:40" ht="15.75" customHeight="1" x14ac:dyDescent="0.25">
      <c r="B21" s="96"/>
      <c r="C21" s="121">
        <f t="shared" si="5"/>
        <v>50</v>
      </c>
      <c r="D21" s="258">
        <f>AN37</f>
        <v>-50</v>
      </c>
      <c r="E21" s="256">
        <f t="shared" si="6"/>
        <v>0</v>
      </c>
      <c r="F21" s="257" t="s">
        <v>122</v>
      </c>
      <c r="G21" s="88">
        <f t="shared" si="7"/>
        <v>0</v>
      </c>
      <c r="H21" s="177" t="s">
        <v>66</v>
      </c>
      <c r="I21" s="177" t="s">
        <v>66</v>
      </c>
      <c r="J21" s="177" t="s">
        <v>66</v>
      </c>
      <c r="K21" s="177" t="s">
        <v>66</v>
      </c>
      <c r="L21" s="177" t="s">
        <v>66</v>
      </c>
      <c r="M21" s="177" t="s">
        <v>66</v>
      </c>
      <c r="N21" s="177" t="s">
        <v>66</v>
      </c>
      <c r="O21" s="177" t="s">
        <v>66</v>
      </c>
      <c r="P21" s="177" t="s">
        <v>66</v>
      </c>
      <c r="Q21" s="177" t="s">
        <v>66</v>
      </c>
      <c r="R21" s="177" t="s">
        <v>66</v>
      </c>
      <c r="S21" s="177" t="s">
        <v>66</v>
      </c>
      <c r="T21" s="177" t="s">
        <v>66</v>
      </c>
      <c r="U21" s="177" t="s">
        <v>66</v>
      </c>
      <c r="V21" s="177" t="s">
        <v>66</v>
      </c>
      <c r="W21" s="177" t="s">
        <v>66</v>
      </c>
      <c r="X21" s="177" t="s">
        <v>66</v>
      </c>
      <c r="Y21" s="177" t="s">
        <v>66</v>
      </c>
      <c r="Z21" s="177" t="s">
        <v>66</v>
      </c>
      <c r="AA21" s="177" t="s">
        <v>66</v>
      </c>
      <c r="AB21" s="177" t="s">
        <v>66</v>
      </c>
      <c r="AC21" s="177" t="s">
        <v>66</v>
      </c>
      <c r="AD21" s="177" t="s">
        <v>66</v>
      </c>
      <c r="AE21" s="177" t="s">
        <v>66</v>
      </c>
      <c r="AF21" s="177" t="s">
        <v>66</v>
      </c>
      <c r="AG21" s="177" t="s">
        <v>66</v>
      </c>
      <c r="AH21" s="177" t="s">
        <v>66</v>
      </c>
      <c r="AI21" s="177" t="s">
        <v>66</v>
      </c>
      <c r="AJ21" s="177" t="s">
        <v>66</v>
      </c>
      <c r="AK21" s="96" t="s">
        <v>66</v>
      </c>
      <c r="AL21" s="147">
        <f t="shared" si="8"/>
        <v>6</v>
      </c>
      <c r="AM21" s="54" t="s">
        <v>32</v>
      </c>
      <c r="AN21" s="87">
        <v>0</v>
      </c>
    </row>
    <row r="22" spans="2:40" ht="15.75" customHeight="1" x14ac:dyDescent="0.25">
      <c r="B22" s="96"/>
      <c r="C22" s="121">
        <f t="shared" si="5"/>
        <v>-8.9899999999999984</v>
      </c>
      <c r="D22" s="260">
        <v>-15</v>
      </c>
      <c r="E22" s="261">
        <f t="shared" si="6"/>
        <v>-23.99</v>
      </c>
      <c r="F22" s="259" t="s">
        <v>118</v>
      </c>
      <c r="G22" s="253">
        <f t="shared" si="7"/>
        <v>9.191377193200909E-3</v>
      </c>
      <c r="H22" s="255" t="s">
        <v>66</v>
      </c>
      <c r="I22" s="255" t="s">
        <v>66</v>
      </c>
      <c r="J22" s="255" t="s">
        <v>66</v>
      </c>
      <c r="K22" s="255" t="s">
        <v>66</v>
      </c>
      <c r="L22" s="255" t="s">
        <v>66</v>
      </c>
      <c r="M22" s="255" t="s">
        <v>66</v>
      </c>
      <c r="N22" s="255" t="s">
        <v>66</v>
      </c>
      <c r="O22" s="255" t="s">
        <v>66</v>
      </c>
      <c r="P22" s="255" t="s">
        <v>66</v>
      </c>
      <c r="Q22" s="255" t="s">
        <v>66</v>
      </c>
      <c r="R22" s="255" t="s">
        <v>66</v>
      </c>
      <c r="S22" s="255" t="s">
        <v>66</v>
      </c>
      <c r="T22" s="255" t="s">
        <v>66</v>
      </c>
      <c r="U22" s="255" t="s">
        <v>66</v>
      </c>
      <c r="V22" s="255" t="s">
        <v>66</v>
      </c>
      <c r="W22" s="255" t="s">
        <v>66</v>
      </c>
      <c r="X22" s="255" t="s">
        <v>66</v>
      </c>
      <c r="Y22" s="255">
        <f>-23.99</f>
        <v>-23.99</v>
      </c>
      <c r="Z22" s="255" t="s">
        <v>66</v>
      </c>
      <c r="AA22" s="255" t="s">
        <v>66</v>
      </c>
      <c r="AB22" s="255" t="s">
        <v>66</v>
      </c>
      <c r="AC22" s="255" t="s">
        <v>66</v>
      </c>
      <c r="AD22" s="255" t="s">
        <v>66</v>
      </c>
      <c r="AE22" s="255" t="s">
        <v>66</v>
      </c>
      <c r="AF22" s="255" t="s">
        <v>66</v>
      </c>
      <c r="AG22" s="255" t="s">
        <v>66</v>
      </c>
      <c r="AH22" s="255" t="s">
        <v>66</v>
      </c>
      <c r="AI22" s="255" t="s">
        <v>66</v>
      </c>
      <c r="AJ22" s="255" t="s">
        <v>66</v>
      </c>
      <c r="AK22" s="96" t="s">
        <v>66</v>
      </c>
      <c r="AL22" s="147">
        <f t="shared" si="8"/>
        <v>7</v>
      </c>
      <c r="AM22" s="54" t="s">
        <v>27</v>
      </c>
      <c r="AN22" s="87">
        <f>-180</f>
        <v>-180</v>
      </c>
    </row>
    <row r="23" spans="2:40" ht="15.75" customHeight="1" x14ac:dyDescent="0.25">
      <c r="B23" s="96"/>
      <c r="C23" s="121">
        <f t="shared" si="5"/>
        <v>5</v>
      </c>
      <c r="D23" s="258">
        <f>AN26</f>
        <v>-5</v>
      </c>
      <c r="E23" s="256">
        <f t="shared" si="6"/>
        <v>0</v>
      </c>
      <c r="F23" s="257" t="s">
        <v>35</v>
      </c>
      <c r="G23" s="88">
        <f t="shared" si="7"/>
        <v>0</v>
      </c>
      <c r="H23" s="177" t="s">
        <v>66</v>
      </c>
      <c r="I23" s="177" t="s">
        <v>66</v>
      </c>
      <c r="J23" s="177" t="s">
        <v>66</v>
      </c>
      <c r="K23" s="177" t="s">
        <v>66</v>
      </c>
      <c r="L23" s="177" t="s">
        <v>66</v>
      </c>
      <c r="M23" s="177" t="s">
        <v>66</v>
      </c>
      <c r="N23" s="177" t="s">
        <v>66</v>
      </c>
      <c r="O23" s="177" t="s">
        <v>66</v>
      </c>
      <c r="P23" s="177" t="s">
        <v>66</v>
      </c>
      <c r="Q23" s="177" t="s">
        <v>66</v>
      </c>
      <c r="R23" s="177" t="s">
        <v>66</v>
      </c>
      <c r="S23" s="177" t="s">
        <v>66</v>
      </c>
      <c r="T23" s="177" t="s">
        <v>66</v>
      </c>
      <c r="U23" s="177" t="s">
        <v>66</v>
      </c>
      <c r="V23" s="177" t="s">
        <v>66</v>
      </c>
      <c r="W23" s="177" t="s">
        <v>66</v>
      </c>
      <c r="X23" s="177" t="s">
        <v>66</v>
      </c>
      <c r="Y23" s="177" t="s">
        <v>66</v>
      </c>
      <c r="Z23" s="177" t="s">
        <v>66</v>
      </c>
      <c r="AA23" s="177" t="s">
        <v>66</v>
      </c>
      <c r="AB23" s="177" t="s">
        <v>66</v>
      </c>
      <c r="AC23" s="177" t="s">
        <v>66</v>
      </c>
      <c r="AD23" s="177" t="s">
        <v>66</v>
      </c>
      <c r="AE23" s="177" t="s">
        <v>66</v>
      </c>
      <c r="AF23" s="177" t="s">
        <v>66</v>
      </c>
      <c r="AG23" s="177" t="s">
        <v>66</v>
      </c>
      <c r="AH23" s="177" t="s">
        <v>66</v>
      </c>
      <c r="AI23" s="177" t="s">
        <v>66</v>
      </c>
      <c r="AJ23" s="177" t="s">
        <v>66</v>
      </c>
      <c r="AK23" s="96" t="s">
        <v>66</v>
      </c>
      <c r="AL23" s="147">
        <f t="shared" si="8"/>
        <v>8</v>
      </c>
      <c r="AM23" s="54" t="s">
        <v>114</v>
      </c>
      <c r="AN23" s="87">
        <v>-100</v>
      </c>
    </row>
    <row r="24" spans="2:40" ht="15.75" customHeight="1" x14ac:dyDescent="0.25">
      <c r="B24" s="96"/>
      <c r="C24" s="121">
        <f t="shared" si="5"/>
        <v>0</v>
      </c>
      <c r="D24" s="260">
        <f>AN38</f>
        <v>0</v>
      </c>
      <c r="E24" s="261">
        <f t="shared" si="6"/>
        <v>0</v>
      </c>
      <c r="F24" s="259" t="s">
        <v>36</v>
      </c>
      <c r="G24" s="253">
        <f t="shared" si="7"/>
        <v>0</v>
      </c>
      <c r="H24" s="255" t="s">
        <v>66</v>
      </c>
      <c r="I24" s="255" t="s">
        <v>66</v>
      </c>
      <c r="J24" s="255" t="s">
        <v>66</v>
      </c>
      <c r="K24" s="255" t="s">
        <v>66</v>
      </c>
      <c r="L24" s="255" t="s">
        <v>66</v>
      </c>
      <c r="M24" s="255" t="s">
        <v>66</v>
      </c>
      <c r="N24" s="255" t="s">
        <v>66</v>
      </c>
      <c r="O24" s="255" t="s">
        <v>66</v>
      </c>
      <c r="P24" s="255" t="s">
        <v>66</v>
      </c>
      <c r="Q24" s="255" t="s">
        <v>66</v>
      </c>
      <c r="R24" s="255" t="s">
        <v>66</v>
      </c>
      <c r="S24" s="255" t="s">
        <v>66</v>
      </c>
      <c r="T24" s="255" t="s">
        <v>66</v>
      </c>
      <c r="U24" s="255" t="s">
        <v>66</v>
      </c>
      <c r="V24" s="255" t="s">
        <v>66</v>
      </c>
      <c r="W24" s="255" t="s">
        <v>66</v>
      </c>
      <c r="X24" s="255" t="s">
        <v>66</v>
      </c>
      <c r="Y24" s="255" t="s">
        <v>66</v>
      </c>
      <c r="Z24" s="255" t="s">
        <v>66</v>
      </c>
      <c r="AA24" s="255" t="s">
        <v>66</v>
      </c>
      <c r="AB24" s="255" t="s">
        <v>66</v>
      </c>
      <c r="AC24" s="255" t="s">
        <v>66</v>
      </c>
      <c r="AD24" s="255" t="s">
        <v>66</v>
      </c>
      <c r="AE24" s="255" t="s">
        <v>66</v>
      </c>
      <c r="AF24" s="255" t="s">
        <v>66</v>
      </c>
      <c r="AG24" s="255" t="s">
        <v>66</v>
      </c>
      <c r="AH24" s="255" t="s">
        <v>66</v>
      </c>
      <c r="AI24" s="255" t="s">
        <v>66</v>
      </c>
      <c r="AJ24" s="255" t="s">
        <v>66</v>
      </c>
      <c r="AK24" s="96" t="s">
        <v>66</v>
      </c>
      <c r="AL24" s="147">
        <f t="shared" si="8"/>
        <v>9</v>
      </c>
      <c r="AM24" s="54" t="s">
        <v>107</v>
      </c>
      <c r="AN24" s="87">
        <v>-250</v>
      </c>
    </row>
    <row r="25" spans="2:40" ht="15.75" customHeight="1" x14ac:dyDescent="0.25">
      <c r="B25" s="96"/>
      <c r="C25" s="121">
        <f t="shared" si="5"/>
        <v>84.2</v>
      </c>
      <c r="D25" s="258">
        <f>AN23</f>
        <v>-100</v>
      </c>
      <c r="E25" s="256">
        <f t="shared" si="6"/>
        <v>-15.8</v>
      </c>
      <c r="F25" s="257" t="s">
        <v>39</v>
      </c>
      <c r="G25" s="88">
        <f t="shared" si="7"/>
        <v>6.0535122823082276E-3</v>
      </c>
      <c r="H25" s="177" t="s">
        <v>66</v>
      </c>
      <c r="I25" s="177" t="s">
        <v>66</v>
      </c>
      <c r="J25" s="177" t="s">
        <v>66</v>
      </c>
      <c r="K25" s="177" t="s">
        <v>66</v>
      </c>
      <c r="L25" s="177" t="s">
        <v>66</v>
      </c>
      <c r="M25" s="177" t="s">
        <v>66</v>
      </c>
      <c r="N25" s="177" t="s">
        <v>66</v>
      </c>
      <c r="O25" s="177" t="s">
        <v>66</v>
      </c>
      <c r="P25" s="177" t="s">
        <v>66</v>
      </c>
      <c r="Q25" s="177">
        <f>-7.9*2</f>
        <v>-15.8</v>
      </c>
      <c r="R25" s="177" t="s">
        <v>66</v>
      </c>
      <c r="S25" s="177" t="s">
        <v>66</v>
      </c>
      <c r="T25" s="177" t="s">
        <v>66</v>
      </c>
      <c r="U25" s="177" t="s">
        <v>66</v>
      </c>
      <c r="V25" s="177" t="s">
        <v>66</v>
      </c>
      <c r="W25" s="177" t="s">
        <v>66</v>
      </c>
      <c r="X25" s="177" t="s">
        <v>66</v>
      </c>
      <c r="Y25" s="177" t="s">
        <v>66</v>
      </c>
      <c r="Z25" s="177" t="s">
        <v>66</v>
      </c>
      <c r="AA25" s="177" t="s">
        <v>66</v>
      </c>
      <c r="AB25" s="177" t="s">
        <v>66</v>
      </c>
      <c r="AC25" s="177" t="s">
        <v>66</v>
      </c>
      <c r="AD25" s="177" t="s">
        <v>66</v>
      </c>
      <c r="AE25" s="177" t="s">
        <v>66</v>
      </c>
      <c r="AF25" s="177" t="s">
        <v>66</v>
      </c>
      <c r="AG25" s="177" t="s">
        <v>66</v>
      </c>
      <c r="AH25" s="177" t="s">
        <v>66</v>
      </c>
      <c r="AI25" s="177" t="s">
        <v>66</v>
      </c>
      <c r="AJ25" s="177" t="s">
        <v>66</v>
      </c>
      <c r="AK25" s="96" t="s">
        <v>66</v>
      </c>
      <c r="AL25" s="147">
        <f t="shared" si="8"/>
        <v>10</v>
      </c>
      <c r="AM25" s="54" t="s">
        <v>22</v>
      </c>
      <c r="AN25" s="87">
        <v>-20</v>
      </c>
    </row>
    <row r="26" spans="2:40" ht="15.75" customHeight="1" x14ac:dyDescent="0.25">
      <c r="B26" s="96"/>
      <c r="C26" s="121">
        <f t="shared" si="5"/>
        <v>0</v>
      </c>
      <c r="D26" s="260">
        <f>AN36</f>
        <v>0</v>
      </c>
      <c r="E26" s="261">
        <f t="shared" si="6"/>
        <v>0</v>
      </c>
      <c r="F26" s="259" t="s">
        <v>40</v>
      </c>
      <c r="G26" s="253">
        <f t="shared" si="7"/>
        <v>0</v>
      </c>
      <c r="H26" s="255" t="s">
        <v>66</v>
      </c>
      <c r="I26" s="255" t="s">
        <v>66</v>
      </c>
      <c r="J26" s="255" t="s">
        <v>66</v>
      </c>
      <c r="K26" s="255" t="s">
        <v>66</v>
      </c>
      <c r="L26" s="255" t="s">
        <v>66</v>
      </c>
      <c r="M26" s="255" t="s">
        <v>66</v>
      </c>
      <c r="N26" s="255" t="s">
        <v>66</v>
      </c>
      <c r="O26" s="255" t="s">
        <v>66</v>
      </c>
      <c r="P26" s="255" t="s">
        <v>66</v>
      </c>
      <c r="Q26" s="255" t="s">
        <v>66</v>
      </c>
      <c r="R26" s="255" t="s">
        <v>66</v>
      </c>
      <c r="S26" s="255" t="s">
        <v>66</v>
      </c>
      <c r="T26" s="255" t="s">
        <v>66</v>
      </c>
      <c r="U26" s="255" t="s">
        <v>66</v>
      </c>
      <c r="V26" s="255" t="s">
        <v>66</v>
      </c>
      <c r="W26" s="255" t="s">
        <v>66</v>
      </c>
      <c r="X26" s="255" t="s">
        <v>66</v>
      </c>
      <c r="Y26" s="255" t="s">
        <v>66</v>
      </c>
      <c r="Z26" s="255" t="s">
        <v>66</v>
      </c>
      <c r="AA26" s="255" t="s">
        <v>66</v>
      </c>
      <c r="AB26" s="255" t="s">
        <v>66</v>
      </c>
      <c r="AC26" s="255" t="s">
        <v>66</v>
      </c>
      <c r="AD26" s="255" t="s">
        <v>66</v>
      </c>
      <c r="AE26" s="255" t="s">
        <v>66</v>
      </c>
      <c r="AF26" s="255" t="s">
        <v>66</v>
      </c>
      <c r="AG26" s="255" t="s">
        <v>66</v>
      </c>
      <c r="AH26" s="255" t="s">
        <v>66</v>
      </c>
      <c r="AI26" s="255" t="s">
        <v>66</v>
      </c>
      <c r="AJ26" s="255" t="s">
        <v>66</v>
      </c>
      <c r="AK26" s="96" t="s">
        <v>66</v>
      </c>
      <c r="AL26" s="147">
        <f t="shared" si="8"/>
        <v>11</v>
      </c>
      <c r="AM26" s="54" t="s">
        <v>35</v>
      </c>
      <c r="AN26" s="87">
        <v>-5</v>
      </c>
    </row>
    <row r="27" spans="2:40" ht="15.75" customHeight="1" x14ac:dyDescent="0.25">
      <c r="B27" s="96"/>
      <c r="C27" s="121">
        <f t="shared" si="5"/>
        <v>0</v>
      </c>
      <c r="D27" s="258">
        <f>AN38</f>
        <v>0</v>
      </c>
      <c r="E27" s="256">
        <f t="shared" si="6"/>
        <v>0</v>
      </c>
      <c r="F27" s="257" t="s">
        <v>41</v>
      </c>
      <c r="G27" s="88">
        <f t="shared" si="7"/>
        <v>0</v>
      </c>
      <c r="H27" s="177" t="s">
        <v>66</v>
      </c>
      <c r="I27" s="177" t="s">
        <v>66</v>
      </c>
      <c r="J27" s="177" t="s">
        <v>66</v>
      </c>
      <c r="K27" s="177" t="s">
        <v>66</v>
      </c>
      <c r="L27" s="177" t="s">
        <v>66</v>
      </c>
      <c r="M27" s="177" t="s">
        <v>66</v>
      </c>
      <c r="N27" s="177" t="s">
        <v>66</v>
      </c>
      <c r="O27" s="177" t="s">
        <v>66</v>
      </c>
      <c r="P27" s="177" t="s">
        <v>66</v>
      </c>
      <c r="Q27" s="177" t="s">
        <v>66</v>
      </c>
      <c r="R27" s="177" t="s">
        <v>66</v>
      </c>
      <c r="S27" s="177" t="s">
        <v>66</v>
      </c>
      <c r="T27" s="177" t="s">
        <v>66</v>
      </c>
      <c r="U27" s="177" t="s">
        <v>66</v>
      </c>
      <c r="V27" s="177" t="s">
        <v>66</v>
      </c>
      <c r="W27" s="177" t="s">
        <v>66</v>
      </c>
      <c r="X27" s="177" t="s">
        <v>66</v>
      </c>
      <c r="Y27" s="177" t="s">
        <v>66</v>
      </c>
      <c r="Z27" s="177" t="s">
        <v>66</v>
      </c>
      <c r="AA27" s="177" t="s">
        <v>66</v>
      </c>
      <c r="AB27" s="177" t="s">
        <v>66</v>
      </c>
      <c r="AC27" s="177" t="s">
        <v>66</v>
      </c>
      <c r="AD27" s="177" t="s">
        <v>66</v>
      </c>
      <c r="AE27" s="177" t="s">
        <v>66</v>
      </c>
      <c r="AF27" s="177" t="s">
        <v>66</v>
      </c>
      <c r="AG27" s="177" t="s">
        <v>66</v>
      </c>
      <c r="AH27" s="177" t="s">
        <v>66</v>
      </c>
      <c r="AI27" s="177" t="s">
        <v>66</v>
      </c>
      <c r="AJ27" s="177" t="s">
        <v>66</v>
      </c>
      <c r="AK27" s="96" t="s">
        <v>66</v>
      </c>
      <c r="AL27" s="147">
        <f t="shared" si="8"/>
        <v>12</v>
      </c>
      <c r="AM27" s="54" t="s">
        <v>33</v>
      </c>
      <c r="AN27" s="87">
        <v>-160</v>
      </c>
    </row>
    <row r="28" spans="2:40" ht="15.75" customHeight="1" x14ac:dyDescent="0.25">
      <c r="B28" s="246"/>
      <c r="C28" s="121"/>
      <c r="D28" s="258"/>
      <c r="E28" s="261">
        <f>-(505)/3</f>
        <v>-168.33333333333334</v>
      </c>
      <c r="F28" s="259" t="s">
        <v>209</v>
      </c>
      <c r="G28" s="88">
        <f t="shared" si="7"/>
        <v>6.4494170940203696E-2</v>
      </c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246"/>
      <c r="AL28" s="147"/>
      <c r="AM28" s="54"/>
      <c r="AN28" s="87"/>
    </row>
    <row r="29" spans="2:40" ht="15.75" customHeight="1" x14ac:dyDescent="0.25">
      <c r="B29" s="96"/>
      <c r="C29" s="121">
        <f t="shared" si="5"/>
        <v>0</v>
      </c>
      <c r="D29" s="260">
        <f>AN16</f>
        <v>-550</v>
      </c>
      <c r="E29" s="261">
        <f t="shared" si="6"/>
        <v>-550</v>
      </c>
      <c r="F29" s="259" t="s">
        <v>72</v>
      </c>
      <c r="G29" s="253">
        <f t="shared" si="7"/>
        <v>0.21072352881452691</v>
      </c>
      <c r="H29" s="255" t="s">
        <v>66</v>
      </c>
      <c r="I29" s="255" t="s">
        <v>66</v>
      </c>
      <c r="J29" s="255" t="s">
        <v>66</v>
      </c>
      <c r="K29" s="255" t="s">
        <v>66</v>
      </c>
      <c r="L29" s="255" t="s">
        <v>66</v>
      </c>
      <c r="M29" s="255" t="s">
        <v>66</v>
      </c>
      <c r="N29" s="255" t="s">
        <v>66</v>
      </c>
      <c r="O29" s="255" t="s">
        <v>66</v>
      </c>
      <c r="P29" s="255" t="s">
        <v>66</v>
      </c>
      <c r="Q29" s="255">
        <f>-550</f>
        <v>-550</v>
      </c>
      <c r="R29" s="255" t="s">
        <v>66</v>
      </c>
      <c r="S29" s="255" t="s">
        <v>66</v>
      </c>
      <c r="T29" s="255" t="s">
        <v>66</v>
      </c>
      <c r="U29" s="255" t="s">
        <v>66</v>
      </c>
      <c r="V29" s="255" t="s">
        <v>66</v>
      </c>
      <c r="W29" s="255" t="s">
        <v>66</v>
      </c>
      <c r="X29" s="255" t="s">
        <v>66</v>
      </c>
      <c r="Y29" s="255" t="s">
        <v>66</v>
      </c>
      <c r="Z29" s="255" t="s">
        <v>66</v>
      </c>
      <c r="AA29" s="255" t="s">
        <v>66</v>
      </c>
      <c r="AB29" s="255" t="s">
        <v>66</v>
      </c>
      <c r="AC29" s="255" t="s">
        <v>66</v>
      </c>
      <c r="AD29" s="255" t="s">
        <v>66</v>
      </c>
      <c r="AE29" s="255" t="s">
        <v>66</v>
      </c>
      <c r="AF29" s="255" t="s">
        <v>66</v>
      </c>
      <c r="AG29" s="255" t="s">
        <v>66</v>
      </c>
      <c r="AH29" s="255" t="s">
        <v>66</v>
      </c>
      <c r="AI29" s="255" t="s">
        <v>66</v>
      </c>
      <c r="AJ29" s="255" t="s">
        <v>66</v>
      </c>
      <c r="AK29" s="96" t="s">
        <v>66</v>
      </c>
      <c r="AL29" s="147">
        <f>AL27+1</f>
        <v>13</v>
      </c>
      <c r="AM29" s="54" t="s">
        <v>131</v>
      </c>
      <c r="AN29" s="87">
        <v>-15</v>
      </c>
    </row>
    <row r="30" spans="2:40" ht="15.75" customHeight="1" x14ac:dyDescent="0.25">
      <c r="B30" s="96"/>
      <c r="C30" s="121">
        <f t="shared" si="5"/>
        <v>-45</v>
      </c>
      <c r="D30" s="258">
        <f>AN30</f>
        <v>0</v>
      </c>
      <c r="E30" s="256">
        <f t="shared" si="6"/>
        <v>-45</v>
      </c>
      <c r="F30" s="257" t="s">
        <v>121</v>
      </c>
      <c r="G30" s="88">
        <f t="shared" si="7"/>
        <v>1.7241015993915837E-2</v>
      </c>
      <c r="H30" s="177" t="s">
        <v>66</v>
      </c>
      <c r="I30" s="177" t="s">
        <v>66</v>
      </c>
      <c r="J30" s="177" t="s">
        <v>66</v>
      </c>
      <c r="K30" s="177" t="s">
        <v>66</v>
      </c>
      <c r="L30" s="177" t="s">
        <v>66</v>
      </c>
      <c r="M30" s="278" t="s">
        <v>66</v>
      </c>
      <c r="N30" s="177" t="s">
        <v>66</v>
      </c>
      <c r="O30" s="177" t="s">
        <v>66</v>
      </c>
      <c r="P30" s="177" t="s">
        <v>66</v>
      </c>
      <c r="Q30" s="177" t="s">
        <v>66</v>
      </c>
      <c r="R30" s="177" t="s">
        <v>66</v>
      </c>
      <c r="S30" s="177">
        <f>-45</f>
        <v>-45</v>
      </c>
      <c r="T30" s="177" t="s">
        <v>66</v>
      </c>
      <c r="U30" s="177" t="s">
        <v>66</v>
      </c>
      <c r="V30" s="177" t="s">
        <v>66</v>
      </c>
      <c r="W30" s="177" t="s">
        <v>66</v>
      </c>
      <c r="X30" s="177" t="s">
        <v>66</v>
      </c>
      <c r="Y30" s="177" t="s">
        <v>66</v>
      </c>
      <c r="Z30" s="177" t="s">
        <v>66</v>
      </c>
      <c r="AA30" s="177" t="s">
        <v>66</v>
      </c>
      <c r="AB30" s="177" t="s">
        <v>66</v>
      </c>
      <c r="AC30" s="177" t="s">
        <v>66</v>
      </c>
      <c r="AD30" s="177" t="s">
        <v>66</v>
      </c>
      <c r="AE30" s="177" t="s">
        <v>66</v>
      </c>
      <c r="AF30" s="177" t="s">
        <v>66</v>
      </c>
      <c r="AG30" s="177" t="s">
        <v>66</v>
      </c>
      <c r="AH30" s="177" t="s">
        <v>66</v>
      </c>
      <c r="AI30" s="177" t="s">
        <v>66</v>
      </c>
      <c r="AJ30" s="177" t="s">
        <v>66</v>
      </c>
      <c r="AK30" s="96" t="s">
        <v>66</v>
      </c>
      <c r="AL30" s="147">
        <f t="shared" si="8"/>
        <v>14</v>
      </c>
      <c r="AM30" s="54" t="s">
        <v>42</v>
      </c>
      <c r="AN30" s="87">
        <v>0</v>
      </c>
    </row>
    <row r="31" spans="2:40" ht="15.75" customHeight="1" x14ac:dyDescent="0.25">
      <c r="B31" s="96"/>
      <c r="C31" s="121"/>
      <c r="D31" s="260"/>
      <c r="E31" s="261">
        <f t="shared" si="6"/>
        <v>0</v>
      </c>
      <c r="F31" s="259" t="s">
        <v>96</v>
      </c>
      <c r="G31" s="88">
        <f t="shared" si="7"/>
        <v>0</v>
      </c>
      <c r="H31" s="255" t="s">
        <v>66</v>
      </c>
      <c r="I31" s="255" t="s">
        <v>66</v>
      </c>
      <c r="J31" s="255" t="s">
        <v>66</v>
      </c>
      <c r="K31" s="255" t="s">
        <v>66</v>
      </c>
      <c r="L31" s="255" t="s">
        <v>66</v>
      </c>
      <c r="M31" s="255" t="s">
        <v>66</v>
      </c>
      <c r="N31" s="255" t="s">
        <v>66</v>
      </c>
      <c r="O31" s="255" t="s">
        <v>66</v>
      </c>
      <c r="P31" s="255" t="s">
        <v>66</v>
      </c>
      <c r="Q31" s="255" t="s">
        <v>66</v>
      </c>
      <c r="R31" s="255" t="s">
        <v>66</v>
      </c>
      <c r="S31" s="255" t="s">
        <v>66</v>
      </c>
      <c r="T31" s="255" t="s">
        <v>66</v>
      </c>
      <c r="U31" s="255" t="s">
        <v>66</v>
      </c>
      <c r="V31" s="255" t="s">
        <v>66</v>
      </c>
      <c r="W31" s="255" t="s">
        <v>66</v>
      </c>
      <c r="X31" s="255" t="s">
        <v>66</v>
      </c>
      <c r="Y31" s="255" t="s">
        <v>66</v>
      </c>
      <c r="Z31" s="255" t="s">
        <v>66</v>
      </c>
      <c r="AA31" s="255" t="s">
        <v>66</v>
      </c>
      <c r="AB31" s="255" t="s">
        <v>66</v>
      </c>
      <c r="AC31" s="255" t="s">
        <v>66</v>
      </c>
      <c r="AD31" s="255" t="s">
        <v>66</v>
      </c>
      <c r="AE31" s="255" t="s">
        <v>66</v>
      </c>
      <c r="AF31" s="255" t="s">
        <v>66</v>
      </c>
      <c r="AG31" s="255" t="s">
        <v>66</v>
      </c>
      <c r="AH31" s="255" t="s">
        <v>66</v>
      </c>
      <c r="AI31" s="255" t="s">
        <v>66</v>
      </c>
      <c r="AJ31" s="255" t="s">
        <v>66</v>
      </c>
      <c r="AK31" s="96" t="s">
        <v>66</v>
      </c>
      <c r="AL31" s="147">
        <f t="shared" si="8"/>
        <v>15</v>
      </c>
      <c r="AM31" s="54" t="s">
        <v>89</v>
      </c>
      <c r="AN31" s="87">
        <v>-20</v>
      </c>
    </row>
    <row r="32" spans="2:40" ht="15.75" customHeight="1" x14ac:dyDescent="0.25">
      <c r="B32" s="96"/>
      <c r="C32" s="99" t="s">
        <v>44</v>
      </c>
      <c r="D32" s="99"/>
      <c r="E32" s="124">
        <f t="shared" si="6"/>
        <v>3728.65</v>
      </c>
      <c r="F32" s="262"/>
      <c r="G32" s="125"/>
      <c r="H32" s="126"/>
      <c r="I32" s="126">
        <v>50</v>
      </c>
      <c r="J32" s="277">
        <f>10.04</f>
        <v>10.039999999999999</v>
      </c>
      <c r="K32" s="126"/>
      <c r="L32" s="126">
        <f>3261.61</f>
        <v>3261.61</v>
      </c>
      <c r="M32" s="126">
        <v>307</v>
      </c>
      <c r="N32" s="126"/>
      <c r="O32" s="245"/>
      <c r="P32" s="126">
        <v>50</v>
      </c>
      <c r="Q32" s="126"/>
      <c r="R32" s="126"/>
      <c r="S32" s="126"/>
      <c r="T32" s="126"/>
      <c r="U32" s="126"/>
      <c r="V32" s="126"/>
      <c r="W32" s="126">
        <v>50</v>
      </c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96" t="s">
        <v>66</v>
      </c>
      <c r="AL32" s="147">
        <f t="shared" si="8"/>
        <v>16</v>
      </c>
      <c r="AM32" s="54" t="s">
        <v>109</v>
      </c>
      <c r="AN32" s="87">
        <v>-15</v>
      </c>
    </row>
    <row r="33" spans="2:40" ht="15.75" customHeight="1" x14ac:dyDescent="0.25">
      <c r="B33" s="96"/>
      <c r="C33" s="267">
        <f>SUM(C7:C30)</f>
        <v>214.82999999999998</v>
      </c>
      <c r="D33" s="164"/>
      <c r="E33" s="263"/>
      <c r="F33" s="165"/>
      <c r="G33" s="166"/>
      <c r="H33" s="167"/>
      <c r="I33" s="167"/>
      <c r="J33" s="168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97"/>
      <c r="AL33" s="147">
        <f t="shared" si="8"/>
        <v>17</v>
      </c>
      <c r="AM33" s="54" t="s">
        <v>81</v>
      </c>
      <c r="AN33" s="87">
        <v>-40</v>
      </c>
    </row>
    <row r="34" spans="2:40" ht="15.75" customHeight="1" x14ac:dyDescent="0.25">
      <c r="B34" s="96"/>
      <c r="C34" s="110" t="s">
        <v>205</v>
      </c>
      <c r="D34" s="110"/>
      <c r="E34" s="264"/>
      <c r="F34" s="58"/>
      <c r="G34" s="66"/>
      <c r="H34" s="251">
        <f>SUM($H6:H$6)</f>
        <v>0</v>
      </c>
      <c r="I34" s="251">
        <f>SUM($H6:I$6)</f>
        <v>-51.839999999999996</v>
      </c>
      <c r="J34" s="251">
        <f>SUM($H6:J$6)</f>
        <v>-86.75</v>
      </c>
      <c r="K34" s="251">
        <f>SUM($H6:K$6)</f>
        <v>-166.75</v>
      </c>
      <c r="L34" s="251">
        <f>SUM($H6:L$6)</f>
        <v>-195.41</v>
      </c>
      <c r="M34" s="251">
        <f>SUM($H6:M$6)</f>
        <v>-219.1</v>
      </c>
      <c r="N34" s="251">
        <f>SUM($H6:N$6)</f>
        <v>-241.18</v>
      </c>
      <c r="O34" s="251">
        <f>SUM($H6:O$6)</f>
        <v>-301.93</v>
      </c>
      <c r="P34" s="251">
        <f>SUM($H6:P$6)</f>
        <v>-361.44</v>
      </c>
      <c r="Q34" s="251">
        <f>SUM($H6:Q$6)</f>
        <v>-938.24</v>
      </c>
      <c r="R34" s="251">
        <f>SUM($H6:R$6)</f>
        <v>-1011.51</v>
      </c>
      <c r="S34" s="251">
        <f>SUM($H6:S$6)</f>
        <v>-1056.51</v>
      </c>
      <c r="T34" s="251">
        <f>SUM($H6:T$6)</f>
        <v>-1147.4100000000001</v>
      </c>
      <c r="U34" s="251">
        <f>SUM($H6:U$6)</f>
        <v>-1194.6200000000001</v>
      </c>
      <c r="V34" s="251">
        <f>SUM($H6:V$6)</f>
        <v>-1214.5700000000002</v>
      </c>
      <c r="W34" s="251">
        <f>SUM($H6:W$6)</f>
        <v>-1252.0700000000002</v>
      </c>
      <c r="X34" s="251">
        <f>SUM($H6:X$6)</f>
        <v>-1287.7100000000003</v>
      </c>
      <c r="Y34" s="251">
        <f>SUM($H6:Y$6)</f>
        <v>-1320.4500000000003</v>
      </c>
      <c r="Z34" s="251">
        <f>SUM($H6:Z$6)</f>
        <v>-1354.9300000000003</v>
      </c>
      <c r="AA34" s="251">
        <f>SUM($H6:AA$6)</f>
        <v>-1354.9300000000003</v>
      </c>
      <c r="AB34" s="251">
        <f>SUM($H6:AB$6)</f>
        <v>-1378.3200000000004</v>
      </c>
      <c r="AC34" s="251">
        <f>SUM($H6:AC$6)</f>
        <v>-1378.3200000000004</v>
      </c>
      <c r="AD34" s="251">
        <f>SUM($H6:AD$6)</f>
        <v>-1413.7000000000005</v>
      </c>
      <c r="AE34" s="251">
        <f>SUM($H6:AE$6)</f>
        <v>-1477.8600000000006</v>
      </c>
      <c r="AF34" s="251">
        <f>SUM($H6:AF$6)</f>
        <v>-1573.8500000000006</v>
      </c>
      <c r="AG34" s="251">
        <f>SUM($H6:AG$6)</f>
        <v>-1658.3600000000006</v>
      </c>
      <c r="AH34" s="251">
        <f>SUM($H6:AH$6)</f>
        <v>-1658.3600000000006</v>
      </c>
      <c r="AI34" s="251">
        <f>SUM($H6:AI$6)</f>
        <v>-1686.9600000000005</v>
      </c>
      <c r="AJ34" s="251">
        <f>SUM($H6:AJ$6)</f>
        <v>-1747.0600000000004</v>
      </c>
      <c r="AK34" s="97"/>
      <c r="AL34" s="147">
        <f t="shared" si="8"/>
        <v>18</v>
      </c>
      <c r="AM34" s="54" t="s">
        <v>28</v>
      </c>
      <c r="AN34" s="87">
        <v>-60</v>
      </c>
    </row>
    <row r="35" spans="2:40" ht="15.75" customHeight="1" x14ac:dyDescent="0.25">
      <c r="B35" s="96"/>
      <c r="C35" s="99" t="s">
        <v>69</v>
      </c>
      <c r="D35" s="169"/>
      <c r="E35" s="169"/>
      <c r="F35" s="44"/>
      <c r="G35" s="115">
        <f>'Dez2019'!AO36</f>
        <v>10544.64000000001</v>
      </c>
      <c r="H35" s="73">
        <f t="shared" ref="H35:AJ35" si="9">G45+H6+H32</f>
        <v>10544.64000000001</v>
      </c>
      <c r="I35" s="73">
        <f t="shared" si="9"/>
        <v>10542.80000000001</v>
      </c>
      <c r="J35" s="73">
        <f t="shared" si="9"/>
        <v>10517.930000000011</v>
      </c>
      <c r="K35" s="73">
        <f t="shared" si="9"/>
        <v>10437.930000000011</v>
      </c>
      <c r="L35" s="73">
        <f t="shared" si="9"/>
        <v>13670.880000000012</v>
      </c>
      <c r="M35" s="73">
        <f t="shared" si="9"/>
        <v>13954.190000000011</v>
      </c>
      <c r="N35" s="73">
        <f t="shared" si="9"/>
        <v>13932.110000000011</v>
      </c>
      <c r="O35" s="73">
        <f t="shared" si="9"/>
        <v>13871.360000000011</v>
      </c>
      <c r="P35" s="73">
        <f t="shared" si="9"/>
        <v>13861.850000000011</v>
      </c>
      <c r="Q35" s="73">
        <f t="shared" si="9"/>
        <v>13285.050000000012</v>
      </c>
      <c r="R35" s="73">
        <f t="shared" si="9"/>
        <v>13211.780000000012</v>
      </c>
      <c r="S35" s="73">
        <f t="shared" si="9"/>
        <v>13166.780000000012</v>
      </c>
      <c r="T35" s="73">
        <f t="shared" si="9"/>
        <v>13075.880000000012</v>
      </c>
      <c r="U35" s="73">
        <f t="shared" si="9"/>
        <v>13028.670000000013</v>
      </c>
      <c r="V35" s="73">
        <f t="shared" si="9"/>
        <v>13008.720000000012</v>
      </c>
      <c r="W35" s="73">
        <f t="shared" si="9"/>
        <v>13021.220000000012</v>
      </c>
      <c r="X35" s="73">
        <f t="shared" si="9"/>
        <v>12985.580000000013</v>
      </c>
      <c r="Y35" s="73">
        <f t="shared" si="9"/>
        <v>12952.840000000013</v>
      </c>
      <c r="Z35" s="73">
        <f t="shared" si="9"/>
        <v>12918.360000000013</v>
      </c>
      <c r="AA35" s="73">
        <f t="shared" si="9"/>
        <v>12918.360000000013</v>
      </c>
      <c r="AB35" s="73">
        <f t="shared" si="9"/>
        <v>12894.970000000014</v>
      </c>
      <c r="AC35" s="73">
        <f t="shared" si="9"/>
        <v>12894.970000000014</v>
      </c>
      <c r="AD35" s="73">
        <f t="shared" si="9"/>
        <v>12859.590000000015</v>
      </c>
      <c r="AE35" s="73">
        <f t="shared" si="9"/>
        <v>12795.430000000015</v>
      </c>
      <c r="AF35" s="73">
        <f t="shared" si="9"/>
        <v>12699.440000000015</v>
      </c>
      <c r="AG35" s="73">
        <f t="shared" si="9"/>
        <v>12614.930000000015</v>
      </c>
      <c r="AH35" s="73">
        <f t="shared" si="9"/>
        <v>12614.930000000015</v>
      </c>
      <c r="AI35" s="73">
        <f t="shared" si="9"/>
        <v>12586.330000000014</v>
      </c>
      <c r="AJ35" s="73">
        <f t="shared" si="9"/>
        <v>12526.230000000014</v>
      </c>
      <c r="AK35" s="97"/>
      <c r="AL35" s="147">
        <f t="shared" si="8"/>
        <v>19</v>
      </c>
      <c r="AM35" s="54" t="s">
        <v>120</v>
      </c>
      <c r="AN35" s="87">
        <f>-8-22</f>
        <v>-30</v>
      </c>
    </row>
    <row r="36" spans="2:40" ht="15.75" customHeight="1" x14ac:dyDescent="0.25">
      <c r="B36" s="96"/>
      <c r="C36" s="268" t="s">
        <v>61</v>
      </c>
      <c r="D36" s="268"/>
      <c r="E36" s="268"/>
      <c r="F36" s="269"/>
      <c r="G36" s="269"/>
      <c r="H36" s="270"/>
      <c r="I36" s="270"/>
      <c r="J36" s="270"/>
      <c r="K36" s="270"/>
      <c r="L36" s="270"/>
      <c r="M36" s="270"/>
      <c r="N36" s="270"/>
      <c r="O36" s="271"/>
      <c r="P36" s="271"/>
      <c r="Q36" s="271"/>
      <c r="R36" s="271"/>
      <c r="S36" s="271"/>
      <c r="T36" s="271"/>
      <c r="U36" s="271"/>
      <c r="V36" s="270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>
        <f>75</f>
        <v>75</v>
      </c>
      <c r="AH36" s="271"/>
      <c r="AI36" s="271"/>
      <c r="AJ36" s="271"/>
      <c r="AK36" s="97"/>
      <c r="AL36" s="147">
        <f t="shared" si="8"/>
        <v>20</v>
      </c>
      <c r="AM36" s="54" t="s">
        <v>40</v>
      </c>
      <c r="AN36" s="87">
        <v>0</v>
      </c>
    </row>
    <row r="37" spans="2:40" ht="15.75" customHeight="1" x14ac:dyDescent="0.25">
      <c r="B37" s="246"/>
      <c r="C37" s="272" t="s">
        <v>194</v>
      </c>
      <c r="D37" s="273"/>
      <c r="E37" s="273"/>
      <c r="F37" s="274"/>
      <c r="G37" s="274"/>
      <c r="H37" s="275"/>
      <c r="I37" s="275"/>
      <c r="J37" s="275"/>
      <c r="K37" s="275"/>
      <c r="L37" s="275"/>
      <c r="M37" s="275"/>
      <c r="N37" s="275"/>
      <c r="O37" s="276"/>
      <c r="P37" s="276"/>
      <c r="Q37" s="276"/>
      <c r="R37" s="276"/>
      <c r="S37" s="276"/>
      <c r="T37" s="276"/>
      <c r="U37" s="276"/>
      <c r="V37" s="275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>
        <f>6.45</f>
        <v>6.45</v>
      </c>
      <c r="AH37" s="276"/>
      <c r="AI37" s="276"/>
      <c r="AJ37" s="276"/>
      <c r="AK37" s="247"/>
      <c r="AL37" s="147">
        <f t="shared" si="8"/>
        <v>21</v>
      </c>
      <c r="AM37" s="54" t="s">
        <v>122</v>
      </c>
      <c r="AN37" s="87">
        <v>-50</v>
      </c>
    </row>
    <row r="38" spans="2:40" ht="15.75" customHeight="1" x14ac:dyDescent="0.25">
      <c r="B38" s="96"/>
      <c r="C38" s="268" t="s">
        <v>134</v>
      </c>
      <c r="D38" s="268"/>
      <c r="E38" s="268"/>
      <c r="F38" s="269"/>
      <c r="G38" s="269"/>
      <c r="H38" s="270"/>
      <c r="I38" s="270"/>
      <c r="J38" s="270"/>
      <c r="K38" s="270"/>
      <c r="L38" s="270"/>
      <c r="M38" s="270"/>
      <c r="N38" s="270"/>
      <c r="O38" s="271"/>
      <c r="P38" s="271"/>
      <c r="Q38" s="271"/>
      <c r="R38" s="271"/>
      <c r="S38" s="271"/>
      <c r="T38" s="271"/>
      <c r="U38" s="271"/>
      <c r="V38" s="270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>
        <f>-(5*45.59+5*41.64+1*19.96+3*19.97)</f>
        <v>-516.02</v>
      </c>
      <c r="AH38" s="271"/>
      <c r="AI38" s="271"/>
      <c r="AJ38" s="271"/>
      <c r="AK38" s="97"/>
      <c r="AL38" s="147">
        <f t="shared" si="8"/>
        <v>22</v>
      </c>
      <c r="AM38" s="54" t="s">
        <v>36</v>
      </c>
      <c r="AN38" s="87">
        <f>BaseDeDados!X22</f>
        <v>0</v>
      </c>
    </row>
    <row r="39" spans="2:40" ht="15.75" customHeight="1" x14ac:dyDescent="0.25">
      <c r="B39" s="96"/>
      <c r="C39" s="272" t="s">
        <v>70</v>
      </c>
      <c r="D39" s="273"/>
      <c r="E39" s="273"/>
      <c r="F39" s="274"/>
      <c r="G39" s="274"/>
      <c r="H39" s="275"/>
      <c r="I39" s="275"/>
      <c r="J39" s="275"/>
      <c r="K39" s="275"/>
      <c r="L39" s="275"/>
      <c r="M39" s="275"/>
      <c r="N39" s="275"/>
      <c r="O39" s="276"/>
      <c r="P39" s="276"/>
      <c r="Q39" s="276"/>
      <c r="R39" s="276"/>
      <c r="S39" s="276"/>
      <c r="T39" s="276"/>
      <c r="U39" s="276"/>
      <c r="V39" s="275"/>
      <c r="W39" s="276"/>
      <c r="X39" s="276"/>
      <c r="Y39" s="276"/>
      <c r="Z39" s="276"/>
      <c r="AA39" s="276"/>
      <c r="AB39" s="276"/>
      <c r="AC39" s="276"/>
      <c r="AD39" s="276"/>
      <c r="AE39" s="276"/>
      <c r="AF39" s="276"/>
      <c r="AG39" s="280">
        <f>-1337.6</f>
        <v>-1337.6</v>
      </c>
      <c r="AH39" s="276"/>
      <c r="AI39" s="276"/>
      <c r="AJ39" s="276"/>
      <c r="AK39" s="97"/>
      <c r="AL39" s="151">
        <f t="shared" si="8"/>
        <v>23</v>
      </c>
      <c r="AM39" s="63" t="s">
        <v>41</v>
      </c>
      <c r="AN39" s="98">
        <v>0</v>
      </c>
    </row>
    <row r="40" spans="2:40" ht="15.75" customHeight="1" x14ac:dyDescent="0.25">
      <c r="B40" s="96"/>
      <c r="C40" s="268" t="s">
        <v>204</v>
      </c>
      <c r="D40" s="268"/>
      <c r="E40" s="268"/>
      <c r="F40" s="269"/>
      <c r="G40" s="269"/>
      <c r="H40" s="270"/>
      <c r="I40" s="270"/>
      <c r="J40" s="270"/>
      <c r="K40" s="270"/>
      <c r="L40" s="270"/>
      <c r="M40" s="270"/>
      <c r="N40" s="270"/>
      <c r="O40" s="271"/>
      <c r="P40" s="271"/>
      <c r="Q40" s="271"/>
      <c r="R40" s="271"/>
      <c r="S40" s="271"/>
      <c r="T40" s="271"/>
      <c r="U40" s="271"/>
      <c r="V40" s="270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>
        <v>23.44</v>
      </c>
      <c r="AH40" s="271"/>
      <c r="AI40" s="271"/>
      <c r="AJ40" s="271"/>
      <c r="AK40" s="97"/>
    </row>
    <row r="41" spans="2:40" ht="15.75" customHeight="1" x14ac:dyDescent="0.25">
      <c r="B41" s="96"/>
      <c r="C41" s="272" t="s">
        <v>138</v>
      </c>
      <c r="D41" s="273"/>
      <c r="E41" s="273"/>
      <c r="F41" s="274"/>
      <c r="G41" s="274"/>
      <c r="H41" s="275"/>
      <c r="I41" s="275"/>
      <c r="J41" s="275"/>
      <c r="K41" s="275"/>
      <c r="L41" s="275"/>
      <c r="M41" s="275"/>
      <c r="N41" s="275"/>
      <c r="O41" s="276"/>
      <c r="P41" s="276"/>
      <c r="Q41" s="276"/>
      <c r="R41" s="276"/>
      <c r="S41" s="276"/>
      <c r="T41" s="276"/>
      <c r="U41" s="276"/>
      <c r="V41" s="275"/>
      <c r="W41" s="276"/>
      <c r="X41" s="276"/>
      <c r="Y41" s="276"/>
      <c r="Z41" s="276"/>
      <c r="AA41" s="276"/>
      <c r="AB41" s="276"/>
      <c r="AC41" s="276"/>
      <c r="AD41" s="276"/>
      <c r="AE41" s="276"/>
      <c r="AF41" s="276"/>
      <c r="AG41" s="276">
        <v>71.709999999999994</v>
      </c>
      <c r="AH41" s="276"/>
      <c r="AI41" s="276"/>
      <c r="AJ41" s="276"/>
      <c r="AK41" s="97"/>
    </row>
    <row r="42" spans="2:40" ht="15.75" customHeight="1" x14ac:dyDescent="0.25">
      <c r="B42" s="96"/>
      <c r="C42" s="268" t="s">
        <v>95</v>
      </c>
      <c r="D42" s="268"/>
      <c r="E42" s="268"/>
      <c r="F42" s="269"/>
      <c r="G42" s="269"/>
      <c r="H42" s="270"/>
      <c r="I42" s="270"/>
      <c r="J42" s="270"/>
      <c r="K42" s="270"/>
      <c r="L42" s="270"/>
      <c r="M42" s="270"/>
      <c r="N42" s="270"/>
      <c r="O42" s="271"/>
      <c r="P42" s="271"/>
      <c r="Q42" s="271"/>
      <c r="R42" s="271"/>
      <c r="S42" s="271"/>
      <c r="T42" s="271"/>
      <c r="U42" s="271"/>
      <c r="V42" s="270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>
        <f>15173.25</f>
        <v>15173.25</v>
      </c>
      <c r="AH42" s="271"/>
      <c r="AI42" s="271"/>
      <c r="AJ42" s="271"/>
      <c r="AK42" s="97"/>
    </row>
    <row r="43" spans="2:40" ht="15.75" customHeight="1" x14ac:dyDescent="0.25">
      <c r="B43" s="96"/>
      <c r="C43" s="272" t="s">
        <v>73</v>
      </c>
      <c r="D43" s="273"/>
      <c r="E43" s="273"/>
      <c r="F43" s="274"/>
      <c r="G43" s="274"/>
      <c r="H43" s="275"/>
      <c r="I43" s="275"/>
      <c r="J43" s="275"/>
      <c r="K43" s="275"/>
      <c r="L43" s="275"/>
      <c r="M43" s="275"/>
      <c r="N43" s="275"/>
      <c r="O43" s="276"/>
      <c r="P43" s="276"/>
      <c r="Q43" s="276"/>
      <c r="R43" s="276"/>
      <c r="S43" s="276"/>
      <c r="T43" s="276"/>
      <c r="U43" s="276"/>
      <c r="V43" s="275"/>
      <c r="W43" s="276"/>
      <c r="X43" s="276"/>
      <c r="Y43" s="276"/>
      <c r="Z43" s="276"/>
      <c r="AA43" s="276"/>
      <c r="AB43" s="276"/>
      <c r="AC43" s="276"/>
      <c r="AD43" s="276"/>
      <c r="AE43" s="276"/>
      <c r="AF43" s="276"/>
      <c r="AG43" s="276">
        <v>1864</v>
      </c>
      <c r="AH43" s="276"/>
      <c r="AI43" s="276"/>
      <c r="AJ43" s="276"/>
      <c r="AK43" s="97"/>
    </row>
    <row r="44" spans="2:40" ht="15.75" customHeight="1" x14ac:dyDescent="0.25">
      <c r="B44" s="96"/>
      <c r="C44" s="268" t="s">
        <v>119</v>
      </c>
      <c r="D44" s="268"/>
      <c r="E44" s="268"/>
      <c r="F44" s="269"/>
      <c r="G44" s="269"/>
      <c r="H44" s="270"/>
      <c r="I44" s="270"/>
      <c r="J44" s="270"/>
      <c r="K44" s="270"/>
      <c r="L44" s="270"/>
      <c r="M44" s="270"/>
      <c r="N44" s="270"/>
      <c r="O44" s="271"/>
      <c r="P44" s="271"/>
      <c r="Q44" s="271"/>
      <c r="R44" s="271"/>
      <c r="S44" s="271"/>
      <c r="T44" s="271"/>
      <c r="U44" s="271"/>
      <c r="V44" s="270"/>
      <c r="W44" s="271"/>
      <c r="X44" s="271"/>
      <c r="Y44" s="271"/>
      <c r="Z44" s="271"/>
      <c r="AA44" s="271"/>
      <c r="AB44" s="271"/>
      <c r="AC44" s="271"/>
      <c r="AD44" s="271"/>
      <c r="AE44" s="271"/>
      <c r="AF44" s="271"/>
      <c r="AG44" s="271">
        <v>0</v>
      </c>
      <c r="AH44" s="271"/>
      <c r="AI44" s="271"/>
      <c r="AJ44" s="271"/>
      <c r="AK44" s="97"/>
    </row>
    <row r="45" spans="2:40" ht="15.75" customHeight="1" x14ac:dyDescent="0.25">
      <c r="B45" s="96"/>
      <c r="C45" s="86" t="s">
        <v>80</v>
      </c>
      <c r="D45" s="86"/>
      <c r="E45" s="86"/>
      <c r="F45" s="12"/>
      <c r="G45" s="50">
        <f t="shared" ref="G45:AJ45" si="10">G35</f>
        <v>10544.64000000001</v>
      </c>
      <c r="H45" s="50">
        <f t="shared" si="10"/>
        <v>10544.64000000001</v>
      </c>
      <c r="I45" s="50">
        <f t="shared" si="10"/>
        <v>10542.80000000001</v>
      </c>
      <c r="J45" s="50">
        <f t="shared" si="10"/>
        <v>10517.930000000011</v>
      </c>
      <c r="K45" s="50">
        <f t="shared" si="10"/>
        <v>10437.930000000011</v>
      </c>
      <c r="L45" s="50">
        <f t="shared" si="10"/>
        <v>13670.880000000012</v>
      </c>
      <c r="M45" s="50">
        <f t="shared" si="10"/>
        <v>13954.190000000011</v>
      </c>
      <c r="N45" s="50">
        <f t="shared" si="10"/>
        <v>13932.110000000011</v>
      </c>
      <c r="O45" s="50">
        <f t="shared" si="10"/>
        <v>13871.360000000011</v>
      </c>
      <c r="P45" s="50">
        <f t="shared" si="10"/>
        <v>13861.850000000011</v>
      </c>
      <c r="Q45" s="50">
        <f t="shared" si="10"/>
        <v>13285.050000000012</v>
      </c>
      <c r="R45" s="50">
        <f t="shared" si="10"/>
        <v>13211.780000000012</v>
      </c>
      <c r="S45" s="50">
        <f t="shared" si="10"/>
        <v>13166.780000000012</v>
      </c>
      <c r="T45" s="50">
        <f t="shared" si="10"/>
        <v>13075.880000000012</v>
      </c>
      <c r="U45" s="50">
        <f t="shared" si="10"/>
        <v>13028.670000000013</v>
      </c>
      <c r="V45" s="50">
        <f t="shared" si="10"/>
        <v>13008.720000000012</v>
      </c>
      <c r="W45" s="50">
        <f t="shared" si="10"/>
        <v>13021.220000000012</v>
      </c>
      <c r="X45" s="50">
        <f t="shared" si="10"/>
        <v>12985.580000000013</v>
      </c>
      <c r="Y45" s="50">
        <f t="shared" si="10"/>
        <v>12952.840000000013</v>
      </c>
      <c r="Z45" s="50">
        <f t="shared" si="10"/>
        <v>12918.360000000013</v>
      </c>
      <c r="AA45" s="50">
        <f t="shared" si="10"/>
        <v>12918.360000000013</v>
      </c>
      <c r="AB45" s="50">
        <f t="shared" si="10"/>
        <v>12894.970000000014</v>
      </c>
      <c r="AC45" s="50">
        <f t="shared" si="10"/>
        <v>12894.970000000014</v>
      </c>
      <c r="AD45" s="170">
        <f t="shared" si="10"/>
        <v>12859.590000000015</v>
      </c>
      <c r="AE45" s="50">
        <f t="shared" si="10"/>
        <v>12795.430000000015</v>
      </c>
      <c r="AF45" s="50">
        <f t="shared" si="10"/>
        <v>12699.440000000015</v>
      </c>
      <c r="AG45" s="50">
        <f t="shared" si="10"/>
        <v>12614.930000000015</v>
      </c>
      <c r="AH45" s="50">
        <f t="shared" si="10"/>
        <v>12614.930000000015</v>
      </c>
      <c r="AI45" s="50">
        <f t="shared" si="10"/>
        <v>12586.330000000014</v>
      </c>
      <c r="AJ45" s="50">
        <f t="shared" si="10"/>
        <v>12526.230000000014</v>
      </c>
      <c r="AK45" s="97"/>
    </row>
    <row r="46" spans="2:40" ht="15.75" customHeight="1" x14ac:dyDescent="0.25">
      <c r="B46" s="96"/>
      <c r="C46" s="117" t="s">
        <v>74</v>
      </c>
      <c r="D46" s="117"/>
      <c r="E46" s="265"/>
      <c r="F46" s="70"/>
      <c r="G46" s="70"/>
      <c r="H46" s="138"/>
      <c r="I46" s="138"/>
      <c r="J46" s="138"/>
      <c r="K46" s="138"/>
      <c r="L46" s="138"/>
      <c r="M46" s="138"/>
      <c r="N46" s="138"/>
      <c r="O46" s="69"/>
      <c r="P46" s="69"/>
      <c r="Q46" s="69"/>
      <c r="R46" s="69"/>
      <c r="S46" s="71"/>
      <c r="T46" s="71"/>
      <c r="U46" s="71">
        <f>SUM(U36:U44)</f>
        <v>0</v>
      </c>
      <c r="V46" s="252"/>
      <c r="W46" s="71"/>
      <c r="X46" s="69"/>
      <c r="Y46" s="71"/>
      <c r="Z46" s="71"/>
      <c r="AA46" s="71"/>
      <c r="AB46" s="71"/>
      <c r="AC46" s="71"/>
      <c r="AD46" s="1"/>
      <c r="AE46" s="71"/>
      <c r="AF46" s="71"/>
      <c r="AG46" s="71">
        <f>SUM(AG36:AG44)</f>
        <v>15360.23</v>
      </c>
      <c r="AH46" s="71"/>
      <c r="AI46" s="71"/>
      <c r="AJ46" s="71"/>
      <c r="AK46" s="97"/>
    </row>
    <row r="47" spans="2:40" ht="15.75" customHeight="1" x14ac:dyDescent="0.25">
      <c r="B47" s="96"/>
      <c r="C47" s="97"/>
      <c r="D47" s="97"/>
      <c r="E47" s="247"/>
      <c r="F47" s="127"/>
      <c r="G47" s="12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6"/>
    </row>
    <row r="48" spans="2:40" ht="9" customHeight="1" x14ac:dyDescent="0.25"/>
    <row r="49" spans="3:36" ht="15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ht="15.75" customHeight="1" x14ac:dyDescent="0.25">
      <c r="C50" s="1"/>
      <c r="D50" s="1"/>
      <c r="E50" s="1"/>
      <c r="F50" s="1"/>
      <c r="G50" s="1"/>
      <c r="N50" s="5"/>
      <c r="O50" s="5"/>
      <c r="P50" s="5"/>
      <c r="Q50" s="128"/>
      <c r="R50" s="5"/>
      <c r="S50" s="5"/>
      <c r="T50" s="5"/>
      <c r="U50" s="128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3:36" ht="15.75" customHeight="1" x14ac:dyDescent="0.25">
      <c r="C51" s="1"/>
      <c r="D51" s="1"/>
      <c r="E51" s="1"/>
      <c r="F51" s="1"/>
      <c r="G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3:36" ht="15.75" customHeight="1" x14ac:dyDescent="0.25">
      <c r="C52" s="1"/>
      <c r="D52" s="1"/>
      <c r="E52" s="1"/>
      <c r="F52" s="1"/>
      <c r="G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3:36" ht="15.75" customHeight="1" x14ac:dyDescent="0.25">
      <c r="C53" s="1"/>
      <c r="D53" s="1"/>
      <c r="E53" s="1"/>
      <c r="F53" s="1"/>
      <c r="G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</row>
    <row r="54" spans="3:36" ht="15.75" customHeight="1" x14ac:dyDescent="0.25">
      <c r="C54" s="1"/>
      <c r="D54" s="1"/>
      <c r="E54" s="1"/>
      <c r="F54" s="1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</row>
    <row r="55" spans="3:36" ht="15.75" customHeight="1" x14ac:dyDescent="0.25">
      <c r="F55" s="15"/>
      <c r="G55" s="1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ht="15.75" customHeight="1" x14ac:dyDescent="0.25">
      <c r="L56" s="1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</row>
    <row r="57" spans="3:36" ht="15.75" customHeight="1" x14ac:dyDescent="0.25"/>
    <row r="58" spans="3:36" ht="15.75" customHeight="1" x14ac:dyDescent="0.25"/>
    <row r="59" spans="3:36" ht="15.7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ht="15.7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ht="15.7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ht="15.7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ht="15.7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ht="15.7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ht="15.7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ht="15.7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ht="15.7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ht="15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ht="15.7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ht="15.7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ht="15.7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ht="15.7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ht="15.7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ht="15.7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ht="15.7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ht="15.7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ht="15.7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ht="15.7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ht="15.7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ht="15.7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ht="15.7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ht="15.7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ht="15.7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ht="15.7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ht="15.7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ht="15.7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ht="15.7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ht="15.7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3:36" ht="15.7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3:36" ht="15.7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3:36" ht="15.7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3:36" ht="15.7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3:36" ht="15.7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3:36" ht="15.7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3:36" ht="15.7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3:36" ht="15.7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3:36" ht="15.7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3:36" ht="15.7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3:36" ht="15.7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3:36" ht="15.7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3:36" ht="15.7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3:36" ht="15.7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3:36" ht="15.7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3:36" ht="15.7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3:36" ht="15.7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3:36" ht="15.7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3:36" ht="15.7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3:36" ht="15.7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3:36" ht="15.7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3:36" ht="15.7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3:36" ht="15.7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3:36" ht="15.7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3:36" ht="15.7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3:36" ht="15.7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3:36" ht="15.7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3:36" ht="15.7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3:36" ht="15.7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3:36" ht="15.7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3:36" ht="15.7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3:36" ht="15.7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3:36" ht="15.7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3:36" ht="15.7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3:36" ht="15.7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3:36" ht="15.7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3:36" ht="15.7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3:36" ht="15.7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3:36" ht="15.7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3:36" ht="15.7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3:36" ht="15.7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3:36" ht="15.7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3:36" ht="15.7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3:36" ht="15.7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3:36" ht="15.7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3:36" ht="15.7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3:36" ht="15.7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3:36" ht="15.7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3:36" ht="15.7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3:36" ht="15.7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3:36" ht="15.7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3:36" ht="15.7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3:36" ht="15.7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3:36" ht="15.7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3:36" ht="15.7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3:36" ht="15.7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3:36" ht="15.7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3:36" ht="15.7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3:36" ht="15.7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3:36" ht="15.7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3:36" ht="15.7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3:36" ht="15.7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3:36" ht="15.7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3:36" ht="15.7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3:36" ht="15.7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3:36" ht="15.7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3:36" ht="15.7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3:36" ht="15.7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3:36" ht="15.7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3:36" ht="15.7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3:36" ht="15.7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3:36" ht="15.7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3:36" ht="15.7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3:36" ht="15.7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3:36" ht="15.7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3:36" ht="15.7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3:36" ht="15.7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3:36" ht="15.7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3:36" ht="15.7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3:36" ht="15.7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3:36" ht="15.7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3:36" ht="15.7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3:36" ht="15.7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3:36" ht="15.7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3:36" ht="15.7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3:36" ht="15.7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3:36" ht="15.7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3:36" ht="15.7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3:36" ht="15.7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3:36" ht="15.7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3:36" ht="15.7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3:36" ht="15.7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3:36" ht="15.7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3:36" ht="15.7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3:36" ht="15.7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3:36" ht="15.7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3:36" ht="15.7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3:36" ht="15.7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3:36" ht="15.7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3:36" ht="15.7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3:36" ht="15.7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3:36" ht="15.7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3:36" ht="15.7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3:36" ht="15.7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3:36" ht="15.7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3:36" ht="15.7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3:36" ht="15.7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3:36" ht="15.7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3:36" ht="15.7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3:36" ht="15.7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3:36" ht="15.7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3:36" ht="15.7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3:36" ht="15.7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3:36" ht="15.7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3:36" ht="15.7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3:36" ht="15.7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3:36" ht="15.7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3:36" ht="15.7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3:36" ht="15.7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3:36" ht="15.7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3:36" ht="15.7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3:36" ht="15.7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3:36" ht="15.7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3:36" ht="15.7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3:36" ht="15.7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3:36" ht="15.7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3:36" ht="15.7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3:36" ht="15.7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3:36" ht="15.7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3:36" ht="15.7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3:36" ht="15.7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3:36" ht="15.7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3:36" ht="15.7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3:36" ht="15.7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3:36" ht="15.7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3:36" ht="15.7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3:36" ht="15.7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3:36" ht="15.7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3:36" ht="15.7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3:36" ht="15.7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3:36" ht="15.7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3:36" ht="15.7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3:36" ht="15.7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3:36" ht="15.7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3:36" ht="15.7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3:36" ht="15.7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3:36" ht="15.7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3:36" ht="15.7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3:36" ht="15.7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3:36" ht="15.7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3:36" ht="15.7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3:36" ht="15.7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3:36" ht="15.7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3:36" ht="15.7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3:36" ht="15.7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3:36" ht="15.7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3:36" ht="15.75" customHeight="1" x14ac:dyDescent="0.25"/>
    <row r="254" spans="3:36" ht="15.75" customHeight="1" x14ac:dyDescent="0.25"/>
    <row r="255" spans="3:36" ht="15.75" customHeight="1" x14ac:dyDescent="0.25"/>
    <row r="256" spans="3:3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AM7:AN7"/>
  </mergeCells>
  <conditionalFormatting sqref="A4 AN10 C8">
    <cfRule type="cellIs" dxfId="44" priority="7" operator="lessThan">
      <formula>0</formula>
    </cfRule>
  </conditionalFormatting>
  <conditionalFormatting sqref="A4 AN10 C8">
    <cfRule type="cellIs" dxfId="43" priority="8" operator="greaterThan">
      <formula>0</formula>
    </cfRule>
  </conditionalFormatting>
  <conditionalFormatting sqref="A4 AN10">
    <cfRule type="cellIs" dxfId="42" priority="9" operator="lessThan">
      <formula>0</formula>
    </cfRule>
  </conditionalFormatting>
  <conditionalFormatting sqref="C8">
    <cfRule type="cellIs" dxfId="41" priority="10" operator="equal">
      <formula>0</formula>
    </cfRule>
  </conditionalFormatting>
  <conditionalFormatting sqref="A9">
    <cfRule type="cellIs" dxfId="40" priority="11" operator="lessThan">
      <formula>0</formula>
    </cfRule>
  </conditionalFormatting>
  <conditionalFormatting sqref="F4">
    <cfRule type="cellIs" dxfId="39" priority="12" operator="lessThan">
      <formula>0</formula>
    </cfRule>
  </conditionalFormatting>
  <conditionalFormatting sqref="F4">
    <cfRule type="cellIs" dxfId="38" priority="13" operator="greaterThan">
      <formula>0</formula>
    </cfRule>
  </conditionalFormatting>
  <conditionalFormatting sqref="F4">
    <cfRule type="cellIs" dxfId="37" priority="14" operator="lessThan">
      <formula>0</formula>
    </cfRule>
  </conditionalFormatting>
  <conditionalFormatting sqref="AN12">
    <cfRule type="cellIs" dxfId="36" priority="15" operator="lessThan">
      <formula>0</formula>
    </cfRule>
  </conditionalFormatting>
  <conditionalFormatting sqref="AN13">
    <cfRule type="cellIs" dxfId="35" priority="16" operator="lessThan">
      <formula>0</formula>
    </cfRule>
  </conditionalFormatting>
  <conditionalFormatting sqref="AN13">
    <cfRule type="cellIs" dxfId="34" priority="17" operator="greaterThan">
      <formula>0</formula>
    </cfRule>
  </conditionalFormatting>
  <conditionalFormatting sqref="AN13">
    <cfRule type="cellIs" dxfId="33" priority="18" operator="lessThan">
      <formula>0</formula>
    </cfRule>
  </conditionalFormatting>
  <conditionalFormatting sqref="C7">
    <cfRule type="cellIs" dxfId="32" priority="19" operator="equal">
      <formula>0</formula>
    </cfRule>
  </conditionalFormatting>
  <conditionalFormatting sqref="C7">
    <cfRule type="cellIs" dxfId="31" priority="20" operator="lessThan">
      <formula>0</formula>
    </cfRule>
  </conditionalFormatting>
  <conditionalFormatting sqref="C7">
    <cfRule type="cellIs" dxfId="30" priority="21" operator="greaterThan">
      <formula>0</formula>
    </cfRule>
  </conditionalFormatting>
  <conditionalFormatting sqref="C10 C12 C14 C16 C18 C20 C22 C24 C26 C29 C31">
    <cfRule type="cellIs" dxfId="29" priority="1" operator="lessThan">
      <formula>0</formula>
    </cfRule>
  </conditionalFormatting>
  <conditionalFormatting sqref="C10 C12 C14 C16 C18 C20 C22 C24 C26 C29 C31">
    <cfRule type="cellIs" dxfId="28" priority="2" operator="greaterThan">
      <formula>0</formula>
    </cfRule>
  </conditionalFormatting>
  <conditionalFormatting sqref="C10 C12 C14 C16 C18 C20 C22 C24 C26 C29 C31">
    <cfRule type="cellIs" dxfId="27" priority="3" operator="equal">
      <formula>0</formula>
    </cfRule>
  </conditionalFormatting>
  <conditionalFormatting sqref="C9 C11 C13 C15 C17 C19 C21 C23 C25 C27:C28 C30">
    <cfRule type="cellIs" dxfId="26" priority="4" operator="equal">
      <formula>0</formula>
    </cfRule>
  </conditionalFormatting>
  <conditionalFormatting sqref="C9 C11 C13 C15 C17 C19 C21 C23 C25 C27:C28 C30">
    <cfRule type="cellIs" dxfId="25" priority="5" operator="lessThan">
      <formula>0</formula>
    </cfRule>
  </conditionalFormatting>
  <conditionalFormatting sqref="C9 C11 C13 C15 C17 C19 C21 C23 C25 C27:C28 C30">
    <cfRule type="cellIs" dxfId="24" priority="6" operator="greaterThan">
      <formula>0</formula>
    </cfRule>
  </conditionalFormatting>
  <pageMargins left="0.511811024" right="0.511811024" top="0.78740157499999996" bottom="0.78740157499999996" header="0" footer="0"/>
  <pageSetup orientation="landscape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1BA2-6643-4A84-B6E2-BA948A39B40E}">
  <dimension ref="A1:AS1003"/>
  <sheetViews>
    <sheetView showGridLines="0" zoomScale="80" zoomScaleNormal="80" workbookViewId="0">
      <pane xSplit="6" ySplit="7" topLeftCell="G8" activePane="bottomRight" state="frozen"/>
      <selection pane="topRight" activeCell="J1" sqref="J1"/>
      <selection pane="bottomLeft" activeCell="A7" sqref="A7"/>
      <selection pane="bottomRight" activeCell="E29" sqref="E29"/>
    </sheetView>
  </sheetViews>
  <sheetFormatPr defaultColWidth="14.42578125" defaultRowHeight="15" customHeight="1" x14ac:dyDescent="0.25"/>
  <cols>
    <col min="1" max="1" width="1.28515625" customWidth="1"/>
    <col min="2" max="2" width="1.7109375" customWidth="1"/>
    <col min="3" max="3" width="11.28515625" bestFit="1" customWidth="1"/>
    <col min="4" max="4" width="8.5703125" customWidth="1"/>
    <col min="5" max="5" width="12.28515625" bestFit="1" customWidth="1"/>
    <col min="6" max="6" width="16.28515625" bestFit="1" customWidth="1"/>
    <col min="7" max="10" width="8.140625" bestFit="1" customWidth="1"/>
    <col min="11" max="11" width="8.5703125" bestFit="1" customWidth="1"/>
    <col min="12" max="12" width="8.7109375" bestFit="1" customWidth="1"/>
    <col min="13" max="14" width="8.140625" bestFit="1" customWidth="1"/>
    <col min="15" max="15" width="8.5703125" bestFit="1" customWidth="1"/>
    <col min="16" max="19" width="8.140625" bestFit="1" customWidth="1"/>
    <col min="20" max="20" width="8.5703125" bestFit="1" customWidth="1"/>
    <col min="21" max="21" width="9.85546875" bestFit="1" customWidth="1"/>
    <col min="22" max="28" width="8.140625" bestFit="1" customWidth="1"/>
    <col min="29" max="29" width="8.5703125" bestFit="1" customWidth="1"/>
    <col min="30" max="32" width="8.140625" bestFit="1" customWidth="1"/>
    <col min="33" max="33" width="8.85546875" bestFit="1" customWidth="1"/>
    <col min="34" max="36" width="8.140625" bestFit="1" customWidth="1"/>
    <col min="37" max="38" width="8.140625" customWidth="1"/>
    <col min="39" max="39" width="2" customWidth="1"/>
    <col min="40" max="40" width="3.42578125" bestFit="1" customWidth="1"/>
    <col min="41" max="41" width="22.85546875" bestFit="1" customWidth="1"/>
    <col min="42" max="42" width="16" bestFit="1" customWidth="1"/>
    <col min="44" max="44" width="5.5703125" bestFit="1" customWidth="1"/>
    <col min="45" max="45" width="5" bestFit="1" customWidth="1"/>
  </cols>
  <sheetData>
    <row r="1" spans="1:45" ht="6.75" customHeight="1" x14ac:dyDescent="0.25">
      <c r="B1" s="96"/>
      <c r="C1" s="96"/>
      <c r="D1" s="96"/>
      <c r="E1" s="24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246"/>
      <c r="AL1" s="246"/>
      <c r="AM1" s="96"/>
    </row>
    <row r="2" spans="1:45" ht="14.25" customHeight="1" thickBot="1" x14ac:dyDescent="0.3">
      <c r="B2" s="246"/>
      <c r="C2" s="246"/>
      <c r="D2" s="246"/>
      <c r="E2" s="246"/>
      <c r="F2" s="246"/>
      <c r="G2" s="281" t="s">
        <v>66</v>
      </c>
      <c r="H2" s="282">
        <f>H3</f>
        <v>1.4351651385340896E-2</v>
      </c>
      <c r="I2" s="282">
        <f>H2+I3</f>
        <v>2.564577704076134E-2</v>
      </c>
      <c r="J2" s="282">
        <f t="shared" ref="J2:AL2" si="0">I2+J3</f>
        <v>5.0775348438808834E-2</v>
      </c>
      <c r="K2" s="282">
        <f t="shared" si="0"/>
        <v>6.4678865255200349E-2</v>
      </c>
      <c r="L2" s="282">
        <f t="shared" si="0"/>
        <v>6.836604841744208E-2</v>
      </c>
      <c r="M2" s="282">
        <f t="shared" si="0"/>
        <v>7.1202343157628023E-2</v>
      </c>
      <c r="N2" s="282">
        <f t="shared" si="0"/>
        <v>0.11537479744128398</v>
      </c>
      <c r="O2" s="282">
        <f t="shared" si="0"/>
        <v>0.48595372301501916</v>
      </c>
      <c r="P2" s="282">
        <f t="shared" si="0"/>
        <v>0.48595372301501916</v>
      </c>
      <c r="Q2" s="282">
        <f t="shared" si="0"/>
        <v>0.51120241879215444</v>
      </c>
      <c r="R2" s="282">
        <f t="shared" si="0"/>
        <v>0.53883360215104592</v>
      </c>
      <c r="S2" s="282">
        <f t="shared" si="0"/>
        <v>0.55273711896743749</v>
      </c>
      <c r="T2" s="282">
        <f t="shared" si="0"/>
        <v>0.60708052618940023</v>
      </c>
      <c r="U2" s="282">
        <f t="shared" si="0"/>
        <v>0.60991682092958621</v>
      </c>
      <c r="V2" s="282">
        <f t="shared" si="0"/>
        <v>0.63983973043854792</v>
      </c>
      <c r="W2" s="282">
        <f t="shared" si="0"/>
        <v>0.6965712978317472</v>
      </c>
      <c r="X2" s="282">
        <f t="shared" si="0"/>
        <v>0.71047481464813877</v>
      </c>
      <c r="Y2" s="282">
        <f t="shared" si="0"/>
        <v>0.71047481464813877</v>
      </c>
      <c r="Z2" s="282">
        <f t="shared" si="0"/>
        <v>0.72437833146453035</v>
      </c>
      <c r="AA2" s="282">
        <f t="shared" si="0"/>
        <v>0.72917734216492502</v>
      </c>
      <c r="AB2" s="282">
        <f t="shared" si="0"/>
        <v>0.73862220364974418</v>
      </c>
      <c r="AC2" s="282">
        <f t="shared" si="0"/>
        <v>0.73862220364974418</v>
      </c>
      <c r="AD2" s="282">
        <f t="shared" si="0"/>
        <v>0.74429479313011604</v>
      </c>
      <c r="AE2" s="282">
        <f t="shared" si="0"/>
        <v>0.74429479313011604</v>
      </c>
      <c r="AF2" s="282">
        <f t="shared" si="0"/>
        <v>0.76811966894767802</v>
      </c>
      <c r="AG2" s="282">
        <f t="shared" si="0"/>
        <v>0.76811966894767802</v>
      </c>
      <c r="AH2" s="282">
        <f t="shared" si="0"/>
        <v>0.76811966894767802</v>
      </c>
      <c r="AI2" s="282">
        <f t="shared" si="0"/>
        <v>0.81825968736468524</v>
      </c>
      <c r="AJ2" s="282">
        <f t="shared" si="0"/>
        <v>0.90451141041373995</v>
      </c>
      <c r="AK2" s="282">
        <f t="shared" si="0"/>
        <v>0.90451141041373995</v>
      </c>
      <c r="AL2" s="282">
        <f t="shared" si="0"/>
        <v>0.90451141041373995</v>
      </c>
      <c r="AM2" s="246"/>
    </row>
    <row r="3" spans="1:45" x14ac:dyDescent="0.25">
      <c r="A3" s="121"/>
      <c r="B3" s="96"/>
      <c r="D3" s="144"/>
      <c r="E3" s="74" t="s">
        <v>45</v>
      </c>
      <c r="F3" s="75">
        <f>SUM(E8:E32)</f>
        <v>-1762.8633333333332</v>
      </c>
      <c r="G3" s="12"/>
      <c r="H3" s="48">
        <f>H7/$F$3</f>
        <v>1.4351651385340896E-2</v>
      </c>
      <c r="I3" s="48">
        <f t="shared" ref="I3:AL3" si="1">I7/$F$3</f>
        <v>1.1294125655420444E-2</v>
      </c>
      <c r="J3" s="48">
        <f t="shared" si="1"/>
        <v>2.5129571398047494E-2</v>
      </c>
      <c r="K3" s="48">
        <f t="shared" si="1"/>
        <v>1.3903516816391516E-2</v>
      </c>
      <c r="L3" s="48">
        <f t="shared" si="1"/>
        <v>3.6871831622417319E-3</v>
      </c>
      <c r="M3" s="48">
        <f t="shared" si="1"/>
        <v>2.8362947401859477E-3</v>
      </c>
      <c r="N3" s="48">
        <f t="shared" si="1"/>
        <v>4.4172454283655953E-2</v>
      </c>
      <c r="O3" s="48">
        <f t="shared" si="1"/>
        <v>0.37057892557373517</v>
      </c>
      <c r="P3" s="48">
        <f t="shared" si="1"/>
        <v>0</v>
      </c>
      <c r="Q3" s="48">
        <f t="shared" si="1"/>
        <v>2.5248695777135309E-2</v>
      </c>
      <c r="R3" s="48">
        <f t="shared" si="1"/>
        <v>2.7631183358891503E-2</v>
      </c>
      <c r="S3" s="48">
        <f t="shared" si="1"/>
        <v>1.3903516816391516E-2</v>
      </c>
      <c r="T3" s="48">
        <f t="shared" si="1"/>
        <v>5.4343407221962757E-2</v>
      </c>
      <c r="U3" s="48">
        <f t="shared" si="1"/>
        <v>2.8362947401859477E-3</v>
      </c>
      <c r="V3" s="48">
        <f t="shared" si="1"/>
        <v>2.9922909508961749E-2</v>
      </c>
      <c r="W3" s="48">
        <f t="shared" si="1"/>
        <v>5.6731567393199331E-2</v>
      </c>
      <c r="X3" s="48">
        <f t="shared" si="1"/>
        <v>1.3903516816391516E-2</v>
      </c>
      <c r="Y3" s="48">
        <f t="shared" si="1"/>
        <v>0</v>
      </c>
      <c r="Z3" s="48">
        <f t="shared" si="1"/>
        <v>1.3903516816391516E-2</v>
      </c>
      <c r="AA3" s="48">
        <f t="shared" si="1"/>
        <v>4.7990107003946236E-3</v>
      </c>
      <c r="AB3" s="48">
        <f t="shared" si="1"/>
        <v>9.4448614848192045E-3</v>
      </c>
      <c r="AC3" s="48">
        <f t="shared" si="1"/>
        <v>0</v>
      </c>
      <c r="AD3" s="48">
        <f t="shared" si="1"/>
        <v>5.6725894803718955E-3</v>
      </c>
      <c r="AE3" s="48">
        <f t="shared" si="1"/>
        <v>0</v>
      </c>
      <c r="AF3" s="48">
        <f t="shared" si="1"/>
        <v>2.3824875817561961E-2</v>
      </c>
      <c r="AG3" s="48">
        <f t="shared" si="1"/>
        <v>0</v>
      </c>
      <c r="AH3" s="48">
        <f t="shared" si="1"/>
        <v>0</v>
      </c>
      <c r="AI3" s="48">
        <f t="shared" si="1"/>
        <v>5.014001841700718E-2</v>
      </c>
      <c r="AJ3" s="48">
        <f t="shared" si="1"/>
        <v>8.6251723049054679E-2</v>
      </c>
      <c r="AK3" s="48">
        <f t="shared" si="1"/>
        <v>0</v>
      </c>
      <c r="AL3" s="48">
        <f t="shared" si="1"/>
        <v>0</v>
      </c>
      <c r="AM3" s="97"/>
    </row>
    <row r="4" spans="1:45" hidden="1" x14ac:dyDescent="0.25">
      <c r="A4" s="54"/>
      <c r="B4" s="96"/>
      <c r="D4" s="54"/>
      <c r="E4" s="76"/>
      <c r="F4" s="77"/>
      <c r="G4" s="1"/>
      <c r="H4" s="55" t="str">
        <f t="shared" ref="H4:AL4" si="2">IF(OR(H5="sex",H5="sáb",H5="dom"),"fds","sem")</f>
        <v>sem</v>
      </c>
      <c r="I4" s="55" t="str">
        <f t="shared" si="2"/>
        <v>sem</v>
      </c>
      <c r="J4" s="55" t="str">
        <f t="shared" si="2"/>
        <v>sem</v>
      </c>
      <c r="K4" s="55" t="str">
        <f t="shared" si="2"/>
        <v>sem</v>
      </c>
      <c r="L4" s="55" t="str">
        <f t="shared" si="2"/>
        <v>sem</v>
      </c>
      <c r="M4" s="55" t="str">
        <f t="shared" si="2"/>
        <v>sem</v>
      </c>
      <c r="N4" s="55" t="str">
        <f t="shared" si="2"/>
        <v>sem</v>
      </c>
      <c r="O4" s="55" t="str">
        <f t="shared" si="2"/>
        <v>sem</v>
      </c>
      <c r="P4" s="55" t="str">
        <f t="shared" si="2"/>
        <v>sem</v>
      </c>
      <c r="Q4" s="55" t="str">
        <f t="shared" si="2"/>
        <v>sem</v>
      </c>
      <c r="R4" s="55" t="str">
        <f t="shared" si="2"/>
        <v>sem</v>
      </c>
      <c r="S4" s="55" t="str">
        <f t="shared" si="2"/>
        <v>sem</v>
      </c>
      <c r="T4" s="55" t="str">
        <f t="shared" si="2"/>
        <v>sem</v>
      </c>
      <c r="U4" s="55" t="str">
        <f t="shared" si="2"/>
        <v>sem</v>
      </c>
      <c r="V4" s="55" t="str">
        <f t="shared" si="2"/>
        <v>sem</v>
      </c>
      <c r="W4" s="55" t="str">
        <f t="shared" si="2"/>
        <v>sem</v>
      </c>
      <c r="X4" s="55" t="str">
        <f t="shared" si="2"/>
        <v>sem</v>
      </c>
      <c r="Y4" s="55" t="str">
        <f t="shared" si="2"/>
        <v>sem</v>
      </c>
      <c r="Z4" s="55" t="str">
        <f t="shared" si="2"/>
        <v>sem</v>
      </c>
      <c r="AA4" s="55" t="str">
        <f t="shared" si="2"/>
        <v>sem</v>
      </c>
      <c r="AB4" s="55" t="str">
        <f t="shared" si="2"/>
        <v>sem</v>
      </c>
      <c r="AC4" s="55" t="str">
        <f t="shared" si="2"/>
        <v>sem</v>
      </c>
      <c r="AD4" s="55" t="str">
        <f t="shared" si="2"/>
        <v>sem</v>
      </c>
      <c r="AE4" s="55" t="str">
        <f t="shared" si="2"/>
        <v>sem</v>
      </c>
      <c r="AF4" s="55" t="str">
        <f t="shared" si="2"/>
        <v>sem</v>
      </c>
      <c r="AG4" s="55" t="str">
        <f t="shared" si="2"/>
        <v>sem</v>
      </c>
      <c r="AH4" s="55" t="str">
        <f t="shared" si="2"/>
        <v>sem</v>
      </c>
      <c r="AI4" s="55" t="str">
        <f t="shared" si="2"/>
        <v>sem</v>
      </c>
      <c r="AJ4" s="55" t="str">
        <f t="shared" si="2"/>
        <v>sem</v>
      </c>
      <c r="AK4" s="55" t="str">
        <f t="shared" si="2"/>
        <v>sem</v>
      </c>
      <c r="AL4" s="55" t="str">
        <f t="shared" si="2"/>
        <v>sem</v>
      </c>
      <c r="AM4" s="96"/>
    </row>
    <row r="5" spans="1:45" x14ac:dyDescent="0.25">
      <c r="A5" s="146"/>
      <c r="B5" s="96"/>
      <c r="D5" s="86"/>
      <c r="E5" s="79" t="s">
        <v>47</v>
      </c>
      <c r="F5" s="102">
        <f>E33+F3</f>
        <v>1905.7466666666669</v>
      </c>
      <c r="G5" s="104" t="s">
        <v>7</v>
      </c>
      <c r="H5" s="105" t="str">
        <f t="shared" ref="H5:AL5" si="3">TEXT(H6,"ddd")</f>
        <v>Sun</v>
      </c>
      <c r="I5" s="105" t="str">
        <f t="shared" si="3"/>
        <v>Mon</v>
      </c>
      <c r="J5" s="105" t="str">
        <f t="shared" si="3"/>
        <v>Tue</v>
      </c>
      <c r="K5" s="105" t="str">
        <f t="shared" si="3"/>
        <v>Wed</v>
      </c>
      <c r="L5" s="105" t="str">
        <f t="shared" si="3"/>
        <v>Thu</v>
      </c>
      <c r="M5" s="105" t="str">
        <f t="shared" si="3"/>
        <v>Fri</v>
      </c>
      <c r="N5" s="105" t="str">
        <f t="shared" si="3"/>
        <v>Sat</v>
      </c>
      <c r="O5" s="105" t="str">
        <f t="shared" si="3"/>
        <v>Sun</v>
      </c>
      <c r="P5" s="105" t="str">
        <f t="shared" si="3"/>
        <v>Mon</v>
      </c>
      <c r="Q5" s="105" t="str">
        <f t="shared" si="3"/>
        <v>Tue</v>
      </c>
      <c r="R5" s="105" t="str">
        <f t="shared" si="3"/>
        <v>Wed</v>
      </c>
      <c r="S5" s="105" t="str">
        <f t="shared" si="3"/>
        <v>Thu</v>
      </c>
      <c r="T5" s="105" t="str">
        <f t="shared" si="3"/>
        <v>Fri</v>
      </c>
      <c r="U5" s="105" t="str">
        <f t="shared" si="3"/>
        <v>Sat</v>
      </c>
      <c r="V5" s="105" t="str">
        <f t="shared" si="3"/>
        <v>Sun</v>
      </c>
      <c r="W5" s="105" t="str">
        <f t="shared" si="3"/>
        <v>Mon</v>
      </c>
      <c r="X5" s="105" t="str">
        <f t="shared" si="3"/>
        <v>Tue</v>
      </c>
      <c r="Y5" s="105" t="str">
        <f t="shared" si="3"/>
        <v>Wed</v>
      </c>
      <c r="Z5" s="105" t="str">
        <f t="shared" si="3"/>
        <v>Thu</v>
      </c>
      <c r="AA5" s="105" t="str">
        <f t="shared" si="3"/>
        <v>Fri</v>
      </c>
      <c r="AB5" s="105" t="str">
        <f t="shared" si="3"/>
        <v>Sat</v>
      </c>
      <c r="AC5" s="105" t="str">
        <f t="shared" si="3"/>
        <v>Sun</v>
      </c>
      <c r="AD5" s="105" t="str">
        <f t="shared" si="3"/>
        <v>Mon</v>
      </c>
      <c r="AE5" s="105" t="str">
        <f t="shared" si="3"/>
        <v>Tue</v>
      </c>
      <c r="AF5" s="105" t="str">
        <f t="shared" si="3"/>
        <v>Wed</v>
      </c>
      <c r="AG5" s="105" t="str">
        <f t="shared" si="3"/>
        <v>Thu</v>
      </c>
      <c r="AH5" s="105" t="str">
        <f t="shared" si="3"/>
        <v>Fri</v>
      </c>
      <c r="AI5" s="105" t="str">
        <f t="shared" si="3"/>
        <v>Sat</v>
      </c>
      <c r="AJ5" s="105" t="str">
        <f t="shared" si="3"/>
        <v>Sun</v>
      </c>
      <c r="AK5" s="105" t="str">
        <f t="shared" si="3"/>
        <v>Mon</v>
      </c>
      <c r="AL5" s="105" t="str">
        <f t="shared" si="3"/>
        <v>Tue</v>
      </c>
      <c r="AM5" s="96"/>
    </row>
    <row r="6" spans="1:45" ht="15.75" thickBot="1" x14ac:dyDescent="0.3">
      <c r="A6" s="149"/>
      <c r="B6" s="96"/>
      <c r="D6" s="150"/>
      <c r="E6" s="81" t="s">
        <v>51</v>
      </c>
      <c r="F6" s="108">
        <f>-F5/-E33</f>
        <v>0.51947376981109106</v>
      </c>
      <c r="G6" s="109"/>
      <c r="H6" s="111">
        <f>DATE($AR$9,$AR$11,1)</f>
        <v>43891</v>
      </c>
      <c r="I6" s="111">
        <f t="shared" ref="I6:AJ6" si="4">H6+1</f>
        <v>43892</v>
      </c>
      <c r="J6" s="111">
        <f t="shared" si="4"/>
        <v>43893</v>
      </c>
      <c r="K6" s="111">
        <f t="shared" si="4"/>
        <v>43894</v>
      </c>
      <c r="L6" s="111">
        <f t="shared" si="4"/>
        <v>43895</v>
      </c>
      <c r="M6" s="111">
        <f t="shared" si="4"/>
        <v>43896</v>
      </c>
      <c r="N6" s="111">
        <f t="shared" si="4"/>
        <v>43897</v>
      </c>
      <c r="O6" s="111">
        <f t="shared" si="4"/>
        <v>43898</v>
      </c>
      <c r="P6" s="111">
        <f t="shared" si="4"/>
        <v>43899</v>
      </c>
      <c r="Q6" s="111">
        <f t="shared" si="4"/>
        <v>43900</v>
      </c>
      <c r="R6" s="111">
        <f t="shared" si="4"/>
        <v>43901</v>
      </c>
      <c r="S6" s="111">
        <f t="shared" si="4"/>
        <v>43902</v>
      </c>
      <c r="T6" s="111">
        <f t="shared" si="4"/>
        <v>43903</v>
      </c>
      <c r="U6" s="111">
        <f t="shared" si="4"/>
        <v>43904</v>
      </c>
      <c r="V6" s="111">
        <f t="shared" si="4"/>
        <v>43905</v>
      </c>
      <c r="W6" s="111">
        <f t="shared" si="4"/>
        <v>43906</v>
      </c>
      <c r="X6" s="111">
        <f t="shared" si="4"/>
        <v>43907</v>
      </c>
      <c r="Y6" s="111">
        <f t="shared" si="4"/>
        <v>43908</v>
      </c>
      <c r="Z6" s="111">
        <f t="shared" si="4"/>
        <v>43909</v>
      </c>
      <c r="AA6" s="111">
        <f t="shared" si="4"/>
        <v>43910</v>
      </c>
      <c r="AB6" s="111">
        <f t="shared" si="4"/>
        <v>43911</v>
      </c>
      <c r="AC6" s="111">
        <f t="shared" si="4"/>
        <v>43912</v>
      </c>
      <c r="AD6" s="111">
        <f t="shared" si="4"/>
        <v>43913</v>
      </c>
      <c r="AE6" s="111">
        <f t="shared" si="4"/>
        <v>43914</v>
      </c>
      <c r="AF6" s="111">
        <f t="shared" si="4"/>
        <v>43915</v>
      </c>
      <c r="AG6" s="111">
        <f t="shared" si="4"/>
        <v>43916</v>
      </c>
      <c r="AH6" s="111">
        <f t="shared" si="4"/>
        <v>43917</v>
      </c>
      <c r="AI6" s="111">
        <f t="shared" si="4"/>
        <v>43918</v>
      </c>
      <c r="AJ6" s="111">
        <f t="shared" si="4"/>
        <v>43919</v>
      </c>
      <c r="AK6" s="111">
        <f t="shared" ref="AK6" si="5">AJ6+1</f>
        <v>43920</v>
      </c>
      <c r="AL6" s="111">
        <f t="shared" ref="AL6" si="6">AK6+1</f>
        <v>43921</v>
      </c>
      <c r="AM6" s="96"/>
    </row>
    <row r="7" spans="1:45" ht="15.75" thickBot="1" x14ac:dyDescent="0.3">
      <c r="B7" s="96"/>
      <c r="C7" s="153" t="s">
        <v>105</v>
      </c>
      <c r="D7" s="153" t="s">
        <v>104</v>
      </c>
      <c r="E7" s="153"/>
      <c r="F7" s="154" t="s">
        <v>106</v>
      </c>
      <c r="G7" s="155">
        <f>SUM(G9:G31)</f>
        <v>0.90784311130187834</v>
      </c>
      <c r="H7" s="156">
        <f>SUM(H8:H32)</f>
        <v>-25.3</v>
      </c>
      <c r="I7" s="156">
        <f>SUM(I8:I32)</f>
        <v>-19.91</v>
      </c>
      <c r="J7" s="156">
        <f>SUM(J8:J32)</f>
        <v>-44.3</v>
      </c>
      <c r="K7" s="156">
        <f>SUM(K8:K32)</f>
        <v>-24.51</v>
      </c>
      <c r="L7" s="156">
        <f>SUM(L8:L32)</f>
        <v>-6.5</v>
      </c>
      <c r="M7" s="156">
        <f>SUM(M8:M32)</f>
        <v>-5</v>
      </c>
      <c r="N7" s="156">
        <f>SUM(N8:N32)</f>
        <v>-77.87</v>
      </c>
      <c r="O7" s="156">
        <f>SUM(O8:O32)</f>
        <v>-653.28</v>
      </c>
      <c r="P7" s="156">
        <f>SUM(P8:P32)</f>
        <v>0</v>
      </c>
      <c r="Q7" s="156">
        <f>SUM(Q8:Q32)</f>
        <v>-44.510000000000005</v>
      </c>
      <c r="R7" s="156">
        <f>SUM(R8:R32)</f>
        <v>-48.71</v>
      </c>
      <c r="S7" s="156">
        <f>SUM(S8:S32)</f>
        <v>-24.51</v>
      </c>
      <c r="T7" s="156">
        <f>SUM(T8:T32)</f>
        <v>-95.8</v>
      </c>
      <c r="U7" s="156">
        <f>SUM(U8:U32)</f>
        <v>-5</v>
      </c>
      <c r="V7" s="156">
        <f>SUM(V8:V32)</f>
        <v>-52.75</v>
      </c>
      <c r="W7" s="156">
        <f>SUM(W8:W32)</f>
        <v>-100.01</v>
      </c>
      <c r="X7" s="156">
        <f>SUM(X8:X32)</f>
        <v>-24.51</v>
      </c>
      <c r="Y7" s="156">
        <f>SUM(Y8:Y32)</f>
        <v>0</v>
      </c>
      <c r="Z7" s="156">
        <f>SUM(Z8:Z32)</f>
        <v>-24.51</v>
      </c>
      <c r="AA7" s="156">
        <f>SUM(AA8:AA32)</f>
        <v>-8.4600000000000009</v>
      </c>
      <c r="AB7" s="156">
        <f>SUM(AB8:AB32)</f>
        <v>-16.649999999999999</v>
      </c>
      <c r="AC7" s="156">
        <f>SUM(AC8:AC32)</f>
        <v>0</v>
      </c>
      <c r="AD7" s="156">
        <f>SUM(AD8:AD32)</f>
        <v>-10</v>
      </c>
      <c r="AE7" s="156">
        <f>SUM(AE8:AE32)</f>
        <v>0</v>
      </c>
      <c r="AF7" s="156">
        <f>SUM(AF8:AF32)</f>
        <v>-42</v>
      </c>
      <c r="AG7" s="156">
        <f>SUM(AG8:AG32)</f>
        <v>0</v>
      </c>
      <c r="AH7" s="156">
        <f>SUM(AH8:AH32)</f>
        <v>0</v>
      </c>
      <c r="AI7" s="156">
        <f>SUM(AI8:AI32)</f>
        <v>-88.39</v>
      </c>
      <c r="AJ7" s="156">
        <f>SUM(AJ8:AJ32)</f>
        <v>-152.05000000000001</v>
      </c>
      <c r="AK7" s="156">
        <f>SUM(AK8:AK32)</f>
        <v>0</v>
      </c>
      <c r="AL7" s="156">
        <f>SUM(AL8:AL32)</f>
        <v>0</v>
      </c>
      <c r="AM7" s="96"/>
    </row>
    <row r="8" spans="1:45" ht="17.25" x14ac:dyDescent="0.3">
      <c r="B8" s="96"/>
      <c r="C8" s="121">
        <f t="shared" ref="C8:C31" si="7">E8-D8</f>
        <v>57.539999999999992</v>
      </c>
      <c r="D8" s="258">
        <f>AP18</f>
        <v>-200</v>
      </c>
      <c r="E8" s="256">
        <f>SUM(H8:AL8)</f>
        <v>-142.46</v>
      </c>
      <c r="F8" s="257" t="s">
        <v>127</v>
      </c>
      <c r="G8" s="88">
        <f>E8/$F$3</f>
        <v>8.0811709737378029E-2</v>
      </c>
      <c r="H8" s="177" t="s">
        <v>66</v>
      </c>
      <c r="I8" s="177">
        <f>-19.91</f>
        <v>-19.91</v>
      </c>
      <c r="J8" s="177" t="s">
        <v>66</v>
      </c>
      <c r="K8" s="177">
        <f>-24.51</f>
        <v>-24.51</v>
      </c>
      <c r="L8" s="177" t="s">
        <v>66</v>
      </c>
      <c r="M8" s="177" t="s">
        <v>66</v>
      </c>
      <c r="N8" s="177" t="s">
        <v>66</v>
      </c>
      <c r="O8" s="177" t="s">
        <v>66</v>
      </c>
      <c r="P8" s="238" t="s">
        <v>66</v>
      </c>
      <c r="Q8" s="177">
        <f>-24.51</f>
        <v>-24.51</v>
      </c>
      <c r="R8" s="238" t="s">
        <v>66</v>
      </c>
      <c r="S8" s="177">
        <f>-24.51</f>
        <v>-24.51</v>
      </c>
      <c r="T8" s="177" t="s">
        <v>66</v>
      </c>
      <c r="U8" s="177" t="s">
        <v>66</v>
      </c>
      <c r="V8" s="177" t="s">
        <v>66</v>
      </c>
      <c r="W8" s="238" t="s">
        <v>66</v>
      </c>
      <c r="X8" s="177">
        <f>-24.51</f>
        <v>-24.51</v>
      </c>
      <c r="Y8" s="238" t="s">
        <v>66</v>
      </c>
      <c r="Z8" s="177">
        <f>-24.51</f>
        <v>-24.51</v>
      </c>
      <c r="AA8" s="177" t="s">
        <v>66</v>
      </c>
      <c r="AB8" s="177" t="s">
        <v>66</v>
      </c>
      <c r="AC8" s="177" t="s">
        <v>66</v>
      </c>
      <c r="AD8" s="238" t="s">
        <v>66</v>
      </c>
      <c r="AE8" s="177" t="s">
        <v>66</v>
      </c>
      <c r="AF8" s="238" t="s">
        <v>66</v>
      </c>
      <c r="AG8" s="177" t="s">
        <v>66</v>
      </c>
      <c r="AH8" s="177" t="s">
        <v>66</v>
      </c>
      <c r="AI8" s="177" t="s">
        <v>66</v>
      </c>
      <c r="AJ8" s="177" t="s">
        <v>66</v>
      </c>
      <c r="AK8" s="238" t="s">
        <v>66</v>
      </c>
      <c r="AL8" s="177" t="s">
        <v>66</v>
      </c>
      <c r="AM8" s="96"/>
      <c r="AO8" s="285" t="s">
        <v>100</v>
      </c>
      <c r="AP8" s="286"/>
    </row>
    <row r="9" spans="1:45" x14ac:dyDescent="0.25">
      <c r="B9" s="96"/>
      <c r="C9" s="121">
        <f t="shared" si="7"/>
        <v>83.69</v>
      </c>
      <c r="D9" s="260">
        <f>AP25</f>
        <v>-250</v>
      </c>
      <c r="E9" s="261">
        <f t="shared" ref="E9:E32" si="8">SUM(H9:AL9)</f>
        <v>-166.31</v>
      </c>
      <c r="F9" s="259" t="s">
        <v>107</v>
      </c>
      <c r="G9" s="253">
        <f t="shared" ref="G9:G32" si="9">E9/$F$3</f>
        <v>9.4340835648064988E-2</v>
      </c>
      <c r="H9" s="255" t="s">
        <v>66</v>
      </c>
      <c r="I9" s="255" t="s">
        <v>66</v>
      </c>
      <c r="J9" s="255" t="s">
        <v>66</v>
      </c>
      <c r="K9" s="255" t="s">
        <v>66</v>
      </c>
      <c r="L9" s="255" t="s">
        <v>66</v>
      </c>
      <c r="M9" s="255" t="s">
        <v>66</v>
      </c>
      <c r="N9" s="254">
        <f>-16.13</f>
        <v>-16.13</v>
      </c>
      <c r="O9" s="254" t="s">
        <v>66</v>
      </c>
      <c r="P9" s="255" t="s">
        <v>66</v>
      </c>
      <c r="Q9" s="255" t="s">
        <v>66</v>
      </c>
      <c r="R9" s="255" t="s">
        <v>66</v>
      </c>
      <c r="S9" s="255" t="s">
        <v>66</v>
      </c>
      <c r="T9" s="255">
        <f>-70</f>
        <v>-70</v>
      </c>
      <c r="U9" s="255">
        <f>-5</f>
        <v>-5</v>
      </c>
      <c r="V9" s="254" t="s">
        <v>66</v>
      </c>
      <c r="W9" s="255" t="s">
        <v>66</v>
      </c>
      <c r="X9" s="255" t="s">
        <v>66</v>
      </c>
      <c r="Y9" s="255" t="s">
        <v>66</v>
      </c>
      <c r="Z9" s="255" t="s">
        <v>66</v>
      </c>
      <c r="AA9" s="255" t="s">
        <v>66</v>
      </c>
      <c r="AB9" s="254" t="s">
        <v>66</v>
      </c>
      <c r="AC9" s="254" t="s">
        <v>66</v>
      </c>
      <c r="AD9" s="255" t="s">
        <v>66</v>
      </c>
      <c r="AE9" s="255" t="s">
        <v>66</v>
      </c>
      <c r="AF9" s="255" t="s">
        <v>66</v>
      </c>
      <c r="AG9" s="255" t="s">
        <v>66</v>
      </c>
      <c r="AH9" s="255" t="s">
        <v>66</v>
      </c>
      <c r="AI9" s="254" t="s">
        <v>66</v>
      </c>
      <c r="AJ9" s="255">
        <f>-(35.4+19.8+13.98+6)</f>
        <v>-75.180000000000007</v>
      </c>
      <c r="AK9" s="255" t="s">
        <v>66</v>
      </c>
      <c r="AL9" s="255" t="s">
        <v>66</v>
      </c>
      <c r="AM9" s="96" t="s">
        <v>66</v>
      </c>
      <c r="AP9" s="172"/>
      <c r="AR9" s="78">
        <v>2020</v>
      </c>
      <c r="AS9" s="56">
        <f ca="1">TODAY()</f>
        <v>43926</v>
      </c>
    </row>
    <row r="10" spans="1:45" x14ac:dyDescent="0.25">
      <c r="A10" s="158"/>
      <c r="B10" s="96"/>
      <c r="C10" s="121">
        <f t="shared" si="7"/>
        <v>-4</v>
      </c>
      <c r="D10" s="258">
        <f>AP26</f>
        <v>-20</v>
      </c>
      <c r="E10" s="256">
        <f t="shared" si="8"/>
        <v>-24</v>
      </c>
      <c r="F10" s="257" t="s">
        <v>22</v>
      </c>
      <c r="G10" s="88">
        <f t="shared" si="9"/>
        <v>1.3614214752892548E-2</v>
      </c>
      <c r="H10" s="177" t="s">
        <v>66</v>
      </c>
      <c r="I10" s="177" t="s">
        <v>66</v>
      </c>
      <c r="J10" s="177" t="s">
        <v>66</v>
      </c>
      <c r="K10" s="177" t="s">
        <v>66</v>
      </c>
      <c r="L10" s="177" t="s">
        <v>66</v>
      </c>
      <c r="M10" s="177">
        <f>-5</f>
        <v>-5</v>
      </c>
      <c r="N10" s="177" t="s">
        <v>66</v>
      </c>
      <c r="O10" s="177" t="s">
        <v>66</v>
      </c>
      <c r="P10" s="177" t="s">
        <v>66</v>
      </c>
      <c r="Q10" s="177" t="s">
        <v>66</v>
      </c>
      <c r="R10" s="177">
        <f>-5</f>
        <v>-5</v>
      </c>
      <c r="S10" s="177" t="s">
        <v>66</v>
      </c>
      <c r="T10" s="177">
        <f>-10</f>
        <v>-10</v>
      </c>
      <c r="U10" s="177" t="s">
        <v>66</v>
      </c>
      <c r="V10" s="177" t="s">
        <v>66</v>
      </c>
      <c r="W10" s="177">
        <f>-4</f>
        <v>-4</v>
      </c>
      <c r="X10" s="177" t="s">
        <v>66</v>
      </c>
      <c r="Y10" s="177" t="s">
        <v>66</v>
      </c>
      <c r="Z10" s="177" t="s">
        <v>66</v>
      </c>
      <c r="AA10" s="238" t="s">
        <v>66</v>
      </c>
      <c r="AB10" s="177" t="s">
        <v>66</v>
      </c>
      <c r="AC10" s="177" t="s">
        <v>66</v>
      </c>
      <c r="AD10" s="266" t="s">
        <v>66</v>
      </c>
      <c r="AE10" s="266" t="s">
        <v>66</v>
      </c>
      <c r="AF10" s="177" t="s">
        <v>66</v>
      </c>
      <c r="AG10" s="177" t="s">
        <v>66</v>
      </c>
      <c r="AH10" s="238" t="s">
        <v>66</v>
      </c>
      <c r="AI10" s="177" t="s">
        <v>66</v>
      </c>
      <c r="AJ10" s="177" t="s">
        <v>66</v>
      </c>
      <c r="AK10" s="177" t="s">
        <v>66</v>
      </c>
      <c r="AL10" s="177" t="s">
        <v>66</v>
      </c>
      <c r="AM10" s="96" t="s">
        <v>66</v>
      </c>
      <c r="AO10" s="145" t="s">
        <v>101</v>
      </c>
      <c r="AP10" s="173">
        <f>-E33*(1-AP12)</f>
        <v>-2568.027</v>
      </c>
      <c r="AR10" s="78" t="s">
        <v>1</v>
      </c>
      <c r="AS10" s="1" t="str">
        <f ca="1">IF(Y6=AS9,"sim","não")</f>
        <v>não</v>
      </c>
    </row>
    <row r="11" spans="1:45" x14ac:dyDescent="0.25">
      <c r="B11" s="96"/>
      <c r="C11" s="121">
        <f t="shared" si="7"/>
        <v>-2.9600000000000009</v>
      </c>
      <c r="D11" s="260">
        <f>AP33</f>
        <v>-15</v>
      </c>
      <c r="E11" s="261">
        <f t="shared" si="8"/>
        <v>-17.96</v>
      </c>
      <c r="F11" s="259" t="s">
        <v>109</v>
      </c>
      <c r="G11" s="253">
        <f t="shared" si="9"/>
        <v>1.0187970706747925E-2</v>
      </c>
      <c r="H11" s="255" t="s">
        <v>66</v>
      </c>
      <c r="I11" s="255" t="s">
        <v>66</v>
      </c>
      <c r="J11" s="255" t="s">
        <v>66</v>
      </c>
      <c r="K11" s="255" t="s">
        <v>66</v>
      </c>
      <c r="L11" s="255" t="s">
        <v>66</v>
      </c>
      <c r="M11" s="255" t="s">
        <v>66</v>
      </c>
      <c r="N11" s="255">
        <f>-9.5</f>
        <v>-9.5</v>
      </c>
      <c r="O11" s="255" t="s">
        <v>66</v>
      </c>
      <c r="P11" s="255" t="s">
        <v>66</v>
      </c>
      <c r="Q11" s="255" t="s">
        <v>66</v>
      </c>
      <c r="R11" s="255" t="s">
        <v>66</v>
      </c>
      <c r="S11" s="255" t="s">
        <v>66</v>
      </c>
      <c r="T11" s="255" t="s">
        <v>66</v>
      </c>
      <c r="U11" s="255" t="s">
        <v>66</v>
      </c>
      <c r="V11" s="255" t="s">
        <v>66</v>
      </c>
      <c r="W11" s="255" t="s">
        <v>66</v>
      </c>
      <c r="X11" s="255" t="s">
        <v>66</v>
      </c>
      <c r="Y11" s="255" t="s">
        <v>66</v>
      </c>
      <c r="Z11" s="255" t="s">
        <v>66</v>
      </c>
      <c r="AA11" s="255">
        <f>-8.46</f>
        <v>-8.4600000000000009</v>
      </c>
      <c r="AB11" s="255" t="s">
        <v>66</v>
      </c>
      <c r="AC11" s="255" t="s">
        <v>66</v>
      </c>
      <c r="AD11" s="255" t="s">
        <v>66</v>
      </c>
      <c r="AE11" s="255" t="s">
        <v>66</v>
      </c>
      <c r="AF11" s="255" t="s">
        <v>66</v>
      </c>
      <c r="AG11" s="255" t="s">
        <v>66</v>
      </c>
      <c r="AH11" s="255" t="s">
        <v>66</v>
      </c>
      <c r="AI11" s="255" t="s">
        <v>66</v>
      </c>
      <c r="AJ11" s="255" t="s">
        <v>66</v>
      </c>
      <c r="AK11" s="255" t="s">
        <v>66</v>
      </c>
      <c r="AL11" s="255" t="s">
        <v>66</v>
      </c>
      <c r="AM11" s="96" t="s">
        <v>66</v>
      </c>
      <c r="AO11" s="147" t="s">
        <v>102</v>
      </c>
      <c r="AP11" s="174"/>
      <c r="AR11" s="78">
        <v>3</v>
      </c>
    </row>
    <row r="12" spans="1:45" x14ac:dyDescent="0.25">
      <c r="B12" s="96"/>
      <c r="C12" s="121">
        <f t="shared" si="7"/>
        <v>10</v>
      </c>
      <c r="D12" s="258">
        <f>AP34</f>
        <v>-40</v>
      </c>
      <c r="E12" s="256">
        <f t="shared" si="8"/>
        <v>-30</v>
      </c>
      <c r="F12" s="257" t="s">
        <v>81</v>
      </c>
      <c r="G12" s="88">
        <f t="shared" si="9"/>
        <v>1.7017768441115685E-2</v>
      </c>
      <c r="H12" s="177">
        <f>-10</f>
        <v>-10</v>
      </c>
      <c r="I12" s="177" t="s">
        <v>66</v>
      </c>
      <c r="J12" s="177" t="s">
        <v>66</v>
      </c>
      <c r="K12" s="177" t="s">
        <v>66</v>
      </c>
      <c r="L12" s="177" t="s">
        <v>66</v>
      </c>
      <c r="M12" s="177" t="s">
        <v>66</v>
      </c>
      <c r="N12" s="177" t="s">
        <v>66</v>
      </c>
      <c r="O12" s="238" t="s">
        <v>66</v>
      </c>
      <c r="P12" s="177" t="s">
        <v>66</v>
      </c>
      <c r="Q12" s="177">
        <f>-20</f>
        <v>-20</v>
      </c>
      <c r="R12" s="177" t="s">
        <v>66</v>
      </c>
      <c r="S12" s="177" t="s">
        <v>66</v>
      </c>
      <c r="T12" s="177" t="s">
        <v>66</v>
      </c>
      <c r="U12" s="177" t="s">
        <v>66</v>
      </c>
      <c r="V12" s="238" t="s">
        <v>66</v>
      </c>
      <c r="W12" s="177" t="s">
        <v>66</v>
      </c>
      <c r="X12" s="177" t="s">
        <v>66</v>
      </c>
      <c r="Y12" s="177" t="s">
        <v>66</v>
      </c>
      <c r="Z12" s="177" t="s">
        <v>66</v>
      </c>
      <c r="AA12" s="177" t="s">
        <v>66</v>
      </c>
      <c r="AB12" s="177" t="s">
        <v>66</v>
      </c>
      <c r="AC12" s="238" t="s">
        <v>66</v>
      </c>
      <c r="AD12" s="177" t="s">
        <v>66</v>
      </c>
      <c r="AE12" s="177" t="s">
        <v>66</v>
      </c>
      <c r="AF12" s="177" t="s">
        <v>66</v>
      </c>
      <c r="AG12" s="177" t="s">
        <v>66</v>
      </c>
      <c r="AH12" s="177" t="s">
        <v>66</v>
      </c>
      <c r="AI12" s="177" t="s">
        <v>66</v>
      </c>
      <c r="AJ12" s="238" t="s">
        <v>66</v>
      </c>
      <c r="AK12" s="177" t="s">
        <v>66</v>
      </c>
      <c r="AL12" s="177" t="s">
        <v>66</v>
      </c>
      <c r="AM12" s="96" t="s">
        <v>66</v>
      </c>
      <c r="AO12" s="151" t="s">
        <v>103</v>
      </c>
      <c r="AP12" s="175">
        <v>0.3</v>
      </c>
    </row>
    <row r="13" spans="1:45" x14ac:dyDescent="0.25">
      <c r="B13" s="96"/>
      <c r="C13" s="121">
        <f t="shared" si="7"/>
        <v>37.590000000000003</v>
      </c>
      <c r="D13" s="260">
        <f>AP20</f>
        <v>-200</v>
      </c>
      <c r="E13" s="261">
        <f t="shared" si="8"/>
        <v>-162.41</v>
      </c>
      <c r="F13" s="259" t="s">
        <v>130</v>
      </c>
      <c r="G13" s="253">
        <f t="shared" si="9"/>
        <v>9.2128525750719947E-2</v>
      </c>
      <c r="H13" s="255" t="s">
        <v>66</v>
      </c>
      <c r="I13" s="255" t="s">
        <v>66</v>
      </c>
      <c r="J13" s="255" t="s">
        <v>66</v>
      </c>
      <c r="K13" s="255" t="s">
        <v>66</v>
      </c>
      <c r="L13" s="255" t="s">
        <v>66</v>
      </c>
      <c r="M13" s="255" t="s">
        <v>66</v>
      </c>
      <c r="N13" s="255">
        <f>-6.24</f>
        <v>-6.24</v>
      </c>
      <c r="O13" s="255">
        <f>-40.78</f>
        <v>-40.78</v>
      </c>
      <c r="P13" s="254" t="s">
        <v>66</v>
      </c>
      <c r="Q13" s="255" t="s">
        <v>66</v>
      </c>
      <c r="R13" s="255">
        <f>-31.71</f>
        <v>-31.71</v>
      </c>
      <c r="S13" s="255" t="s">
        <v>66</v>
      </c>
      <c r="T13" s="255" t="s">
        <v>66</v>
      </c>
      <c r="U13" s="255" t="s">
        <v>66</v>
      </c>
      <c r="V13" s="255" t="s">
        <v>66</v>
      </c>
      <c r="W13" s="255">
        <f>-56.71</f>
        <v>-56.71</v>
      </c>
      <c r="X13" s="255" t="s">
        <v>66</v>
      </c>
      <c r="Y13" s="255" t="s">
        <v>66</v>
      </c>
      <c r="Z13" s="255" t="s">
        <v>66</v>
      </c>
      <c r="AA13" s="255" t="s">
        <v>66</v>
      </c>
      <c r="AB13" s="255" t="s">
        <v>66</v>
      </c>
      <c r="AC13" s="255" t="s">
        <v>66</v>
      </c>
      <c r="AD13" s="254" t="s">
        <v>66</v>
      </c>
      <c r="AE13" s="255" t="s">
        <v>66</v>
      </c>
      <c r="AF13" s="255" t="s">
        <v>66</v>
      </c>
      <c r="AG13" s="255" t="s">
        <v>66</v>
      </c>
      <c r="AH13" s="255" t="s">
        <v>66</v>
      </c>
      <c r="AI13" s="255" t="s">
        <v>66</v>
      </c>
      <c r="AJ13" s="255">
        <f>-26.97</f>
        <v>-26.97</v>
      </c>
      <c r="AK13" s="254" t="s">
        <v>66</v>
      </c>
      <c r="AL13" s="255" t="s">
        <v>66</v>
      </c>
      <c r="AM13" s="96" t="s">
        <v>66</v>
      </c>
      <c r="AO13" s="157" t="s">
        <v>108</v>
      </c>
      <c r="AP13" s="176">
        <f>AP16-AP10</f>
        <v>771.13700000000017</v>
      </c>
    </row>
    <row r="14" spans="1:45" x14ac:dyDescent="0.25">
      <c r="B14" s="96"/>
      <c r="C14" s="121">
        <f t="shared" si="7"/>
        <v>-29.299999999999997</v>
      </c>
      <c r="D14" s="258">
        <f>AP30</f>
        <v>-15</v>
      </c>
      <c r="E14" s="256">
        <f t="shared" si="8"/>
        <v>-44.3</v>
      </c>
      <c r="F14" s="257" t="s">
        <v>131</v>
      </c>
      <c r="G14" s="88">
        <f t="shared" si="9"/>
        <v>2.5129571398047494E-2</v>
      </c>
      <c r="H14" s="177" t="s">
        <v>66</v>
      </c>
      <c r="I14" s="177" t="s">
        <v>66</v>
      </c>
      <c r="J14" s="177">
        <f>-44.3</f>
        <v>-44.3</v>
      </c>
      <c r="K14" s="177" t="s">
        <v>66</v>
      </c>
      <c r="L14" s="177" t="s">
        <v>66</v>
      </c>
      <c r="M14" s="177" t="s">
        <v>66</v>
      </c>
      <c r="N14" s="177" t="s">
        <v>66</v>
      </c>
      <c r="O14" s="177" t="s">
        <v>66</v>
      </c>
      <c r="P14" s="177" t="s">
        <v>66</v>
      </c>
      <c r="Q14" s="177" t="s">
        <v>66</v>
      </c>
      <c r="R14" s="177" t="s">
        <v>66</v>
      </c>
      <c r="S14" s="177" t="s">
        <v>66</v>
      </c>
      <c r="T14" s="177" t="s">
        <v>66</v>
      </c>
      <c r="U14" s="177" t="s">
        <v>66</v>
      </c>
      <c r="V14" s="177" t="s">
        <v>66</v>
      </c>
      <c r="W14" s="177" t="s">
        <v>66</v>
      </c>
      <c r="X14" s="177" t="s">
        <v>66</v>
      </c>
      <c r="Y14" s="177" t="s">
        <v>66</v>
      </c>
      <c r="Z14" s="177" t="s">
        <v>66</v>
      </c>
      <c r="AA14" s="177" t="s">
        <v>66</v>
      </c>
      <c r="AB14" s="177" t="s">
        <v>66</v>
      </c>
      <c r="AC14" s="177" t="s">
        <v>66</v>
      </c>
      <c r="AD14" s="177" t="s">
        <v>66</v>
      </c>
      <c r="AE14" s="177" t="s">
        <v>66</v>
      </c>
      <c r="AF14" s="177" t="s">
        <v>66</v>
      </c>
      <c r="AG14" s="177" t="s">
        <v>66</v>
      </c>
      <c r="AH14" s="177" t="s">
        <v>66</v>
      </c>
      <c r="AI14" s="177" t="s">
        <v>66</v>
      </c>
      <c r="AJ14" s="177" t="s">
        <v>66</v>
      </c>
      <c r="AK14" s="177" t="s">
        <v>66</v>
      </c>
      <c r="AL14" s="177" t="s">
        <v>66</v>
      </c>
      <c r="AM14" s="96" t="s">
        <v>66</v>
      </c>
      <c r="AO14" s="54" t="s">
        <v>128</v>
      </c>
      <c r="AP14" s="174">
        <f>E33+AP16</f>
        <v>1871.7200000000003</v>
      </c>
    </row>
    <row r="15" spans="1:45" ht="16.5" x14ac:dyDescent="0.25">
      <c r="B15" s="96"/>
      <c r="C15" s="121">
        <f t="shared" si="7"/>
        <v>0</v>
      </c>
      <c r="D15" s="260">
        <f>AP23</f>
        <v>0</v>
      </c>
      <c r="E15" s="261">
        <f t="shared" si="8"/>
        <v>0</v>
      </c>
      <c r="F15" s="259" t="s">
        <v>27</v>
      </c>
      <c r="G15" s="253">
        <f t="shared" si="9"/>
        <v>0</v>
      </c>
      <c r="H15" s="255" t="s">
        <v>66</v>
      </c>
      <c r="I15" s="255" t="s">
        <v>66</v>
      </c>
      <c r="J15" s="255" t="s">
        <v>66</v>
      </c>
      <c r="K15" s="255" t="s">
        <v>66</v>
      </c>
      <c r="L15" s="255" t="s">
        <v>66</v>
      </c>
      <c r="M15" s="255" t="s">
        <v>66</v>
      </c>
      <c r="N15" s="255" t="s">
        <v>66</v>
      </c>
      <c r="O15" s="255" t="s">
        <v>66</v>
      </c>
      <c r="P15" s="255" t="s">
        <v>66</v>
      </c>
      <c r="Q15" s="255" t="s">
        <v>66</v>
      </c>
      <c r="R15" s="255" t="s">
        <v>66</v>
      </c>
      <c r="S15" s="255" t="s">
        <v>66</v>
      </c>
      <c r="T15" s="255" t="s">
        <v>66</v>
      </c>
      <c r="U15" s="255" t="s">
        <v>66</v>
      </c>
      <c r="V15" s="255" t="s">
        <v>66</v>
      </c>
      <c r="W15" s="255" t="s">
        <v>66</v>
      </c>
      <c r="X15" s="255" t="s">
        <v>66</v>
      </c>
      <c r="Y15" s="255" t="s">
        <v>66</v>
      </c>
      <c r="Z15" s="255" t="s">
        <v>66</v>
      </c>
      <c r="AA15" s="255" t="s">
        <v>66</v>
      </c>
      <c r="AB15" s="255" t="s">
        <v>66</v>
      </c>
      <c r="AC15" s="255" t="s">
        <v>66</v>
      </c>
      <c r="AD15" s="255" t="s">
        <v>66</v>
      </c>
      <c r="AE15" s="255" t="s">
        <v>66</v>
      </c>
      <c r="AF15" s="255" t="s">
        <v>66</v>
      </c>
      <c r="AG15" s="255" t="s">
        <v>66</v>
      </c>
      <c r="AH15" s="255" t="s">
        <v>66</v>
      </c>
      <c r="AI15" s="255" t="s">
        <v>66</v>
      </c>
      <c r="AJ15" s="255" t="s">
        <v>66</v>
      </c>
      <c r="AK15" s="255" t="s">
        <v>66</v>
      </c>
      <c r="AL15" s="255" t="s">
        <v>66</v>
      </c>
      <c r="AM15" s="96" t="s">
        <v>66</v>
      </c>
      <c r="AO15" s="54" t="s">
        <v>129</v>
      </c>
      <c r="AP15" s="178">
        <f>AP14/E33</f>
        <v>0.5101986856057199</v>
      </c>
    </row>
    <row r="16" spans="1:45" ht="18.75" x14ac:dyDescent="0.3">
      <c r="B16" s="96"/>
      <c r="C16" s="121">
        <f t="shared" si="7"/>
        <v>60</v>
      </c>
      <c r="D16" s="258">
        <f>AP35</f>
        <v>-60</v>
      </c>
      <c r="E16" s="256">
        <f t="shared" si="8"/>
        <v>0</v>
      </c>
      <c r="F16" s="257" t="s">
        <v>111</v>
      </c>
      <c r="G16" s="88">
        <f t="shared" si="9"/>
        <v>0</v>
      </c>
      <c r="H16" s="177" t="s">
        <v>66</v>
      </c>
      <c r="I16" s="177" t="s">
        <v>66</v>
      </c>
      <c r="J16" s="177" t="s">
        <v>66</v>
      </c>
      <c r="K16" s="177" t="s">
        <v>66</v>
      </c>
      <c r="L16" s="177" t="s">
        <v>66</v>
      </c>
      <c r="M16" s="177" t="s">
        <v>66</v>
      </c>
      <c r="N16" s="177" t="s">
        <v>66</v>
      </c>
      <c r="O16" s="177" t="s">
        <v>66</v>
      </c>
      <c r="P16" s="177" t="s">
        <v>66</v>
      </c>
      <c r="Q16" s="177" t="s">
        <v>66</v>
      </c>
      <c r="R16" s="177" t="s">
        <v>66</v>
      </c>
      <c r="S16" s="177" t="s">
        <v>66</v>
      </c>
      <c r="T16" s="238" t="s">
        <v>66</v>
      </c>
      <c r="U16" s="177" t="s">
        <v>66</v>
      </c>
      <c r="V16" s="177" t="s">
        <v>66</v>
      </c>
      <c r="W16" s="177" t="s">
        <v>66</v>
      </c>
      <c r="X16" s="177" t="s">
        <v>66</v>
      </c>
      <c r="Y16" s="177" t="s">
        <v>66</v>
      </c>
      <c r="Z16" s="238" t="s">
        <v>66</v>
      </c>
      <c r="AA16" s="177" t="s">
        <v>66</v>
      </c>
      <c r="AB16" s="177" t="s">
        <v>66</v>
      </c>
      <c r="AC16" s="177" t="s">
        <v>66</v>
      </c>
      <c r="AD16" s="177" t="s">
        <v>66</v>
      </c>
      <c r="AE16" s="177" t="s">
        <v>66</v>
      </c>
      <c r="AF16" s="177" t="s">
        <v>66</v>
      </c>
      <c r="AG16" s="177" t="s">
        <v>66</v>
      </c>
      <c r="AH16" s="177" t="s">
        <v>66</v>
      </c>
      <c r="AI16" s="177" t="s">
        <v>66</v>
      </c>
      <c r="AJ16" s="177" t="s">
        <v>66</v>
      </c>
      <c r="AK16" s="177" t="s">
        <v>66</v>
      </c>
      <c r="AL16" s="177" t="s">
        <v>66</v>
      </c>
      <c r="AM16" s="96" t="s">
        <v>66</v>
      </c>
      <c r="AO16" s="160" t="s">
        <v>110</v>
      </c>
      <c r="AP16" s="179">
        <f>SUM(AP17:AP40)</f>
        <v>-1796.8899999999999</v>
      </c>
    </row>
    <row r="17" spans="2:42" x14ac:dyDescent="0.25">
      <c r="B17" s="96"/>
      <c r="C17" s="121">
        <f t="shared" si="7"/>
        <v>20</v>
      </c>
      <c r="D17" s="260">
        <f>AP32</f>
        <v>-20</v>
      </c>
      <c r="E17" s="261">
        <f t="shared" si="8"/>
        <v>0</v>
      </c>
      <c r="F17" s="259" t="s">
        <v>89</v>
      </c>
      <c r="G17" s="253">
        <f t="shared" si="9"/>
        <v>0</v>
      </c>
      <c r="H17" s="255" t="s">
        <v>66</v>
      </c>
      <c r="I17" s="255" t="s">
        <v>66</v>
      </c>
      <c r="J17" s="255" t="s">
        <v>66</v>
      </c>
      <c r="K17" s="255" t="s">
        <v>66</v>
      </c>
      <c r="L17" s="255" t="s">
        <v>66</v>
      </c>
      <c r="M17" s="255" t="s">
        <v>66</v>
      </c>
      <c r="N17" s="255" t="s">
        <v>66</v>
      </c>
      <c r="O17" s="255" t="s">
        <v>66</v>
      </c>
      <c r="P17" s="255" t="s">
        <v>66</v>
      </c>
      <c r="Q17" s="255" t="s">
        <v>66</v>
      </c>
      <c r="R17" s="255" t="s">
        <v>66</v>
      </c>
      <c r="S17" s="255" t="s">
        <v>66</v>
      </c>
      <c r="T17" s="255" t="s">
        <v>66</v>
      </c>
      <c r="U17" s="255" t="s">
        <v>66</v>
      </c>
      <c r="V17" s="255" t="s">
        <v>66</v>
      </c>
      <c r="W17" s="255" t="s">
        <v>66</v>
      </c>
      <c r="X17" s="255" t="s">
        <v>66</v>
      </c>
      <c r="Y17" s="255" t="s">
        <v>66</v>
      </c>
      <c r="Z17" s="255" t="s">
        <v>66</v>
      </c>
      <c r="AA17" s="255" t="s">
        <v>66</v>
      </c>
      <c r="AB17" s="255" t="s">
        <v>66</v>
      </c>
      <c r="AC17" s="255" t="s">
        <v>66</v>
      </c>
      <c r="AD17" s="255" t="s">
        <v>66</v>
      </c>
      <c r="AE17" s="255" t="s">
        <v>66</v>
      </c>
      <c r="AF17" s="255" t="s">
        <v>66</v>
      </c>
      <c r="AG17" s="255" t="s">
        <v>66</v>
      </c>
      <c r="AH17" s="255" t="s">
        <v>66</v>
      </c>
      <c r="AI17" s="255" t="s">
        <v>66</v>
      </c>
      <c r="AJ17" s="255" t="s">
        <v>66</v>
      </c>
      <c r="AK17" s="255" t="s">
        <v>66</v>
      </c>
      <c r="AL17" s="255" t="s">
        <v>66</v>
      </c>
      <c r="AM17" s="96" t="s">
        <v>66</v>
      </c>
      <c r="AN17" s="147">
        <v>1</v>
      </c>
      <c r="AO17" s="54" t="s">
        <v>72</v>
      </c>
      <c r="AP17" s="87">
        <v>-550</v>
      </c>
    </row>
    <row r="18" spans="2:42" x14ac:dyDescent="0.25">
      <c r="B18" s="96"/>
      <c r="C18" s="121">
        <f t="shared" si="7"/>
        <v>9.0000000000003411E-2</v>
      </c>
      <c r="D18" s="258">
        <f>AP19</f>
        <v>-81.89</v>
      </c>
      <c r="E18" s="256">
        <f t="shared" si="8"/>
        <v>-81.8</v>
      </c>
      <c r="F18" s="257" t="s">
        <v>112</v>
      </c>
      <c r="G18" s="88">
        <f t="shared" si="9"/>
        <v>4.6401781949442104E-2</v>
      </c>
      <c r="H18" s="177" t="s">
        <v>66</v>
      </c>
      <c r="I18" s="177" t="s">
        <v>66</v>
      </c>
      <c r="J18" s="177" t="s">
        <v>66</v>
      </c>
      <c r="K18" s="177" t="s">
        <v>66</v>
      </c>
      <c r="L18" s="177" t="s">
        <v>66</v>
      </c>
      <c r="M18" s="177" t="s">
        <v>66</v>
      </c>
      <c r="N18" s="177" t="s">
        <v>66</v>
      </c>
      <c r="O18" s="177">
        <f>-26.9</f>
        <v>-26.9</v>
      </c>
      <c r="P18" s="177" t="s">
        <v>66</v>
      </c>
      <c r="Q18" s="177" t="s">
        <v>66</v>
      </c>
      <c r="R18" s="177" t="s">
        <v>66</v>
      </c>
      <c r="S18" s="177" t="s">
        <v>66</v>
      </c>
      <c r="T18" s="177" t="s">
        <v>66</v>
      </c>
      <c r="U18" s="177" t="s">
        <v>66</v>
      </c>
      <c r="V18" s="177" t="s">
        <v>66</v>
      </c>
      <c r="W18" s="177" t="s">
        <v>66</v>
      </c>
      <c r="X18" s="177" t="s">
        <v>66</v>
      </c>
      <c r="Y18" s="177" t="s">
        <v>66</v>
      </c>
      <c r="Z18" s="177" t="s">
        <v>66</v>
      </c>
      <c r="AA18" s="177" t="s">
        <v>66</v>
      </c>
      <c r="AB18" s="177" t="s">
        <v>66</v>
      </c>
      <c r="AC18" s="177" t="s">
        <v>66</v>
      </c>
      <c r="AD18" s="177" t="s">
        <v>66</v>
      </c>
      <c r="AE18" s="177" t="s">
        <v>66</v>
      </c>
      <c r="AF18" s="177" t="s">
        <v>66</v>
      </c>
      <c r="AG18" s="177" t="s">
        <v>66</v>
      </c>
      <c r="AH18" s="177" t="s">
        <v>66</v>
      </c>
      <c r="AI18" s="177">
        <f>-54.9</f>
        <v>-54.9</v>
      </c>
      <c r="AJ18" s="177" t="s">
        <v>66</v>
      </c>
      <c r="AK18" s="177" t="s">
        <v>66</v>
      </c>
      <c r="AL18" s="177" t="s">
        <v>66</v>
      </c>
      <c r="AM18" s="96" t="s">
        <v>66</v>
      </c>
      <c r="AN18" s="7">
        <f>AN17+1</f>
        <v>2</v>
      </c>
      <c r="AO18" s="54" t="s">
        <v>127</v>
      </c>
      <c r="AP18" s="87">
        <v>-200</v>
      </c>
    </row>
    <row r="19" spans="2:42" x14ac:dyDescent="0.25">
      <c r="B19" s="96"/>
      <c r="C19" s="121">
        <f t="shared" si="7"/>
        <v>0</v>
      </c>
      <c r="D19" s="260">
        <f>AP21</f>
        <v>0</v>
      </c>
      <c r="E19" s="261">
        <f t="shared" si="8"/>
        <v>0</v>
      </c>
      <c r="F19" s="259" t="s">
        <v>113</v>
      </c>
      <c r="G19" s="253">
        <f t="shared" si="9"/>
        <v>0</v>
      </c>
      <c r="H19" s="255" t="s">
        <v>66</v>
      </c>
      <c r="I19" s="255" t="s">
        <v>66</v>
      </c>
      <c r="J19" s="255" t="s">
        <v>66</v>
      </c>
      <c r="K19" s="255" t="s">
        <v>66</v>
      </c>
      <c r="L19" s="255" t="s">
        <v>66</v>
      </c>
      <c r="M19" s="255" t="s">
        <v>66</v>
      </c>
      <c r="N19" s="255" t="s">
        <v>66</v>
      </c>
      <c r="O19" s="255" t="s">
        <v>66</v>
      </c>
      <c r="P19" s="255" t="s">
        <v>66</v>
      </c>
      <c r="Q19" s="255" t="s">
        <v>66</v>
      </c>
      <c r="R19" s="255" t="s">
        <v>66</v>
      </c>
      <c r="S19" s="255" t="s">
        <v>66</v>
      </c>
      <c r="T19" s="255" t="s">
        <v>66</v>
      </c>
      <c r="U19" s="255" t="s">
        <v>66</v>
      </c>
      <c r="V19" s="255" t="s">
        <v>66</v>
      </c>
      <c r="W19" s="255" t="s">
        <v>66</v>
      </c>
      <c r="X19" s="255" t="s">
        <v>66</v>
      </c>
      <c r="Y19" s="255" t="s">
        <v>66</v>
      </c>
      <c r="Z19" s="255" t="s">
        <v>66</v>
      </c>
      <c r="AA19" s="255" t="s">
        <v>66</v>
      </c>
      <c r="AB19" s="255" t="s">
        <v>66</v>
      </c>
      <c r="AC19" s="255" t="s">
        <v>66</v>
      </c>
      <c r="AD19" s="255" t="s">
        <v>66</v>
      </c>
      <c r="AE19" s="255" t="s">
        <v>66</v>
      </c>
      <c r="AF19" s="255" t="s">
        <v>66</v>
      </c>
      <c r="AG19" s="255" t="s">
        <v>66</v>
      </c>
      <c r="AH19" s="255" t="s">
        <v>66</v>
      </c>
      <c r="AI19" s="255" t="s">
        <v>66</v>
      </c>
      <c r="AJ19" s="255" t="s">
        <v>66</v>
      </c>
      <c r="AK19" s="255" t="s">
        <v>66</v>
      </c>
      <c r="AL19" s="255" t="s">
        <v>66</v>
      </c>
      <c r="AM19" s="96" t="s">
        <v>66</v>
      </c>
      <c r="AN19" s="147">
        <f t="shared" ref="AN19:AN40" si="10">AN18+1</f>
        <v>3</v>
      </c>
      <c r="AO19" s="54" t="s">
        <v>29</v>
      </c>
      <c r="AP19" s="87">
        <v>-81.89</v>
      </c>
    </row>
    <row r="20" spans="2:42" x14ac:dyDescent="0.25">
      <c r="B20" s="96"/>
      <c r="C20" s="121">
        <f t="shared" si="7"/>
        <v>0</v>
      </c>
      <c r="D20" s="258">
        <f>AP22</f>
        <v>0</v>
      </c>
      <c r="E20" s="256">
        <f t="shared" si="8"/>
        <v>0</v>
      </c>
      <c r="F20" s="257" t="s">
        <v>115</v>
      </c>
      <c r="G20" s="88">
        <f t="shared" si="9"/>
        <v>0</v>
      </c>
      <c r="H20" s="177" t="s">
        <v>66</v>
      </c>
      <c r="I20" s="177" t="s">
        <v>66</v>
      </c>
      <c r="J20" s="177" t="s">
        <v>66</v>
      </c>
      <c r="K20" s="177" t="s">
        <v>66</v>
      </c>
      <c r="L20" s="177" t="s">
        <v>66</v>
      </c>
      <c r="M20" s="177" t="s">
        <v>66</v>
      </c>
      <c r="N20" s="177" t="s">
        <v>66</v>
      </c>
      <c r="O20" s="177" t="s">
        <v>66</v>
      </c>
      <c r="P20" s="177" t="s">
        <v>66</v>
      </c>
      <c r="Q20" s="177" t="s">
        <v>66</v>
      </c>
      <c r="R20" s="177" t="s">
        <v>66</v>
      </c>
      <c r="S20" s="177" t="s">
        <v>66</v>
      </c>
      <c r="T20" s="177" t="s">
        <v>66</v>
      </c>
      <c r="U20" s="177" t="s">
        <v>66</v>
      </c>
      <c r="V20" s="177" t="s">
        <v>66</v>
      </c>
      <c r="W20" s="177" t="s">
        <v>66</v>
      </c>
      <c r="X20" s="177" t="s">
        <v>66</v>
      </c>
      <c r="Y20" s="177" t="s">
        <v>66</v>
      </c>
      <c r="Z20" s="177" t="s">
        <v>66</v>
      </c>
      <c r="AA20" s="177" t="s">
        <v>66</v>
      </c>
      <c r="AB20" s="238" t="s">
        <v>66</v>
      </c>
      <c r="AC20" s="177" t="s">
        <v>66</v>
      </c>
      <c r="AD20" s="177" t="s">
        <v>66</v>
      </c>
      <c r="AE20" s="177" t="s">
        <v>66</v>
      </c>
      <c r="AF20" s="177" t="s">
        <v>66</v>
      </c>
      <c r="AG20" s="177" t="s">
        <v>66</v>
      </c>
      <c r="AH20" s="177" t="s">
        <v>66</v>
      </c>
      <c r="AI20" s="177" t="s">
        <v>66</v>
      </c>
      <c r="AJ20" s="177" t="s">
        <v>66</v>
      </c>
      <c r="AK20" s="177" t="s">
        <v>66</v>
      </c>
      <c r="AL20" s="177" t="s">
        <v>66</v>
      </c>
      <c r="AM20" s="96" t="s">
        <v>66</v>
      </c>
      <c r="AN20" s="147">
        <f t="shared" si="10"/>
        <v>4</v>
      </c>
      <c r="AO20" s="54" t="s">
        <v>130</v>
      </c>
      <c r="AP20" s="87">
        <v>-200</v>
      </c>
    </row>
    <row r="21" spans="2:42" x14ac:dyDescent="0.25">
      <c r="B21" s="96"/>
      <c r="C21" s="121">
        <f t="shared" si="7"/>
        <v>-82.890000000000015</v>
      </c>
      <c r="D21" s="260">
        <f>AP28</f>
        <v>-160</v>
      </c>
      <c r="E21" s="261">
        <f t="shared" si="8"/>
        <v>-242.89000000000001</v>
      </c>
      <c r="F21" s="259" t="s">
        <v>116</v>
      </c>
      <c r="G21" s="253">
        <f t="shared" si="9"/>
        <v>0.13778152588875298</v>
      </c>
      <c r="H21" s="255">
        <f>-15.3</f>
        <v>-15.3</v>
      </c>
      <c r="I21" s="255" t="s">
        <v>66</v>
      </c>
      <c r="J21" s="255" t="s">
        <v>66</v>
      </c>
      <c r="K21" s="255" t="s">
        <v>66</v>
      </c>
      <c r="L21" s="255" t="s">
        <v>66</v>
      </c>
      <c r="M21" s="255" t="s">
        <v>66</v>
      </c>
      <c r="N21" s="254">
        <f>-16</f>
        <v>-16</v>
      </c>
      <c r="O21" s="255">
        <f>-35.6</f>
        <v>-35.6</v>
      </c>
      <c r="P21" s="255" t="s">
        <v>66</v>
      </c>
      <c r="Q21" s="255" t="s">
        <v>66</v>
      </c>
      <c r="R21" s="255" t="s">
        <v>66</v>
      </c>
      <c r="S21" s="255" t="s">
        <v>66</v>
      </c>
      <c r="T21" s="255">
        <f>-15.8</f>
        <v>-15.8</v>
      </c>
      <c r="U21" s="254" t="s">
        <v>66</v>
      </c>
      <c r="V21" s="255">
        <f>-52.75</f>
        <v>-52.75</v>
      </c>
      <c r="W21" s="255">
        <f>-7.3</f>
        <v>-7.3</v>
      </c>
      <c r="X21" s="255" t="s">
        <v>66</v>
      </c>
      <c r="Y21" s="255" t="s">
        <v>66</v>
      </c>
      <c r="Z21" s="255" t="s">
        <v>66</v>
      </c>
      <c r="AA21" s="255" t="s">
        <v>66</v>
      </c>
      <c r="AB21" s="255">
        <f>-16.65</f>
        <v>-16.649999999999999</v>
      </c>
      <c r="AC21" s="254" t="s">
        <v>66</v>
      </c>
      <c r="AD21" s="255">
        <f>-10</f>
        <v>-10</v>
      </c>
      <c r="AE21" s="255" t="s">
        <v>66</v>
      </c>
      <c r="AF21" s="255" t="s">
        <v>66</v>
      </c>
      <c r="AG21" s="255" t="s">
        <v>66</v>
      </c>
      <c r="AH21" s="255" t="s">
        <v>66</v>
      </c>
      <c r="AI21" s="255">
        <f>-33.49</f>
        <v>-33.49</v>
      </c>
      <c r="AJ21" s="254">
        <v>-40</v>
      </c>
      <c r="AK21" s="255" t="s">
        <v>66</v>
      </c>
      <c r="AL21" s="255" t="s">
        <v>66</v>
      </c>
      <c r="AM21" s="96" t="s">
        <v>66</v>
      </c>
      <c r="AN21" s="147">
        <f t="shared" si="10"/>
        <v>5</v>
      </c>
      <c r="AO21" s="54" t="s">
        <v>31</v>
      </c>
      <c r="AP21" s="87">
        <v>0</v>
      </c>
    </row>
    <row r="22" spans="2:42" ht="15.75" customHeight="1" x14ac:dyDescent="0.25">
      <c r="B22" s="96"/>
      <c r="C22" s="121">
        <f t="shared" si="7"/>
        <v>50</v>
      </c>
      <c r="D22" s="258">
        <f>AP38</f>
        <v>-50</v>
      </c>
      <c r="E22" s="256">
        <f t="shared" si="8"/>
        <v>0</v>
      </c>
      <c r="F22" s="257" t="s">
        <v>122</v>
      </c>
      <c r="G22" s="88">
        <f t="shared" si="9"/>
        <v>0</v>
      </c>
      <c r="H22" s="177" t="s">
        <v>66</v>
      </c>
      <c r="I22" s="177" t="s">
        <v>66</v>
      </c>
      <c r="J22" s="177" t="s">
        <v>66</v>
      </c>
      <c r="K22" s="177" t="s">
        <v>66</v>
      </c>
      <c r="L22" s="177" t="s">
        <v>66</v>
      </c>
      <c r="M22" s="177" t="s">
        <v>66</v>
      </c>
      <c r="N22" s="177" t="s">
        <v>66</v>
      </c>
      <c r="O22" s="177" t="s">
        <v>66</v>
      </c>
      <c r="P22" s="177" t="s">
        <v>66</v>
      </c>
      <c r="Q22" s="177" t="s">
        <v>66</v>
      </c>
      <c r="R22" s="177" t="s">
        <v>66</v>
      </c>
      <c r="S22" s="177" t="s">
        <v>66</v>
      </c>
      <c r="T22" s="177" t="s">
        <v>66</v>
      </c>
      <c r="U22" s="177" t="s">
        <v>66</v>
      </c>
      <c r="V22" s="177" t="s">
        <v>66</v>
      </c>
      <c r="W22" s="177" t="s">
        <v>66</v>
      </c>
      <c r="X22" s="177" t="s">
        <v>66</v>
      </c>
      <c r="Y22" s="177" t="s">
        <v>66</v>
      </c>
      <c r="Z22" s="177" t="s">
        <v>66</v>
      </c>
      <c r="AA22" s="177" t="s">
        <v>66</v>
      </c>
      <c r="AB22" s="177" t="s">
        <v>66</v>
      </c>
      <c r="AC22" s="177" t="s">
        <v>66</v>
      </c>
      <c r="AD22" s="177" t="s">
        <v>66</v>
      </c>
      <c r="AE22" s="177" t="s">
        <v>66</v>
      </c>
      <c r="AF22" s="177" t="s">
        <v>66</v>
      </c>
      <c r="AG22" s="177" t="s">
        <v>66</v>
      </c>
      <c r="AH22" s="177" t="s">
        <v>66</v>
      </c>
      <c r="AI22" s="177" t="s">
        <v>66</v>
      </c>
      <c r="AJ22" s="177" t="s">
        <v>66</v>
      </c>
      <c r="AK22" s="177" t="s">
        <v>66</v>
      </c>
      <c r="AL22" s="177" t="s">
        <v>66</v>
      </c>
      <c r="AM22" s="96" t="s">
        <v>66</v>
      </c>
      <c r="AN22" s="147">
        <f t="shared" si="10"/>
        <v>6</v>
      </c>
      <c r="AO22" s="54" t="s">
        <v>32</v>
      </c>
      <c r="AP22" s="87">
        <v>0</v>
      </c>
    </row>
    <row r="23" spans="2:42" ht="15.75" customHeight="1" x14ac:dyDescent="0.25">
      <c r="B23" s="96"/>
      <c r="C23" s="121">
        <f t="shared" si="7"/>
        <v>-13.5</v>
      </c>
      <c r="D23" s="260">
        <v>-15</v>
      </c>
      <c r="E23" s="261">
        <f t="shared" si="8"/>
        <v>-28.5</v>
      </c>
      <c r="F23" s="259" t="s">
        <v>118</v>
      </c>
      <c r="G23" s="253">
        <f t="shared" si="9"/>
        <v>1.6166880019059901E-2</v>
      </c>
      <c r="H23" s="255" t="s">
        <v>66</v>
      </c>
      <c r="I23" s="255" t="s">
        <v>66</v>
      </c>
      <c r="J23" s="255" t="s">
        <v>66</v>
      </c>
      <c r="K23" s="255" t="s">
        <v>66</v>
      </c>
      <c r="L23" s="255">
        <f>-6.5</f>
        <v>-6.5</v>
      </c>
      <c r="M23" s="255" t="s">
        <v>66</v>
      </c>
      <c r="N23" s="255" t="s">
        <v>66</v>
      </c>
      <c r="O23" s="255" t="s">
        <v>66</v>
      </c>
      <c r="P23" s="255" t="s">
        <v>66</v>
      </c>
      <c r="Q23" s="255" t="s">
        <v>66</v>
      </c>
      <c r="R23" s="255" t="s">
        <v>66</v>
      </c>
      <c r="S23" s="254" t="s">
        <v>66</v>
      </c>
      <c r="T23" s="255" t="s">
        <v>66</v>
      </c>
      <c r="U23" s="255" t="s">
        <v>66</v>
      </c>
      <c r="V23" s="255" t="s">
        <v>66</v>
      </c>
      <c r="W23" s="255" t="s">
        <v>66</v>
      </c>
      <c r="X23" s="255" t="s">
        <v>66</v>
      </c>
      <c r="Y23" s="255" t="s">
        <v>66</v>
      </c>
      <c r="Z23" s="254" t="s">
        <v>66</v>
      </c>
      <c r="AA23" s="255" t="s">
        <v>66</v>
      </c>
      <c r="AB23" s="255" t="s">
        <v>66</v>
      </c>
      <c r="AC23" s="255" t="s">
        <v>66</v>
      </c>
      <c r="AD23" s="255" t="s">
        <v>66</v>
      </c>
      <c r="AE23" s="255" t="s">
        <v>66</v>
      </c>
      <c r="AF23" s="255">
        <f>-22</f>
        <v>-22</v>
      </c>
      <c r="AG23" s="255" t="s">
        <v>66</v>
      </c>
      <c r="AH23" s="255" t="s">
        <v>66</v>
      </c>
      <c r="AI23" s="255" t="s">
        <v>66</v>
      </c>
      <c r="AJ23" s="255" t="s">
        <v>66</v>
      </c>
      <c r="AK23" s="255" t="s">
        <v>66</v>
      </c>
      <c r="AL23" s="255" t="s">
        <v>66</v>
      </c>
      <c r="AM23" s="96" t="s">
        <v>66</v>
      </c>
      <c r="AN23" s="147">
        <f t="shared" si="10"/>
        <v>7</v>
      </c>
      <c r="AO23" s="54" t="s">
        <v>27</v>
      </c>
      <c r="AP23" s="87">
        <v>0</v>
      </c>
    </row>
    <row r="24" spans="2:42" ht="15.75" customHeight="1" x14ac:dyDescent="0.25">
      <c r="B24" s="96"/>
      <c r="C24" s="121">
        <f t="shared" si="7"/>
        <v>5</v>
      </c>
      <c r="D24" s="258">
        <f>AP27</f>
        <v>-5</v>
      </c>
      <c r="E24" s="256">
        <f t="shared" si="8"/>
        <v>0</v>
      </c>
      <c r="F24" s="257" t="s">
        <v>35</v>
      </c>
      <c r="G24" s="88">
        <f t="shared" si="9"/>
        <v>0</v>
      </c>
      <c r="H24" s="177" t="s">
        <v>66</v>
      </c>
      <c r="I24" s="177" t="s">
        <v>66</v>
      </c>
      <c r="J24" s="177" t="s">
        <v>66</v>
      </c>
      <c r="K24" s="177" t="s">
        <v>66</v>
      </c>
      <c r="L24" s="177" t="s">
        <v>66</v>
      </c>
      <c r="M24" s="177" t="s">
        <v>66</v>
      </c>
      <c r="N24" s="177" t="s">
        <v>66</v>
      </c>
      <c r="O24" s="177" t="s">
        <v>66</v>
      </c>
      <c r="P24" s="177" t="s">
        <v>66</v>
      </c>
      <c r="Q24" s="177" t="s">
        <v>66</v>
      </c>
      <c r="R24" s="177" t="s">
        <v>66</v>
      </c>
      <c r="S24" s="177" t="s">
        <v>66</v>
      </c>
      <c r="T24" s="177" t="s">
        <v>66</v>
      </c>
      <c r="U24" s="177" t="s">
        <v>66</v>
      </c>
      <c r="V24" s="177" t="s">
        <v>66</v>
      </c>
      <c r="W24" s="177" t="s">
        <v>66</v>
      </c>
      <c r="X24" s="177" t="s">
        <v>66</v>
      </c>
      <c r="Y24" s="177" t="s">
        <v>66</v>
      </c>
      <c r="Z24" s="177" t="s">
        <v>66</v>
      </c>
      <c r="AA24" s="177" t="s">
        <v>66</v>
      </c>
      <c r="AB24" s="177" t="s">
        <v>66</v>
      </c>
      <c r="AC24" s="177" t="s">
        <v>66</v>
      </c>
      <c r="AD24" s="177" t="s">
        <v>66</v>
      </c>
      <c r="AE24" s="177" t="s">
        <v>66</v>
      </c>
      <c r="AF24" s="177" t="s">
        <v>66</v>
      </c>
      <c r="AG24" s="177" t="s">
        <v>66</v>
      </c>
      <c r="AH24" s="177" t="s">
        <v>66</v>
      </c>
      <c r="AI24" s="177" t="s">
        <v>66</v>
      </c>
      <c r="AJ24" s="177" t="s">
        <v>66</v>
      </c>
      <c r="AK24" s="177" t="s">
        <v>66</v>
      </c>
      <c r="AL24" s="177" t="s">
        <v>66</v>
      </c>
      <c r="AM24" s="96" t="s">
        <v>66</v>
      </c>
      <c r="AN24" s="147">
        <f t="shared" si="10"/>
        <v>8</v>
      </c>
      <c r="AO24" s="54" t="s">
        <v>114</v>
      </c>
      <c r="AP24" s="87">
        <v>-100</v>
      </c>
    </row>
    <row r="25" spans="2:42" ht="15.75" customHeight="1" x14ac:dyDescent="0.25">
      <c r="B25" s="96"/>
      <c r="C25" s="121">
        <f t="shared" si="7"/>
        <v>-22</v>
      </c>
      <c r="D25" s="260">
        <f>AP39</f>
        <v>0</v>
      </c>
      <c r="E25" s="261">
        <f t="shared" si="8"/>
        <v>-22</v>
      </c>
      <c r="F25" s="259" t="s">
        <v>36</v>
      </c>
      <c r="G25" s="253">
        <f t="shared" si="9"/>
        <v>1.247969685681817E-2</v>
      </c>
      <c r="H25" s="255" t="s">
        <v>66</v>
      </c>
      <c r="I25" s="255" t="s">
        <v>66</v>
      </c>
      <c r="J25" s="255" t="s">
        <v>66</v>
      </c>
      <c r="K25" s="255" t="s">
        <v>66</v>
      </c>
      <c r="L25" s="255" t="s">
        <v>66</v>
      </c>
      <c r="M25" s="255" t="s">
        <v>66</v>
      </c>
      <c r="N25" s="255" t="s">
        <v>66</v>
      </c>
      <c r="O25" s="255" t="s">
        <v>66</v>
      </c>
      <c r="P25" s="255" t="s">
        <v>66</v>
      </c>
      <c r="Q25" s="255" t="s">
        <v>66</v>
      </c>
      <c r="R25" s="255" t="s">
        <v>66</v>
      </c>
      <c r="S25" s="255" t="s">
        <v>66</v>
      </c>
      <c r="T25" s="255" t="s">
        <v>66</v>
      </c>
      <c r="U25" s="255" t="s">
        <v>66</v>
      </c>
      <c r="V25" s="255" t="s">
        <v>66</v>
      </c>
      <c r="W25" s="255">
        <f>-22</f>
        <v>-22</v>
      </c>
      <c r="X25" s="255" t="s">
        <v>66</v>
      </c>
      <c r="Y25" s="255" t="s">
        <v>66</v>
      </c>
      <c r="Z25" s="255" t="s">
        <v>66</v>
      </c>
      <c r="AA25" s="255" t="s">
        <v>66</v>
      </c>
      <c r="AB25" s="255" t="s">
        <v>66</v>
      </c>
      <c r="AC25" s="255" t="s">
        <v>66</v>
      </c>
      <c r="AD25" s="255" t="s">
        <v>66</v>
      </c>
      <c r="AE25" s="255" t="s">
        <v>66</v>
      </c>
      <c r="AF25" s="255" t="s">
        <v>66</v>
      </c>
      <c r="AG25" s="255" t="s">
        <v>66</v>
      </c>
      <c r="AH25" s="255" t="s">
        <v>66</v>
      </c>
      <c r="AI25" s="255" t="s">
        <v>66</v>
      </c>
      <c r="AJ25" s="255" t="s">
        <v>66</v>
      </c>
      <c r="AK25" s="255" t="s">
        <v>66</v>
      </c>
      <c r="AL25" s="255" t="s">
        <v>66</v>
      </c>
      <c r="AM25" s="96" t="s">
        <v>66</v>
      </c>
      <c r="AN25" s="147">
        <f t="shared" si="10"/>
        <v>9</v>
      </c>
      <c r="AO25" s="54" t="s">
        <v>107</v>
      </c>
      <c r="AP25" s="87">
        <v>-250</v>
      </c>
    </row>
    <row r="26" spans="2:42" ht="15.75" customHeight="1" x14ac:dyDescent="0.25">
      <c r="B26" s="96"/>
      <c r="C26" s="121">
        <f t="shared" si="7"/>
        <v>38.1</v>
      </c>
      <c r="D26" s="258">
        <f>AP24</f>
        <v>-100</v>
      </c>
      <c r="E26" s="256">
        <f t="shared" si="8"/>
        <v>-61.9</v>
      </c>
      <c r="F26" s="257" t="s">
        <v>39</v>
      </c>
      <c r="G26" s="88">
        <f t="shared" si="9"/>
        <v>3.5113328883502028E-2</v>
      </c>
      <c r="H26" s="177" t="s">
        <v>66</v>
      </c>
      <c r="I26" s="177" t="s">
        <v>66</v>
      </c>
      <c r="J26" s="177" t="s">
        <v>66</v>
      </c>
      <c r="K26" s="177" t="s">
        <v>66</v>
      </c>
      <c r="L26" s="177" t="s">
        <v>66</v>
      </c>
      <c r="M26" s="177" t="s">
        <v>66</v>
      </c>
      <c r="N26" s="177">
        <f>-30</f>
        <v>-30</v>
      </c>
      <c r="O26" s="177" t="s">
        <v>66</v>
      </c>
      <c r="P26" s="177" t="s">
        <v>66</v>
      </c>
      <c r="Q26" s="177" t="s">
        <v>66</v>
      </c>
      <c r="R26" s="177">
        <f>-12</f>
        <v>-12</v>
      </c>
      <c r="S26" s="238" t="s">
        <v>66</v>
      </c>
      <c r="T26" s="177" t="s">
        <v>66</v>
      </c>
      <c r="U26" s="177" t="s">
        <v>66</v>
      </c>
      <c r="V26" s="177" t="s">
        <v>66</v>
      </c>
      <c r="W26" s="177">
        <f>-10</f>
        <v>-10</v>
      </c>
      <c r="X26" s="177"/>
      <c r="Y26" s="177" t="s">
        <v>66</v>
      </c>
      <c r="Z26" s="177" t="s">
        <v>66</v>
      </c>
      <c r="AA26" s="238" t="s">
        <v>66</v>
      </c>
      <c r="AB26" s="177" t="s">
        <v>66</v>
      </c>
      <c r="AC26" s="177" t="s">
        <v>66</v>
      </c>
      <c r="AD26" s="177" t="s">
        <v>66</v>
      </c>
      <c r="AE26" s="177" t="s">
        <v>66</v>
      </c>
      <c r="AF26" s="177" t="s">
        <v>66</v>
      </c>
      <c r="AG26" s="177" t="s">
        <v>66</v>
      </c>
      <c r="AH26" s="177" t="s">
        <v>66</v>
      </c>
      <c r="AI26" s="177" t="s">
        <v>66</v>
      </c>
      <c r="AJ26" s="177">
        <f>-9.9</f>
        <v>-9.9</v>
      </c>
      <c r="AK26" s="177" t="s">
        <v>66</v>
      </c>
      <c r="AL26" s="177" t="s">
        <v>66</v>
      </c>
      <c r="AM26" s="96" t="s">
        <v>66</v>
      </c>
      <c r="AN26" s="147">
        <f t="shared" si="10"/>
        <v>10</v>
      </c>
      <c r="AO26" s="54" t="s">
        <v>22</v>
      </c>
      <c r="AP26" s="87">
        <v>-20</v>
      </c>
    </row>
    <row r="27" spans="2:42" ht="15.75" customHeight="1" x14ac:dyDescent="0.25">
      <c r="B27" s="96"/>
      <c r="C27" s="121">
        <f t="shared" si="7"/>
        <v>0</v>
      </c>
      <c r="D27" s="260">
        <f>AP37</f>
        <v>0</v>
      </c>
      <c r="E27" s="261">
        <f t="shared" si="8"/>
        <v>0</v>
      </c>
      <c r="F27" s="259" t="s">
        <v>40</v>
      </c>
      <c r="G27" s="253">
        <f t="shared" si="9"/>
        <v>0</v>
      </c>
      <c r="H27" s="255" t="s">
        <v>66</v>
      </c>
      <c r="I27" s="255" t="s">
        <v>66</v>
      </c>
      <c r="J27" s="255" t="s">
        <v>66</v>
      </c>
      <c r="K27" s="255" t="s">
        <v>66</v>
      </c>
      <c r="L27" s="255" t="s">
        <v>66</v>
      </c>
      <c r="M27" s="255" t="s">
        <v>66</v>
      </c>
      <c r="N27" s="255" t="s">
        <v>66</v>
      </c>
      <c r="O27" s="255" t="s">
        <v>66</v>
      </c>
      <c r="P27" s="255" t="s">
        <v>66</v>
      </c>
      <c r="Q27" s="255" t="s">
        <v>66</v>
      </c>
      <c r="R27" s="255" t="s">
        <v>66</v>
      </c>
      <c r="S27" s="255" t="s">
        <v>66</v>
      </c>
      <c r="T27" s="255" t="s">
        <v>66</v>
      </c>
      <c r="U27" s="255" t="s">
        <v>66</v>
      </c>
      <c r="V27" s="255" t="s">
        <v>66</v>
      </c>
      <c r="W27" s="255" t="s">
        <v>66</v>
      </c>
      <c r="X27" s="255" t="s">
        <v>66</v>
      </c>
      <c r="Y27" s="255" t="s">
        <v>66</v>
      </c>
      <c r="Z27" s="255" t="s">
        <v>66</v>
      </c>
      <c r="AA27" s="255" t="s">
        <v>66</v>
      </c>
      <c r="AB27" s="255" t="s">
        <v>66</v>
      </c>
      <c r="AC27" s="255" t="s">
        <v>66</v>
      </c>
      <c r="AD27" s="255" t="s">
        <v>66</v>
      </c>
      <c r="AE27" s="255" t="s">
        <v>66</v>
      </c>
      <c r="AF27" s="255" t="s">
        <v>66</v>
      </c>
      <c r="AG27" s="255" t="s">
        <v>66</v>
      </c>
      <c r="AH27" s="255" t="s">
        <v>66</v>
      </c>
      <c r="AI27" s="255" t="s">
        <v>66</v>
      </c>
      <c r="AJ27" s="255" t="s">
        <v>66</v>
      </c>
      <c r="AK27" s="255" t="s">
        <v>66</v>
      </c>
      <c r="AL27" s="255" t="s">
        <v>66</v>
      </c>
      <c r="AM27" s="96" t="s">
        <v>66</v>
      </c>
      <c r="AN27" s="147">
        <f t="shared" si="10"/>
        <v>11</v>
      </c>
      <c r="AO27" s="54" t="s">
        <v>35</v>
      </c>
      <c r="AP27" s="87">
        <v>-5</v>
      </c>
    </row>
    <row r="28" spans="2:42" ht="15.75" customHeight="1" x14ac:dyDescent="0.25">
      <c r="B28" s="96"/>
      <c r="C28" s="121">
        <f t="shared" si="7"/>
        <v>0</v>
      </c>
      <c r="D28" s="258">
        <f>AP39</f>
        <v>0</v>
      </c>
      <c r="E28" s="256">
        <f t="shared" si="8"/>
        <v>0</v>
      </c>
      <c r="F28" s="257" t="s">
        <v>41</v>
      </c>
      <c r="G28" s="88">
        <f t="shared" si="9"/>
        <v>0</v>
      </c>
      <c r="H28" s="177" t="s">
        <v>66</v>
      </c>
      <c r="I28" s="177" t="s">
        <v>66</v>
      </c>
      <c r="J28" s="177" t="s">
        <v>66</v>
      </c>
      <c r="K28" s="177" t="s">
        <v>66</v>
      </c>
      <c r="L28" s="177" t="s">
        <v>66</v>
      </c>
      <c r="M28" s="177" t="s">
        <v>66</v>
      </c>
      <c r="N28" s="177" t="s">
        <v>66</v>
      </c>
      <c r="O28" s="177" t="s">
        <v>66</v>
      </c>
      <c r="P28" s="177" t="s">
        <v>66</v>
      </c>
      <c r="Q28" s="177" t="s">
        <v>66</v>
      </c>
      <c r="R28" s="177" t="s">
        <v>66</v>
      </c>
      <c r="S28" s="177" t="s">
        <v>66</v>
      </c>
      <c r="T28" s="177" t="s">
        <v>66</v>
      </c>
      <c r="U28" s="177" t="s">
        <v>66</v>
      </c>
      <c r="V28" s="177" t="s">
        <v>66</v>
      </c>
      <c r="W28" s="177" t="s">
        <v>66</v>
      </c>
      <c r="X28" s="177" t="s">
        <v>66</v>
      </c>
      <c r="Y28" s="177" t="s">
        <v>66</v>
      </c>
      <c r="Z28" s="177" t="s">
        <v>66</v>
      </c>
      <c r="AA28" s="177" t="s">
        <v>66</v>
      </c>
      <c r="AB28" s="177" t="s">
        <v>66</v>
      </c>
      <c r="AC28" s="177" t="s">
        <v>66</v>
      </c>
      <c r="AD28" s="177" t="s">
        <v>66</v>
      </c>
      <c r="AE28" s="177" t="s">
        <v>66</v>
      </c>
      <c r="AF28" s="177" t="s">
        <v>66</v>
      </c>
      <c r="AG28" s="177" t="s">
        <v>66</v>
      </c>
      <c r="AH28" s="177" t="s">
        <v>66</v>
      </c>
      <c r="AI28" s="177" t="s">
        <v>66</v>
      </c>
      <c r="AJ28" s="177" t="s">
        <v>66</v>
      </c>
      <c r="AK28" s="177" t="s">
        <v>66</v>
      </c>
      <c r="AL28" s="177" t="s">
        <v>66</v>
      </c>
      <c r="AM28" s="96" t="s">
        <v>66</v>
      </c>
      <c r="AN28" s="147">
        <f t="shared" si="10"/>
        <v>12</v>
      </c>
      <c r="AO28" s="54" t="s">
        <v>33</v>
      </c>
      <c r="AP28" s="87">
        <v>-160</v>
      </c>
    </row>
    <row r="29" spans="2:42" ht="15.75" customHeight="1" x14ac:dyDescent="0.25">
      <c r="B29" s="246"/>
      <c r="C29" s="121"/>
      <c r="D29" s="258"/>
      <c r="E29" s="261">
        <f>-(505)/3</f>
        <v>-168.33333333333334</v>
      </c>
      <c r="F29" s="259" t="s">
        <v>209</v>
      </c>
      <c r="G29" s="88">
        <f t="shared" si="9"/>
        <v>9.5488589586260247E-2</v>
      </c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246"/>
      <c r="AN29" s="147"/>
      <c r="AO29" s="54"/>
      <c r="AP29" s="87"/>
    </row>
    <row r="30" spans="2:42" ht="15.75" customHeight="1" x14ac:dyDescent="0.25">
      <c r="B30" s="96"/>
      <c r="C30" s="121">
        <f t="shared" si="7"/>
        <v>0</v>
      </c>
      <c r="D30" s="260">
        <f>AP17</f>
        <v>-550</v>
      </c>
      <c r="E30" s="261">
        <f t="shared" si="8"/>
        <v>-550</v>
      </c>
      <c r="F30" s="259" t="s">
        <v>72</v>
      </c>
      <c r="G30" s="253">
        <f t="shared" si="9"/>
        <v>0.31199242142045425</v>
      </c>
      <c r="H30" s="255" t="s">
        <v>66</v>
      </c>
      <c r="I30" s="255" t="s">
        <v>66</v>
      </c>
      <c r="J30" s="255" t="s">
        <v>66</v>
      </c>
      <c r="K30" s="255" t="s">
        <v>66</v>
      </c>
      <c r="L30" s="255" t="s">
        <v>66</v>
      </c>
      <c r="M30" s="255" t="s">
        <v>66</v>
      </c>
      <c r="N30" s="255" t="s">
        <v>66</v>
      </c>
      <c r="O30" s="255">
        <f>-550</f>
        <v>-550</v>
      </c>
      <c r="P30" s="255" t="s">
        <v>66</v>
      </c>
      <c r="Q30" s="255" t="s">
        <v>66</v>
      </c>
      <c r="R30" s="255" t="s">
        <v>66</v>
      </c>
      <c r="S30" s="255" t="s">
        <v>66</v>
      </c>
      <c r="T30" s="255" t="s">
        <v>66</v>
      </c>
      <c r="U30" s="255" t="s">
        <v>66</v>
      </c>
      <c r="V30" s="255" t="s">
        <v>66</v>
      </c>
      <c r="W30" s="255" t="s">
        <v>66</v>
      </c>
      <c r="X30" s="255" t="s">
        <v>66</v>
      </c>
      <c r="Y30" s="255" t="s">
        <v>66</v>
      </c>
      <c r="Z30" s="255" t="s">
        <v>66</v>
      </c>
      <c r="AA30" s="255" t="s">
        <v>66</v>
      </c>
      <c r="AB30" s="255" t="s">
        <v>66</v>
      </c>
      <c r="AC30" s="255" t="s">
        <v>66</v>
      </c>
      <c r="AD30" s="255" t="s">
        <v>66</v>
      </c>
      <c r="AE30" s="255" t="s">
        <v>66</v>
      </c>
      <c r="AF30" s="255" t="s">
        <v>66</v>
      </c>
      <c r="AG30" s="255" t="s">
        <v>66</v>
      </c>
      <c r="AH30" s="255" t="s">
        <v>66</v>
      </c>
      <c r="AI30" s="255" t="s">
        <v>66</v>
      </c>
      <c r="AJ30" s="255" t="s">
        <v>66</v>
      </c>
      <c r="AK30" s="255" t="s">
        <v>66</v>
      </c>
      <c r="AL30" s="255" t="s">
        <v>66</v>
      </c>
      <c r="AM30" s="96" t="s">
        <v>66</v>
      </c>
      <c r="AN30" s="147">
        <f>AN28+1</f>
        <v>13</v>
      </c>
      <c r="AO30" s="54" t="s">
        <v>131</v>
      </c>
      <c r="AP30" s="87">
        <v>-15</v>
      </c>
    </row>
    <row r="31" spans="2:42" ht="15.75" customHeight="1" x14ac:dyDescent="0.25">
      <c r="B31" s="96"/>
      <c r="C31" s="121">
        <f t="shared" si="7"/>
        <v>0</v>
      </c>
      <c r="D31" s="258">
        <f>AP31</f>
        <v>0</v>
      </c>
      <c r="E31" s="256">
        <f t="shared" si="8"/>
        <v>0</v>
      </c>
      <c r="F31" s="257" t="s">
        <v>121</v>
      </c>
      <c r="G31" s="88">
        <f t="shared" si="9"/>
        <v>0</v>
      </c>
      <c r="H31" s="177" t="s">
        <v>66</v>
      </c>
      <c r="I31" s="177" t="s">
        <v>66</v>
      </c>
      <c r="J31" s="177" t="s">
        <v>66</v>
      </c>
      <c r="K31" s="177" t="s">
        <v>66</v>
      </c>
      <c r="L31" s="177" t="s">
        <v>66</v>
      </c>
      <c r="M31" s="177" t="s">
        <v>66</v>
      </c>
      <c r="N31" s="177" t="s">
        <v>66</v>
      </c>
      <c r="O31" s="177" t="s">
        <v>66</v>
      </c>
      <c r="P31" s="177" t="s">
        <v>66</v>
      </c>
      <c r="Q31" s="177" t="s">
        <v>66</v>
      </c>
      <c r="R31" s="177" t="s">
        <v>66</v>
      </c>
      <c r="S31" s="177" t="s">
        <v>66</v>
      </c>
      <c r="T31" s="177" t="s">
        <v>66</v>
      </c>
      <c r="U31" s="177" t="s">
        <v>66</v>
      </c>
      <c r="V31" s="177" t="s">
        <v>66</v>
      </c>
      <c r="W31" s="177" t="s">
        <v>66</v>
      </c>
      <c r="X31" s="177" t="s">
        <v>66</v>
      </c>
      <c r="Y31" s="177" t="s">
        <v>66</v>
      </c>
      <c r="Z31" s="177" t="s">
        <v>66</v>
      </c>
      <c r="AA31" s="177" t="s">
        <v>66</v>
      </c>
      <c r="AB31" s="177" t="s">
        <v>66</v>
      </c>
      <c r="AC31" s="177" t="s">
        <v>66</v>
      </c>
      <c r="AD31" s="177" t="s">
        <v>66</v>
      </c>
      <c r="AE31" s="177" t="s">
        <v>66</v>
      </c>
      <c r="AF31" s="177" t="s">
        <v>66</v>
      </c>
      <c r="AG31" s="177" t="s">
        <v>66</v>
      </c>
      <c r="AH31" s="177" t="s">
        <v>66</v>
      </c>
      <c r="AI31" s="177" t="s">
        <v>66</v>
      </c>
      <c r="AJ31" s="177" t="s">
        <v>66</v>
      </c>
      <c r="AK31" s="177" t="s">
        <v>66</v>
      </c>
      <c r="AL31" s="177" t="s">
        <v>66</v>
      </c>
      <c r="AM31" s="96" t="s">
        <v>66</v>
      </c>
      <c r="AN31" s="147">
        <f t="shared" si="10"/>
        <v>14</v>
      </c>
      <c r="AO31" s="54" t="s">
        <v>42</v>
      </c>
      <c r="AP31" s="87">
        <v>0</v>
      </c>
    </row>
    <row r="32" spans="2:42" ht="15.75" customHeight="1" x14ac:dyDescent="0.25">
      <c r="B32" s="96"/>
      <c r="C32" s="121"/>
      <c r="D32" s="260"/>
      <c r="E32" s="261">
        <f t="shared" si="8"/>
        <v>-20</v>
      </c>
      <c r="F32" s="259" t="s">
        <v>96</v>
      </c>
      <c r="G32" s="253">
        <f t="shared" si="9"/>
        <v>1.1345178960743791E-2</v>
      </c>
      <c r="H32" s="255" t="s">
        <v>66</v>
      </c>
      <c r="I32" s="255" t="s">
        <v>66</v>
      </c>
      <c r="J32" s="255" t="s">
        <v>66</v>
      </c>
      <c r="K32" s="255" t="s">
        <v>66</v>
      </c>
      <c r="L32" s="255" t="s">
        <v>66</v>
      </c>
      <c r="M32" s="255" t="s">
        <v>66</v>
      </c>
      <c r="N32" s="255" t="s">
        <v>66</v>
      </c>
      <c r="O32" s="255" t="s">
        <v>66</v>
      </c>
      <c r="P32" s="255" t="s">
        <v>66</v>
      </c>
      <c r="Q32" s="255" t="s">
        <v>66</v>
      </c>
      <c r="R32" s="255" t="s">
        <v>66</v>
      </c>
      <c r="S32" s="255" t="s">
        <v>66</v>
      </c>
      <c r="T32" s="255" t="s">
        <v>66</v>
      </c>
      <c r="U32" s="255" t="s">
        <v>66</v>
      </c>
      <c r="V32" s="255" t="s">
        <v>66</v>
      </c>
      <c r="W32" s="255" t="s">
        <v>66</v>
      </c>
      <c r="X32" s="255" t="s">
        <v>66</v>
      </c>
      <c r="Y32" s="255" t="s">
        <v>66</v>
      </c>
      <c r="Z32" s="255" t="s">
        <v>66</v>
      </c>
      <c r="AA32" s="255" t="s">
        <v>66</v>
      </c>
      <c r="AB32" s="255" t="s">
        <v>66</v>
      </c>
      <c r="AC32" s="255" t="s">
        <v>66</v>
      </c>
      <c r="AD32" s="255" t="s">
        <v>66</v>
      </c>
      <c r="AE32" s="255" t="s">
        <v>66</v>
      </c>
      <c r="AF32" s="255">
        <f>-20</f>
        <v>-20</v>
      </c>
      <c r="AG32" s="255" t="s">
        <v>66</v>
      </c>
      <c r="AH32" s="255" t="s">
        <v>66</v>
      </c>
      <c r="AI32" s="255" t="s">
        <v>66</v>
      </c>
      <c r="AJ32" s="255" t="s">
        <v>66</v>
      </c>
      <c r="AK32" s="255" t="s">
        <v>66</v>
      </c>
      <c r="AL32" s="255" t="s">
        <v>66</v>
      </c>
      <c r="AM32" s="96" t="s">
        <v>66</v>
      </c>
      <c r="AN32" s="147">
        <f t="shared" si="10"/>
        <v>15</v>
      </c>
      <c r="AO32" s="54" t="s">
        <v>89</v>
      </c>
      <c r="AP32" s="87">
        <v>-20</v>
      </c>
    </row>
    <row r="33" spans="2:42" ht="15.75" customHeight="1" x14ac:dyDescent="0.25">
      <c r="B33" s="96"/>
      <c r="C33" s="99" t="s">
        <v>44</v>
      </c>
      <c r="D33" s="99"/>
      <c r="E33" s="124">
        <f t="shared" ref="E33" si="11">SUM(H33:AJ33)</f>
        <v>3668.61</v>
      </c>
      <c r="F33" s="262"/>
      <c r="G33" s="125"/>
      <c r="H33" s="126"/>
      <c r="I33" s="126"/>
      <c r="J33" s="277"/>
      <c r="K33" s="126"/>
      <c r="L33" s="126">
        <f>3261.61</f>
        <v>3261.61</v>
      </c>
      <c r="M33" s="126">
        <v>307</v>
      </c>
      <c r="N33" s="126"/>
      <c r="O33" s="245"/>
      <c r="P33" s="126">
        <v>50</v>
      </c>
      <c r="Q33" s="126"/>
      <c r="R33" s="126"/>
      <c r="S33" s="126"/>
      <c r="T33" s="126"/>
      <c r="U33" s="126"/>
      <c r="V33" s="126">
        <v>50</v>
      </c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96" t="s">
        <v>66</v>
      </c>
      <c r="AN33" s="147">
        <f t="shared" si="10"/>
        <v>16</v>
      </c>
      <c r="AO33" s="54" t="s">
        <v>109</v>
      </c>
      <c r="AP33" s="87">
        <v>-15</v>
      </c>
    </row>
    <row r="34" spans="2:42" ht="15.75" customHeight="1" x14ac:dyDescent="0.25">
      <c r="B34" s="96"/>
      <c r="C34" s="267">
        <f>SUM(C8:C31)</f>
        <v>207.35999999999999</v>
      </c>
      <c r="D34" s="164"/>
      <c r="E34" s="263"/>
      <c r="F34" s="165"/>
      <c r="G34" s="166"/>
      <c r="H34" s="167"/>
      <c r="I34" s="167"/>
      <c r="J34" s="168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97"/>
      <c r="AN34" s="147">
        <f t="shared" si="10"/>
        <v>17</v>
      </c>
      <c r="AO34" s="54" t="s">
        <v>81</v>
      </c>
      <c r="AP34" s="87">
        <v>-40</v>
      </c>
    </row>
    <row r="35" spans="2:42" ht="15.75" customHeight="1" x14ac:dyDescent="0.25">
      <c r="B35" s="96"/>
      <c r="C35" s="110" t="s">
        <v>205</v>
      </c>
      <c r="D35" s="110"/>
      <c r="E35" s="264"/>
      <c r="F35" s="58"/>
      <c r="G35" s="66"/>
      <c r="H35" s="251">
        <f>SUM($H7:H$7)</f>
        <v>-25.3</v>
      </c>
      <c r="I35" s="251">
        <f>SUM($H7:I$7)</f>
        <v>-45.21</v>
      </c>
      <c r="J35" s="251">
        <f>SUM($H7:J$7)</f>
        <v>-89.509999999999991</v>
      </c>
      <c r="K35" s="251">
        <f>SUM($H7:K$7)</f>
        <v>-114.02</v>
      </c>
      <c r="L35" s="251">
        <f>SUM($H7:L$7)</f>
        <v>-120.52</v>
      </c>
      <c r="M35" s="251">
        <f>SUM($H7:M$7)</f>
        <v>-125.52</v>
      </c>
      <c r="N35" s="251">
        <f>SUM($H7:N$7)</f>
        <v>-203.39</v>
      </c>
      <c r="O35" s="251">
        <f>SUM($H7:O$7)</f>
        <v>-856.67</v>
      </c>
      <c r="P35" s="251">
        <f>SUM($H7:P$7)</f>
        <v>-856.67</v>
      </c>
      <c r="Q35" s="251">
        <f>SUM($H7:Q$7)</f>
        <v>-901.18</v>
      </c>
      <c r="R35" s="251">
        <f>SUM($H7:R$7)</f>
        <v>-949.89</v>
      </c>
      <c r="S35" s="251">
        <f>SUM($H7:S$7)</f>
        <v>-974.4</v>
      </c>
      <c r="T35" s="251">
        <f>SUM($H7:T$7)</f>
        <v>-1070.2</v>
      </c>
      <c r="U35" s="251">
        <f>SUM($H7:U$7)</f>
        <v>-1075.2</v>
      </c>
      <c r="V35" s="251">
        <f>SUM($H7:V$7)</f>
        <v>-1127.95</v>
      </c>
      <c r="W35" s="251">
        <f>SUM($H7:W$7)</f>
        <v>-1227.96</v>
      </c>
      <c r="X35" s="251">
        <f>SUM($H7:X$7)</f>
        <v>-1252.47</v>
      </c>
      <c r="Y35" s="251">
        <f>SUM($H7:Y$7)</f>
        <v>-1252.47</v>
      </c>
      <c r="Z35" s="251">
        <f>SUM($H7:Z$7)</f>
        <v>-1276.98</v>
      </c>
      <c r="AA35" s="251">
        <f>SUM($H7:AA$7)</f>
        <v>-1285.44</v>
      </c>
      <c r="AB35" s="251">
        <f>SUM($H7:AB$7)</f>
        <v>-1302.0900000000001</v>
      </c>
      <c r="AC35" s="251">
        <f>SUM($H7:AC$7)</f>
        <v>-1302.0900000000001</v>
      </c>
      <c r="AD35" s="251">
        <f>SUM($H7:AD$7)</f>
        <v>-1312.0900000000001</v>
      </c>
      <c r="AE35" s="251">
        <f>SUM($H7:AE$7)</f>
        <v>-1312.0900000000001</v>
      </c>
      <c r="AF35" s="251">
        <f>SUM($H7:AF$7)</f>
        <v>-1354.0900000000001</v>
      </c>
      <c r="AG35" s="251">
        <f>SUM($H7:AG$7)</f>
        <v>-1354.0900000000001</v>
      </c>
      <c r="AH35" s="251">
        <f>SUM($H7:AH$7)</f>
        <v>-1354.0900000000001</v>
      </c>
      <c r="AI35" s="251">
        <f>SUM($H7:AI$7)</f>
        <v>-1442.4800000000002</v>
      </c>
      <c r="AJ35" s="251">
        <f>SUM($H7:AJ$7)</f>
        <v>-1594.5300000000002</v>
      </c>
      <c r="AK35" s="251">
        <f>SUM($H7:AK$7)</f>
        <v>-1594.5300000000002</v>
      </c>
      <c r="AL35" s="251">
        <f>SUM($H7:AL$7)</f>
        <v>-1594.5300000000002</v>
      </c>
      <c r="AM35" s="97"/>
      <c r="AN35" s="147">
        <f t="shared" si="10"/>
        <v>18</v>
      </c>
      <c r="AO35" s="54" t="s">
        <v>28</v>
      </c>
      <c r="AP35" s="87">
        <v>-60</v>
      </c>
    </row>
    <row r="36" spans="2:42" ht="15.75" customHeight="1" x14ac:dyDescent="0.25">
      <c r="B36" s="96"/>
      <c r="C36" s="99" t="s">
        <v>69</v>
      </c>
      <c r="D36" s="169"/>
      <c r="E36" s="169"/>
      <c r="F36" s="44"/>
      <c r="G36" s="115">
        <f>'Dez2019'!AO36</f>
        <v>10544.64000000001</v>
      </c>
      <c r="H36" s="73">
        <f>G46+H7+H33</f>
        <v>10519.340000000011</v>
      </c>
      <c r="I36" s="73">
        <f>H46+I7+I33</f>
        <v>10499.430000000011</v>
      </c>
      <c r="J36" s="73">
        <f>I46+J7+J33</f>
        <v>10455.130000000012</v>
      </c>
      <c r="K36" s="73">
        <f>J46+K7+K33</f>
        <v>10430.620000000012</v>
      </c>
      <c r="L36" s="73">
        <f>K46+L7+L33</f>
        <v>13685.730000000012</v>
      </c>
      <c r="M36" s="73">
        <f>L46+M7+M33</f>
        <v>13987.730000000012</v>
      </c>
      <c r="N36" s="73">
        <f>M46+N7+N33</f>
        <v>13909.860000000011</v>
      </c>
      <c r="O36" s="73">
        <f>N46+O7+O33</f>
        <v>13256.580000000011</v>
      </c>
      <c r="P36" s="73">
        <f>O46+P7+P33</f>
        <v>13306.580000000011</v>
      </c>
      <c r="Q36" s="73">
        <f>P46+Q7+Q33</f>
        <v>13262.070000000011</v>
      </c>
      <c r="R36" s="73">
        <f>Q46+R7+R33</f>
        <v>13213.360000000011</v>
      </c>
      <c r="S36" s="73">
        <f>R46+S7+S33</f>
        <v>13188.850000000011</v>
      </c>
      <c r="T36" s="73">
        <f>S46+T7+T33</f>
        <v>13093.050000000012</v>
      </c>
      <c r="U36" s="73">
        <f>T46+U7+U33</f>
        <v>13088.050000000012</v>
      </c>
      <c r="V36" s="73">
        <f>U46+V7+V33</f>
        <v>13085.300000000012</v>
      </c>
      <c r="W36" s="73">
        <f>V46+W7+W33</f>
        <v>12985.290000000012</v>
      </c>
      <c r="X36" s="73">
        <f>W46+X7+X33</f>
        <v>12960.780000000012</v>
      </c>
      <c r="Y36" s="73">
        <f>X46+Y7+Y33</f>
        <v>12960.780000000012</v>
      </c>
      <c r="Z36" s="73">
        <f>Y46+Z7+Z33</f>
        <v>12936.270000000011</v>
      </c>
      <c r="AA36" s="73">
        <f>Z46+AA7+AA33</f>
        <v>12927.810000000012</v>
      </c>
      <c r="AB36" s="73">
        <f>AA46+AB7+AB33</f>
        <v>12911.160000000013</v>
      </c>
      <c r="AC36" s="73">
        <f>AB46+AC7+AC33</f>
        <v>12911.160000000013</v>
      </c>
      <c r="AD36" s="73">
        <f>AC46+AD7+AD33</f>
        <v>12901.160000000013</v>
      </c>
      <c r="AE36" s="73">
        <f>AD46+AE7+AE33</f>
        <v>12901.160000000013</v>
      </c>
      <c r="AF36" s="73">
        <f>AE46+AF7+AF33</f>
        <v>12859.160000000013</v>
      </c>
      <c r="AG36" s="73">
        <f>AF46+AG7+AG33</f>
        <v>12859.160000000013</v>
      </c>
      <c r="AH36" s="73">
        <f>AG46+AH7+AH33</f>
        <v>12859.160000000013</v>
      </c>
      <c r="AI36" s="73">
        <f>AH46+AI7+AI33</f>
        <v>12770.770000000013</v>
      </c>
      <c r="AJ36" s="73">
        <f>AI46+AJ7+AJ33</f>
        <v>12618.720000000014</v>
      </c>
      <c r="AK36" s="73">
        <f>AJ46+AK7+AK33</f>
        <v>12618.720000000014</v>
      </c>
      <c r="AL36" s="73">
        <f>AK46+AL7+AL33</f>
        <v>12618.720000000014</v>
      </c>
      <c r="AM36" s="97"/>
      <c r="AN36" s="147">
        <f t="shared" si="10"/>
        <v>19</v>
      </c>
      <c r="AO36" s="54" t="s">
        <v>120</v>
      </c>
      <c r="AP36" s="87">
        <f>-8-22</f>
        <v>-30</v>
      </c>
    </row>
    <row r="37" spans="2:42" ht="15.75" customHeight="1" x14ac:dyDescent="0.25">
      <c r="B37" s="96"/>
      <c r="C37" s="268" t="s">
        <v>61</v>
      </c>
      <c r="D37" s="268"/>
      <c r="E37" s="268"/>
      <c r="F37" s="269"/>
      <c r="G37" s="269"/>
      <c r="H37" s="270"/>
      <c r="I37" s="270"/>
      <c r="J37" s="270"/>
      <c r="K37" s="270"/>
      <c r="L37" s="270"/>
      <c r="M37" s="270"/>
      <c r="N37" s="270"/>
      <c r="O37" s="271">
        <f>70</f>
        <v>70</v>
      </c>
      <c r="P37" s="271"/>
      <c r="Q37" s="271"/>
      <c r="R37" s="271"/>
      <c r="S37" s="271"/>
      <c r="T37" s="271"/>
      <c r="U37" s="271"/>
      <c r="V37" s="270"/>
      <c r="W37" s="271"/>
      <c r="X37" s="271"/>
      <c r="Y37" s="271"/>
      <c r="Z37" s="271"/>
      <c r="AA37" s="271"/>
      <c r="AB37" s="271"/>
      <c r="AC37" s="271">
        <f>100</f>
        <v>100</v>
      </c>
      <c r="AD37" s="271"/>
      <c r="AE37" s="271"/>
      <c r="AF37" s="271"/>
      <c r="AG37" s="271"/>
      <c r="AH37" s="271"/>
      <c r="AI37" s="271"/>
      <c r="AJ37" s="271"/>
      <c r="AK37" s="271"/>
      <c r="AL37" s="271"/>
      <c r="AM37" s="97"/>
      <c r="AN37" s="147">
        <f t="shared" si="10"/>
        <v>20</v>
      </c>
      <c r="AO37" s="54" t="s">
        <v>40</v>
      </c>
      <c r="AP37" s="87">
        <v>0</v>
      </c>
    </row>
    <row r="38" spans="2:42" ht="15.75" customHeight="1" x14ac:dyDescent="0.25">
      <c r="B38" s="246"/>
      <c r="C38" s="272" t="s">
        <v>194</v>
      </c>
      <c r="D38" s="273"/>
      <c r="E38" s="273"/>
      <c r="F38" s="274"/>
      <c r="G38" s="274"/>
      <c r="H38" s="275"/>
      <c r="I38" s="275"/>
      <c r="J38" s="275"/>
      <c r="K38" s="275"/>
      <c r="L38" s="275"/>
      <c r="M38" s="275"/>
      <c r="N38" s="275"/>
      <c r="O38" s="276">
        <f>313.93</f>
        <v>313.93</v>
      </c>
      <c r="P38" s="276"/>
      <c r="Q38" s="276"/>
      <c r="R38" s="276"/>
      <c r="S38" s="276"/>
      <c r="T38" s="276"/>
      <c r="U38" s="276"/>
      <c r="V38" s="275"/>
      <c r="W38" s="276"/>
      <c r="X38" s="276"/>
      <c r="Y38" s="276"/>
      <c r="Z38" s="276"/>
      <c r="AA38" s="276"/>
      <c r="AB38" s="276"/>
      <c r="AC38" s="276">
        <f>185.17</f>
        <v>185.17</v>
      </c>
      <c r="AD38" s="276"/>
      <c r="AE38" s="276"/>
      <c r="AF38" s="276"/>
      <c r="AG38" s="276"/>
      <c r="AH38" s="276"/>
      <c r="AI38" s="276"/>
      <c r="AJ38" s="276"/>
      <c r="AK38" s="276"/>
      <c r="AL38" s="276"/>
      <c r="AM38" s="247"/>
      <c r="AN38" s="147">
        <f t="shared" si="10"/>
        <v>21</v>
      </c>
      <c r="AO38" s="54" t="s">
        <v>122</v>
      </c>
      <c r="AP38" s="87">
        <v>-50</v>
      </c>
    </row>
    <row r="39" spans="2:42" ht="15.75" customHeight="1" x14ac:dyDescent="0.25">
      <c r="B39" s="96"/>
      <c r="C39" s="268" t="s">
        <v>134</v>
      </c>
      <c r="D39" s="268"/>
      <c r="E39" s="268"/>
      <c r="F39" s="269"/>
      <c r="G39" s="269"/>
      <c r="H39" s="270"/>
      <c r="I39" s="270"/>
      <c r="J39" s="270"/>
      <c r="K39" s="270"/>
      <c r="L39" s="270"/>
      <c r="M39" s="270"/>
      <c r="N39" s="270"/>
      <c r="O39" s="271">
        <f>-(2*19.97 + 4*41.64 + 4*45.59)</f>
        <v>-388.86</v>
      </c>
      <c r="P39" s="271"/>
      <c r="Q39" s="271"/>
      <c r="R39" s="271"/>
      <c r="S39" s="271"/>
      <c r="T39" s="271"/>
      <c r="U39" s="271"/>
      <c r="V39" s="270"/>
      <c r="W39" s="271"/>
      <c r="X39" s="271"/>
      <c r="Y39" s="271"/>
      <c r="Z39" s="271"/>
      <c r="AA39" s="271"/>
      <c r="AB39" s="271"/>
      <c r="AC39" s="271">
        <f>O39</f>
        <v>-388.86</v>
      </c>
      <c r="AD39" s="271"/>
      <c r="AE39" s="271"/>
      <c r="AF39" s="271"/>
      <c r="AG39" s="271"/>
      <c r="AH39" s="271"/>
      <c r="AI39" s="271"/>
      <c r="AJ39" s="271"/>
      <c r="AK39" s="271"/>
      <c r="AL39" s="271"/>
      <c r="AM39" s="97"/>
      <c r="AN39" s="147">
        <f t="shared" si="10"/>
        <v>22</v>
      </c>
      <c r="AO39" s="54" t="s">
        <v>36</v>
      </c>
      <c r="AP39" s="87">
        <f>BaseDeDados!X22</f>
        <v>0</v>
      </c>
    </row>
    <row r="40" spans="2:42" ht="15.75" customHeight="1" x14ac:dyDescent="0.25">
      <c r="B40" s="96"/>
      <c r="C40" s="272" t="s">
        <v>70</v>
      </c>
      <c r="D40" s="273"/>
      <c r="E40" s="273"/>
      <c r="F40" s="274"/>
      <c r="G40" s="274"/>
      <c r="H40" s="275"/>
      <c r="I40" s="275"/>
      <c r="J40" s="275"/>
      <c r="K40" s="275"/>
      <c r="L40" s="275"/>
      <c r="M40" s="275"/>
      <c r="N40" s="275"/>
      <c r="O40" s="276">
        <f>-353.75</f>
        <v>-353.75</v>
      </c>
      <c r="P40" s="276"/>
      <c r="Q40" s="276"/>
      <c r="R40" s="276"/>
      <c r="S40" s="276"/>
      <c r="T40" s="276"/>
      <c r="U40" s="276"/>
      <c r="V40" s="275"/>
      <c r="W40" s="276"/>
      <c r="X40" s="276"/>
      <c r="Y40" s="276"/>
      <c r="Z40" s="276"/>
      <c r="AA40" s="276"/>
      <c r="AB40" s="276"/>
      <c r="AC40" s="276">
        <f>-1173.08</f>
        <v>-1173.08</v>
      </c>
      <c r="AD40" s="276"/>
      <c r="AE40" s="276"/>
      <c r="AF40" s="276"/>
      <c r="AG40" s="280"/>
      <c r="AH40" s="276"/>
      <c r="AI40" s="276"/>
      <c r="AJ40" s="276"/>
      <c r="AK40" s="276"/>
      <c r="AL40" s="276"/>
      <c r="AM40" s="97"/>
      <c r="AN40" s="151">
        <f t="shared" si="10"/>
        <v>23</v>
      </c>
      <c r="AO40" s="63" t="s">
        <v>41</v>
      </c>
      <c r="AP40" s="98">
        <v>0</v>
      </c>
    </row>
    <row r="41" spans="2:42" ht="15.75" customHeight="1" x14ac:dyDescent="0.25">
      <c r="B41" s="96"/>
      <c r="C41" s="268" t="s">
        <v>204</v>
      </c>
      <c r="D41" s="268"/>
      <c r="E41" s="268"/>
      <c r="F41" s="269"/>
      <c r="G41" s="269"/>
      <c r="H41" s="270"/>
      <c r="I41" s="270"/>
      <c r="J41" s="270"/>
      <c r="K41" s="270"/>
      <c r="L41" s="270"/>
      <c r="M41" s="270"/>
      <c r="N41" s="270"/>
      <c r="O41" s="271">
        <f>23.44</f>
        <v>23.44</v>
      </c>
      <c r="P41" s="271"/>
      <c r="Q41" s="271"/>
      <c r="R41" s="271"/>
      <c r="S41" s="271"/>
      <c r="T41" s="271"/>
      <c r="U41" s="271"/>
      <c r="V41" s="270"/>
      <c r="W41" s="271"/>
      <c r="X41" s="271"/>
      <c r="Y41" s="271"/>
      <c r="Z41" s="271"/>
      <c r="AA41" s="271"/>
      <c r="AB41" s="271"/>
      <c r="AC41" s="271">
        <f>23.44</f>
        <v>23.44</v>
      </c>
      <c r="AD41" s="271"/>
      <c r="AE41" s="271"/>
      <c r="AF41" s="271"/>
      <c r="AG41" s="271"/>
      <c r="AH41" s="271"/>
      <c r="AI41" s="271"/>
      <c r="AJ41" s="271"/>
      <c r="AK41" s="271"/>
      <c r="AL41" s="271"/>
      <c r="AM41" s="97"/>
    </row>
    <row r="42" spans="2:42" ht="15.75" customHeight="1" x14ac:dyDescent="0.25">
      <c r="B42" s="96"/>
      <c r="C42" s="272" t="s">
        <v>138</v>
      </c>
      <c r="D42" s="273"/>
      <c r="E42" s="273"/>
      <c r="F42" s="274"/>
      <c r="G42" s="274"/>
      <c r="H42" s="275"/>
      <c r="I42" s="275"/>
      <c r="J42" s="275"/>
      <c r="K42" s="275"/>
      <c r="L42" s="275"/>
      <c r="M42" s="275"/>
      <c r="N42" s="275"/>
      <c r="O42" s="276">
        <f>69.27</f>
        <v>69.27</v>
      </c>
      <c r="P42" s="276"/>
      <c r="Q42" s="276"/>
      <c r="R42" s="276"/>
      <c r="S42" s="276"/>
      <c r="T42" s="276"/>
      <c r="U42" s="276"/>
      <c r="V42" s="275"/>
      <c r="W42" s="276"/>
      <c r="X42" s="276"/>
      <c r="Y42" s="276"/>
      <c r="Z42" s="276"/>
      <c r="AA42" s="276"/>
      <c r="AB42" s="276"/>
      <c r="AC42" s="276">
        <f>119.28</f>
        <v>119.28</v>
      </c>
      <c r="AD42" s="276"/>
      <c r="AE42" s="276"/>
      <c r="AF42" s="276"/>
      <c r="AG42" s="276"/>
      <c r="AH42" s="276"/>
      <c r="AI42" s="276"/>
      <c r="AJ42" s="276"/>
      <c r="AK42" s="276"/>
      <c r="AL42" s="276"/>
      <c r="AM42" s="97"/>
    </row>
    <row r="43" spans="2:42" ht="15.75" customHeight="1" x14ac:dyDescent="0.25">
      <c r="B43" s="96"/>
      <c r="C43" s="268" t="s">
        <v>95</v>
      </c>
      <c r="D43" s="268"/>
      <c r="E43" s="268"/>
      <c r="F43" s="269"/>
      <c r="G43" s="269"/>
      <c r="H43" s="270"/>
      <c r="I43" s="270"/>
      <c r="J43" s="270"/>
      <c r="K43" s="270"/>
      <c r="L43" s="270"/>
      <c r="M43" s="270"/>
      <c r="N43" s="270"/>
      <c r="O43" s="271">
        <f>17027.95</f>
        <v>17027.95</v>
      </c>
      <c r="P43" s="271"/>
      <c r="Q43" s="271"/>
      <c r="R43" s="271"/>
      <c r="S43" s="271"/>
      <c r="T43" s="271"/>
      <c r="U43" s="271"/>
      <c r="V43" s="270"/>
      <c r="W43" s="271"/>
      <c r="X43" s="271"/>
      <c r="Y43" s="271"/>
      <c r="Z43" s="271"/>
      <c r="AA43" s="271"/>
      <c r="AB43" s="271"/>
      <c r="AC43" s="271">
        <f>16384.14</f>
        <v>16384.14</v>
      </c>
      <c r="AD43" s="271"/>
      <c r="AE43" s="271"/>
      <c r="AF43" s="271"/>
      <c r="AG43" s="271"/>
      <c r="AH43" s="271"/>
      <c r="AI43" s="271"/>
      <c r="AJ43" s="271"/>
      <c r="AK43" s="271"/>
      <c r="AL43" s="271"/>
      <c r="AM43" s="97"/>
    </row>
    <row r="44" spans="2:42" ht="15.75" customHeight="1" x14ac:dyDescent="0.25">
      <c r="B44" s="96"/>
      <c r="C44" s="272" t="s">
        <v>73</v>
      </c>
      <c r="D44" s="273"/>
      <c r="E44" s="273"/>
      <c r="F44" s="274"/>
      <c r="G44" s="274"/>
      <c r="H44" s="275"/>
      <c r="I44" s="275"/>
      <c r="J44" s="275"/>
      <c r="K44" s="275"/>
      <c r="L44" s="275"/>
      <c r="M44" s="275"/>
      <c r="N44" s="275"/>
      <c r="O44" s="276">
        <v>1865</v>
      </c>
      <c r="P44" s="276"/>
      <c r="Q44" s="276"/>
      <c r="R44" s="276"/>
      <c r="S44" s="276"/>
      <c r="T44" s="276"/>
      <c r="U44" s="276"/>
      <c r="V44" s="275"/>
      <c r="W44" s="276"/>
      <c r="X44" s="276"/>
      <c r="Y44" s="276"/>
      <c r="Z44" s="276"/>
      <c r="AA44" s="276"/>
      <c r="AB44" s="276"/>
      <c r="AC44" s="276">
        <f>O44</f>
        <v>1865</v>
      </c>
      <c r="AD44" s="276"/>
      <c r="AE44" s="276"/>
      <c r="AF44" s="276"/>
      <c r="AG44" s="276"/>
      <c r="AH44" s="276"/>
      <c r="AI44" s="276"/>
      <c r="AJ44" s="276"/>
      <c r="AK44" s="276"/>
      <c r="AL44" s="276"/>
      <c r="AM44" s="97"/>
    </row>
    <row r="45" spans="2:42" ht="15.75" customHeight="1" x14ac:dyDescent="0.25">
      <c r="B45" s="96"/>
      <c r="C45" s="268" t="s">
        <v>119</v>
      </c>
      <c r="D45" s="268"/>
      <c r="E45" s="268"/>
      <c r="F45" s="269"/>
      <c r="G45" s="269"/>
      <c r="H45" s="270"/>
      <c r="I45" s="270"/>
      <c r="J45" s="270"/>
      <c r="K45" s="270"/>
      <c r="L45" s="270"/>
      <c r="M45" s="270"/>
      <c r="N45" s="270"/>
      <c r="O45" s="271">
        <v>0</v>
      </c>
      <c r="P45" s="271"/>
      <c r="Q45" s="271"/>
      <c r="R45" s="271"/>
      <c r="S45" s="271"/>
      <c r="T45" s="271"/>
      <c r="U45" s="271"/>
      <c r="V45" s="270"/>
      <c r="W45" s="271"/>
      <c r="X45" s="271"/>
      <c r="Y45" s="271"/>
      <c r="Z45" s="271"/>
      <c r="AA45" s="271"/>
      <c r="AB45" s="271"/>
      <c r="AC45" s="271">
        <v>0</v>
      </c>
      <c r="AD45" s="271"/>
      <c r="AE45" s="271"/>
      <c r="AF45" s="271"/>
      <c r="AG45" s="271"/>
      <c r="AH45" s="271"/>
      <c r="AI45" s="271"/>
      <c r="AJ45" s="271"/>
      <c r="AK45" s="271"/>
      <c r="AL45" s="271"/>
      <c r="AM45" s="97"/>
    </row>
    <row r="46" spans="2:42" ht="15.75" customHeight="1" x14ac:dyDescent="0.25">
      <c r="B46" s="96"/>
      <c r="C46" s="86" t="s">
        <v>80</v>
      </c>
      <c r="D46" s="86"/>
      <c r="E46" s="86"/>
      <c r="F46" s="12"/>
      <c r="G46" s="50">
        <f t="shared" ref="G46:AJ46" si="12">G36</f>
        <v>10544.64000000001</v>
      </c>
      <c r="H46" s="50">
        <f t="shared" si="12"/>
        <v>10519.340000000011</v>
      </c>
      <c r="I46" s="50">
        <f t="shared" si="12"/>
        <v>10499.430000000011</v>
      </c>
      <c r="J46" s="50">
        <f t="shared" si="12"/>
        <v>10455.130000000012</v>
      </c>
      <c r="K46" s="50">
        <f t="shared" si="12"/>
        <v>10430.620000000012</v>
      </c>
      <c r="L46" s="50">
        <f t="shared" si="12"/>
        <v>13685.730000000012</v>
      </c>
      <c r="M46" s="50">
        <f t="shared" si="12"/>
        <v>13987.730000000012</v>
      </c>
      <c r="N46" s="50">
        <f t="shared" si="12"/>
        <v>13909.860000000011</v>
      </c>
      <c r="O46" s="50">
        <f t="shared" si="12"/>
        <v>13256.580000000011</v>
      </c>
      <c r="P46" s="50">
        <f t="shared" si="12"/>
        <v>13306.580000000011</v>
      </c>
      <c r="Q46" s="50">
        <f t="shared" si="12"/>
        <v>13262.070000000011</v>
      </c>
      <c r="R46" s="50">
        <f t="shared" si="12"/>
        <v>13213.360000000011</v>
      </c>
      <c r="S46" s="50">
        <f t="shared" si="12"/>
        <v>13188.850000000011</v>
      </c>
      <c r="T46" s="50">
        <f t="shared" si="12"/>
        <v>13093.050000000012</v>
      </c>
      <c r="U46" s="50">
        <f t="shared" si="12"/>
        <v>13088.050000000012</v>
      </c>
      <c r="V46" s="50">
        <f t="shared" si="12"/>
        <v>13085.300000000012</v>
      </c>
      <c r="W46" s="50">
        <f t="shared" si="12"/>
        <v>12985.290000000012</v>
      </c>
      <c r="X46" s="50">
        <f t="shared" si="12"/>
        <v>12960.780000000012</v>
      </c>
      <c r="Y46" s="50">
        <f t="shared" si="12"/>
        <v>12960.780000000012</v>
      </c>
      <c r="Z46" s="50">
        <f t="shared" si="12"/>
        <v>12936.270000000011</v>
      </c>
      <c r="AA46" s="50">
        <f t="shared" si="12"/>
        <v>12927.810000000012</v>
      </c>
      <c r="AB46" s="50">
        <f t="shared" si="12"/>
        <v>12911.160000000013</v>
      </c>
      <c r="AC46" s="50">
        <f t="shared" si="12"/>
        <v>12911.160000000013</v>
      </c>
      <c r="AD46" s="170">
        <f t="shared" si="12"/>
        <v>12901.160000000013</v>
      </c>
      <c r="AE46" s="50">
        <f t="shared" si="12"/>
        <v>12901.160000000013</v>
      </c>
      <c r="AF46" s="50">
        <f t="shared" si="12"/>
        <v>12859.160000000013</v>
      </c>
      <c r="AG46" s="50">
        <f t="shared" si="12"/>
        <v>12859.160000000013</v>
      </c>
      <c r="AH46" s="50">
        <f t="shared" si="12"/>
        <v>12859.160000000013</v>
      </c>
      <c r="AI46" s="50">
        <f t="shared" si="12"/>
        <v>12770.770000000013</v>
      </c>
      <c r="AJ46" s="50">
        <f t="shared" si="12"/>
        <v>12618.720000000014</v>
      </c>
      <c r="AK46" s="50">
        <f t="shared" ref="AK46:AL46" si="13">AK36</f>
        <v>12618.720000000014</v>
      </c>
      <c r="AL46" s="50">
        <f t="shared" si="13"/>
        <v>12618.720000000014</v>
      </c>
      <c r="AM46" s="97"/>
    </row>
    <row r="47" spans="2:42" ht="15.75" customHeight="1" x14ac:dyDescent="0.25">
      <c r="B47" s="96"/>
      <c r="C47" s="117" t="s">
        <v>74</v>
      </c>
      <c r="D47" s="117"/>
      <c r="E47" s="265"/>
      <c r="F47" s="70"/>
      <c r="G47" s="70"/>
      <c r="H47" s="138"/>
      <c r="I47" s="138"/>
      <c r="J47" s="138"/>
      <c r="K47" s="138"/>
      <c r="L47" s="138"/>
      <c r="M47" s="138"/>
      <c r="N47" s="138"/>
      <c r="O47" s="69">
        <f>SUM(O37:O45)</f>
        <v>18626.98</v>
      </c>
      <c r="P47" s="69"/>
      <c r="Q47" s="69"/>
      <c r="R47" s="69"/>
      <c r="S47" s="71"/>
      <c r="T47" s="71"/>
      <c r="U47" s="71">
        <f>SUM(U37:U45)</f>
        <v>0</v>
      </c>
      <c r="V47" s="252"/>
      <c r="W47" s="71"/>
      <c r="X47" s="69"/>
      <c r="Y47" s="71"/>
      <c r="Z47" s="71"/>
      <c r="AA47" s="71"/>
      <c r="AB47" s="71"/>
      <c r="AC47" s="71">
        <f>SUM(AC37:AC45)</f>
        <v>17115.09</v>
      </c>
      <c r="AD47" s="1"/>
      <c r="AE47" s="71"/>
      <c r="AF47" s="71"/>
      <c r="AG47" s="71"/>
      <c r="AH47" s="71"/>
      <c r="AI47" s="71"/>
      <c r="AJ47" s="71"/>
      <c r="AK47" s="71"/>
      <c r="AL47" s="71"/>
      <c r="AM47" s="97"/>
    </row>
    <row r="48" spans="2:42" ht="15.75" customHeight="1" x14ac:dyDescent="0.25">
      <c r="B48" s="96"/>
      <c r="C48" s="97"/>
      <c r="D48" s="97"/>
      <c r="E48" s="247"/>
      <c r="F48" s="127"/>
      <c r="G48" s="127"/>
      <c r="H48" s="97"/>
      <c r="I48" s="97"/>
      <c r="J48" s="97"/>
      <c r="K48" s="97"/>
      <c r="L48" s="97"/>
      <c r="M48" s="97"/>
      <c r="N48" s="97"/>
      <c r="O48" s="12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247"/>
      <c r="AL48" s="247"/>
      <c r="AM48" s="96"/>
    </row>
    <row r="49" spans="3:38" ht="9" customHeight="1" x14ac:dyDescent="0.25"/>
    <row r="50" spans="3:38" ht="15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ht="15.75" customHeight="1" x14ac:dyDescent="0.25">
      <c r="C51" s="1"/>
      <c r="D51" s="1"/>
      <c r="E51" s="1"/>
      <c r="F51" s="1"/>
      <c r="G51" s="1"/>
      <c r="N51" s="5"/>
      <c r="O51" s="5"/>
      <c r="P51" s="5"/>
      <c r="Q51" s="128"/>
      <c r="R51" s="5"/>
      <c r="S51" s="5"/>
      <c r="T51" s="5"/>
      <c r="U51" s="128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3:38" ht="15.75" customHeight="1" x14ac:dyDescent="0.25">
      <c r="C52" s="1"/>
      <c r="D52" s="1"/>
      <c r="E52" s="1"/>
      <c r="F52" s="1"/>
      <c r="G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3:38" ht="15.75" customHeight="1" x14ac:dyDescent="0.25">
      <c r="C53" s="1"/>
      <c r="D53" s="1"/>
      <c r="E53" s="1"/>
      <c r="F53" s="1"/>
      <c r="G53" s="1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3:38" ht="15.75" customHeight="1" x14ac:dyDescent="0.25">
      <c r="C54" s="1"/>
      <c r="D54" s="1"/>
      <c r="E54" s="1"/>
      <c r="F54" s="1"/>
      <c r="G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</row>
    <row r="55" spans="3:38" ht="15.75" customHeight="1" x14ac:dyDescent="0.25">
      <c r="C55" s="1"/>
      <c r="D55" s="1"/>
      <c r="E55" s="1"/>
      <c r="F55" s="1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</row>
    <row r="56" spans="3:38" ht="15.75" customHeight="1" x14ac:dyDescent="0.25">
      <c r="F56" s="15"/>
      <c r="G56" s="1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3:38" ht="15.75" customHeight="1" x14ac:dyDescent="0.25">
      <c r="L57" s="1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</row>
    <row r="58" spans="3:38" ht="15.75" customHeight="1" x14ac:dyDescent="0.25"/>
    <row r="59" spans="3:38" ht="15.75" customHeight="1" x14ac:dyDescent="0.25"/>
    <row r="60" spans="3:38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3:38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3:38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3:38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3:38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ht="15.7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ht="15.7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3:38" ht="15.7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3:38" ht="15.7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ht="15.7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3:38" ht="15.7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3:38" ht="15.7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ht="15.7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3:38" ht="15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3:38" ht="15.7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ht="15.7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3:38" ht="15.7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3:38" ht="15.7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3:38" ht="15.7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ht="15.7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ht="15.7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ht="15.7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ht="15.7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ht="15.7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3:38" ht="15.7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3:38" ht="15.7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ht="15.7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3:38" ht="15.7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3:38" ht="15.7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ht="15.7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3:38" ht="15.7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3:38" ht="15.7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ht="15.7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3:38" ht="15.7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3:38" ht="15.7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3:38" ht="15.7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ht="15.7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ht="15.7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ht="15.7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ht="15.7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ht="15.7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3:38" ht="15.7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3:38" ht="15.7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ht="15.7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3:38" ht="15.7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3:38" ht="15.7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ht="15.7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3:38" ht="15.7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3:38" ht="15.7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ht="15.7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3:38" ht="15.7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3:38" ht="15.7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3:38" ht="15.7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ht="15.7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ht="15.7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ht="15.7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ht="15.7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3:38" ht="15.7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3:38" ht="15.7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ht="15.7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3:38" ht="15.7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3:38" ht="15.7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ht="15.7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3:38" ht="15.7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3:38" ht="15.7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ht="15.7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3:38" ht="15.7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3:38" ht="15.7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3:38" ht="15.7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3:38" ht="15.7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3:38" ht="15.7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3:38" ht="15.7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3:38" ht="15.7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3:38" ht="15.7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3:38" ht="15.7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3:38" ht="15.7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3:38" ht="15.7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3:38" ht="15.7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3:38" ht="15.7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3:38" ht="15.7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3:38" ht="15.7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3:38" ht="15.7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3:38" ht="15.7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3:38" ht="15.7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3:38" ht="15.7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3:38" ht="15.7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3:38" ht="15.7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3:38" ht="15.7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3:38" ht="15.7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3:38" ht="15.7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3:38" ht="15.7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3:38" ht="15.7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3:38" ht="15.7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3:38" ht="15.7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3:38" ht="15.7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3:38" ht="15.7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3:38" ht="15.7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3:38" ht="15.7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3:38" ht="15.7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3:38" ht="15.7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3:38" ht="15.7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3:38" ht="15.7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3:38" ht="15.7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3:38" ht="15.7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3:38" ht="15.7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3:38" ht="15.7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3:38" ht="15.7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3:38" ht="15.7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3:38" ht="15.7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3:38" ht="15.7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3:38" ht="15.7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3:38" ht="15.7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3:38" ht="15.7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3:38" ht="15.7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3:38" ht="15.7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3:38" ht="15.7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3:38" ht="15.7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3:38" ht="15.7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3:38" ht="15.7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3:38" ht="15.7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3:38" ht="15.7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3:38" ht="15.7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3:38" ht="15.7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3:38" ht="15.7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3:38" ht="15.7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3:38" ht="15.7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3:38" ht="15.7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3:38" ht="15.7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3:38" ht="15.7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3:38" ht="15.7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3:38" ht="15.7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3:38" ht="15.7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3:38" ht="15.7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3:38" ht="15.7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3:38" ht="15.7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3:38" ht="15.7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3:38" ht="15.7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3:38" ht="15.7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3:38" ht="15.7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3:38" ht="15.7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3:38" ht="15.7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3:38" ht="15.7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3:38" ht="15.7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3:38" ht="15.7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3:38" ht="15.7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3:38" ht="15.7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3:38" ht="15.7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3:38" ht="15.7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3:38" ht="15.7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3:38" ht="15.7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3:38" ht="15.7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3:38" ht="15.7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3:38" ht="15.7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3:38" ht="15.7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3:38" ht="15.7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3:38" ht="15.7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3:38" ht="15.7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3:38" ht="15.7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3:38" ht="15.7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3:38" ht="15.7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3:38" ht="15.7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3:38" ht="15.7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3:38" ht="15.7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3:38" ht="15.7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3:38" ht="15.7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3:38" ht="15.7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3:38" ht="15.7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3:38" ht="15.7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3:38" ht="15.7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3:38" ht="15.7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3:38" ht="15.7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3:38" ht="15.7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3:38" ht="15.7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3:38" ht="15.7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3:38" ht="15.7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3:38" ht="15.7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3:38" ht="15.7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3:38" ht="15.7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3:38" ht="15.7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3:38" ht="15.7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3:38" ht="15.7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3:38" ht="15.7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3:38" ht="15.7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3:38" ht="15.7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3:38" ht="15.7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3:38" ht="15.7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3:38" ht="15.7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3:38" ht="15.7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3:38" ht="15.7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3:38" ht="15.7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3:38" ht="15.75" customHeight="1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3:38" ht="15.75" customHeight="1" x14ac:dyDescent="0.25"/>
    <row r="255" spans="3:38" ht="15.75" customHeight="1" x14ac:dyDescent="0.25"/>
    <row r="256" spans="3:38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O8:AP8"/>
  </mergeCells>
  <conditionalFormatting sqref="A5 AP11 C9">
    <cfRule type="cellIs" dxfId="23" priority="7" operator="lessThan">
      <formula>0</formula>
    </cfRule>
  </conditionalFormatting>
  <conditionalFormatting sqref="A5 AP11 C9">
    <cfRule type="cellIs" dxfId="22" priority="8" operator="greaterThan">
      <formula>0</formula>
    </cfRule>
  </conditionalFormatting>
  <conditionalFormatting sqref="A5 AP11">
    <cfRule type="cellIs" dxfId="21" priority="9" operator="lessThan">
      <formula>0</formula>
    </cfRule>
  </conditionalFormatting>
  <conditionalFormatting sqref="C9">
    <cfRule type="cellIs" dxfId="20" priority="10" operator="equal">
      <formula>0</formula>
    </cfRule>
  </conditionalFormatting>
  <conditionalFormatting sqref="A10">
    <cfRule type="cellIs" dxfId="19" priority="11" operator="lessThan">
      <formula>0</formula>
    </cfRule>
  </conditionalFormatting>
  <conditionalFormatting sqref="F5">
    <cfRule type="cellIs" dxfId="18" priority="12" operator="lessThan">
      <formula>0</formula>
    </cfRule>
  </conditionalFormatting>
  <conditionalFormatting sqref="F5">
    <cfRule type="cellIs" dxfId="17" priority="13" operator="greaterThan">
      <formula>0</formula>
    </cfRule>
  </conditionalFormatting>
  <conditionalFormatting sqref="F5">
    <cfRule type="cellIs" dxfId="16" priority="14" operator="lessThan">
      <formula>0</formula>
    </cfRule>
  </conditionalFormatting>
  <conditionalFormatting sqref="AP13">
    <cfRule type="cellIs" dxfId="15" priority="15" operator="lessThan">
      <formula>0</formula>
    </cfRule>
  </conditionalFormatting>
  <conditionalFormatting sqref="AP14">
    <cfRule type="cellIs" dxfId="14" priority="16" operator="lessThan">
      <formula>0</formula>
    </cfRule>
  </conditionalFormatting>
  <conditionalFormatting sqref="AP14">
    <cfRule type="cellIs" dxfId="13" priority="17" operator="greaterThan">
      <formula>0</formula>
    </cfRule>
  </conditionalFormatting>
  <conditionalFormatting sqref="AP14">
    <cfRule type="cellIs" dxfId="12" priority="18" operator="lessThan">
      <formula>0</formula>
    </cfRule>
  </conditionalFormatting>
  <conditionalFormatting sqref="C8">
    <cfRule type="cellIs" dxfId="11" priority="19" operator="equal">
      <formula>0</formula>
    </cfRule>
  </conditionalFormatting>
  <conditionalFormatting sqref="C8">
    <cfRule type="cellIs" dxfId="10" priority="20" operator="lessThan">
      <formula>0</formula>
    </cfRule>
  </conditionalFormatting>
  <conditionalFormatting sqref="C8">
    <cfRule type="cellIs" dxfId="9" priority="21" operator="greaterThan">
      <formula>0</formula>
    </cfRule>
  </conditionalFormatting>
  <conditionalFormatting sqref="C11 C13 C15 C17 C19 C21 C23 C25 C27 C30 C32">
    <cfRule type="cellIs" dxfId="8" priority="1" operator="lessThan">
      <formula>0</formula>
    </cfRule>
  </conditionalFormatting>
  <conditionalFormatting sqref="C11 C13 C15 C17 C19 C21 C23 C25 C27 C30 C32">
    <cfRule type="cellIs" dxfId="7" priority="2" operator="greaterThan">
      <formula>0</formula>
    </cfRule>
  </conditionalFormatting>
  <conditionalFormatting sqref="C11 C13 C15 C17 C19 C21 C23 C25 C27 C30 C32">
    <cfRule type="cellIs" dxfId="6" priority="3" operator="equal">
      <formula>0</formula>
    </cfRule>
  </conditionalFormatting>
  <conditionalFormatting sqref="C10 C12 C14 C16 C18 C20 C22 C24 C26 C28:C29 C31">
    <cfRule type="cellIs" dxfId="5" priority="4" operator="equal">
      <formula>0</formula>
    </cfRule>
  </conditionalFormatting>
  <conditionalFormatting sqref="C10 C12 C14 C16 C18 C20 C22 C24 C26 C28:C29 C31">
    <cfRule type="cellIs" dxfId="4" priority="5" operator="lessThan">
      <formula>0</formula>
    </cfRule>
  </conditionalFormatting>
  <conditionalFormatting sqref="C10 C12 C14 C16 C18 C20 C22 C24 C26 C28:C29 C31">
    <cfRule type="cellIs" dxfId="3" priority="6" operator="greaterThan">
      <formula>0</formula>
    </cfRule>
  </conditionalFormatting>
  <pageMargins left="0.511811024" right="0.511811024" top="0.78740157499999996" bottom="0.78740157499999996" header="0" footer="0"/>
  <pageSetup orientation="landscape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D2:S1000"/>
  <sheetViews>
    <sheetView showGridLines="0" workbookViewId="0">
      <selection activeCell="Q25" sqref="Q25"/>
    </sheetView>
  </sheetViews>
  <sheetFormatPr defaultColWidth="14.42578125" defaultRowHeight="15" customHeight="1" x14ac:dyDescent="0.25"/>
  <cols>
    <col min="1" max="4" width="8.7109375" customWidth="1"/>
    <col min="5" max="5" width="11.7109375" customWidth="1"/>
    <col min="6" max="6" width="10.140625" customWidth="1"/>
    <col min="7" max="16" width="8.7109375" customWidth="1"/>
    <col min="17" max="17" width="10.7109375" customWidth="1"/>
    <col min="18" max="18" width="12.7109375" bestFit="1" customWidth="1"/>
    <col min="19" max="19" width="11.7109375" customWidth="1"/>
  </cols>
  <sheetData>
    <row r="2" spans="4:19" x14ac:dyDescent="0.25">
      <c r="D2" s="1" t="s">
        <v>1</v>
      </c>
      <c r="E2" s="1" t="s">
        <v>132</v>
      </c>
      <c r="F2" s="1" t="s">
        <v>133</v>
      </c>
      <c r="S2" s="1" t="s">
        <v>133</v>
      </c>
    </row>
    <row r="3" spans="4:19" x14ac:dyDescent="0.25">
      <c r="D3" s="183">
        <v>43374</v>
      </c>
      <c r="E3" s="184">
        <f>'Out2018'!AI31</f>
        <v>1713.3699999999994</v>
      </c>
      <c r="Q3" s="183">
        <v>43404</v>
      </c>
      <c r="R3" s="184">
        <f>'Out2018'!AI40</f>
        <v>2692.31</v>
      </c>
    </row>
    <row r="4" spans="4:19" x14ac:dyDescent="0.25">
      <c r="D4" s="183">
        <v>43405</v>
      </c>
      <c r="E4" s="184">
        <f>'Nov2018'!AH32</f>
        <v>2036.0399999999995</v>
      </c>
      <c r="F4" s="184">
        <f t="shared" ref="F4:F13" si="0">E4-E3</f>
        <v>322.67000000000007</v>
      </c>
      <c r="Q4" s="183">
        <v>43434</v>
      </c>
      <c r="R4" s="184">
        <f>'Nov2018'!AH41</f>
        <v>3427.3999999999996</v>
      </c>
      <c r="S4" s="184">
        <f t="shared" ref="S4:S5" si="1">R4-R3</f>
        <v>735.08999999999969</v>
      </c>
    </row>
    <row r="5" spans="4:19" x14ac:dyDescent="0.25">
      <c r="D5" s="183">
        <v>43435</v>
      </c>
      <c r="E5" s="184">
        <f>'Dez2018'!AI34</f>
        <v>2314.9499999999989</v>
      </c>
      <c r="F5" s="184">
        <f t="shared" si="0"/>
        <v>278.9099999999994</v>
      </c>
      <c r="Q5" s="183">
        <v>43463</v>
      </c>
      <c r="R5" s="184">
        <f>'Dez2018'!AG43</f>
        <v>4175.41</v>
      </c>
      <c r="S5" s="184">
        <f t="shared" si="1"/>
        <v>748.01000000000022</v>
      </c>
    </row>
    <row r="6" spans="4:19" x14ac:dyDescent="0.25">
      <c r="D6" s="183">
        <v>43466</v>
      </c>
      <c r="E6" s="184">
        <f>'Jan2019'!AI36</f>
        <v>2731.849999999999</v>
      </c>
      <c r="F6" s="184">
        <f t="shared" si="0"/>
        <v>416.90000000000009</v>
      </c>
      <c r="Q6" s="183">
        <v>43469</v>
      </c>
      <c r="R6" s="184">
        <f>'Jan2019'!H45</f>
        <v>3905.0200000000004</v>
      </c>
      <c r="S6" s="184"/>
    </row>
    <row r="7" spans="4:19" x14ac:dyDescent="0.25">
      <c r="D7" s="183">
        <v>43497</v>
      </c>
      <c r="E7" s="184">
        <f>'Fev2019'!AF36</f>
        <v>3160.849999999999</v>
      </c>
      <c r="F7" s="184">
        <f t="shared" si="0"/>
        <v>429</v>
      </c>
      <c r="Q7" s="183">
        <v>43521</v>
      </c>
      <c r="R7" s="184">
        <f>'Fev2019'!AC45</f>
        <v>5570</v>
      </c>
      <c r="S7" s="184">
        <f t="shared" ref="S7:S19" si="2">R7-R6</f>
        <v>1664.9799999999996</v>
      </c>
    </row>
    <row r="8" spans="4:19" x14ac:dyDescent="0.25">
      <c r="D8" s="183">
        <v>43525</v>
      </c>
      <c r="E8" s="184">
        <f>'Mar2019'!AI36</f>
        <v>3578.2099999999987</v>
      </c>
      <c r="F8" s="184">
        <f t="shared" si="0"/>
        <v>417.35999999999967</v>
      </c>
      <c r="Q8" s="183">
        <v>43555</v>
      </c>
      <c r="R8" s="184">
        <f>'Mar2019'!AI46</f>
        <v>6164.4</v>
      </c>
      <c r="S8" s="184">
        <f t="shared" si="2"/>
        <v>594.39999999999964</v>
      </c>
    </row>
    <row r="9" spans="4:19" x14ac:dyDescent="0.25">
      <c r="D9" s="183">
        <v>43556</v>
      </c>
      <c r="E9" s="184">
        <f>Abril2019!AH36</f>
        <v>4015.2599999999998</v>
      </c>
      <c r="F9" s="184">
        <f t="shared" si="0"/>
        <v>437.05000000000109</v>
      </c>
      <c r="Q9" s="183">
        <v>43583</v>
      </c>
      <c r="R9" s="184">
        <f>Abril2019!AF46</f>
        <v>7144.2800000000007</v>
      </c>
      <c r="S9" s="184">
        <f t="shared" si="2"/>
        <v>979.88000000000102</v>
      </c>
    </row>
    <row r="10" spans="4:19" x14ac:dyDescent="0.25">
      <c r="D10" s="183">
        <v>43586</v>
      </c>
      <c r="E10" s="184">
        <f>Maio2019!AI36</f>
        <v>4383.6500000000024</v>
      </c>
      <c r="F10" s="184">
        <f t="shared" si="0"/>
        <v>368.3900000000026</v>
      </c>
      <c r="Q10" s="183">
        <v>43616</v>
      </c>
      <c r="R10" s="184">
        <f>Maio2019!AI46</f>
        <v>7580.48</v>
      </c>
      <c r="S10" s="184">
        <f t="shared" si="2"/>
        <v>436.19999999999891</v>
      </c>
    </row>
    <row r="11" spans="4:19" x14ac:dyDescent="0.25">
      <c r="D11" s="183">
        <v>43617</v>
      </c>
      <c r="E11" s="184">
        <f>'Jun2019'!AH36</f>
        <v>4927.4500000000035</v>
      </c>
      <c r="F11" s="184">
        <f t="shared" si="0"/>
        <v>543.80000000000109</v>
      </c>
      <c r="Q11" s="183">
        <v>43646</v>
      </c>
      <c r="R11" s="184">
        <f>'Jun2019'!AH46</f>
        <v>8130.75</v>
      </c>
      <c r="S11" s="184">
        <f t="shared" si="2"/>
        <v>550.27000000000044</v>
      </c>
    </row>
    <row r="12" spans="4:19" x14ac:dyDescent="0.25">
      <c r="D12" s="183">
        <v>43647</v>
      </c>
      <c r="E12" s="184">
        <f>'Jul2019'!AI36</f>
        <v>5439.0500000000047</v>
      </c>
      <c r="F12" s="184">
        <f t="shared" si="0"/>
        <v>511.60000000000127</v>
      </c>
      <c r="Q12" s="183">
        <v>43670</v>
      </c>
      <c r="R12" s="184">
        <f>'Jul2019'!AB46</f>
        <v>8930.34</v>
      </c>
      <c r="S12" s="184">
        <f t="shared" si="2"/>
        <v>799.59000000000015</v>
      </c>
    </row>
    <row r="13" spans="4:19" x14ac:dyDescent="0.25">
      <c r="D13" s="183">
        <v>43678</v>
      </c>
      <c r="E13" s="184">
        <f>'Ago2019'!AI36</f>
        <v>5868.5700000000061</v>
      </c>
      <c r="F13" s="184">
        <f t="shared" si="0"/>
        <v>429.52000000000135</v>
      </c>
      <c r="I13" s="7">
        <f>2050*0.3*12</f>
        <v>7380</v>
      </c>
      <c r="Q13" s="183">
        <v>43708</v>
      </c>
      <c r="R13" s="184">
        <f>'Ago2019'!AI46</f>
        <v>9231.32</v>
      </c>
      <c r="S13" s="184">
        <f t="shared" si="2"/>
        <v>300.97999999999956</v>
      </c>
    </row>
    <row r="14" spans="4:19" x14ac:dyDescent="0.25">
      <c r="Q14" s="183">
        <v>43738</v>
      </c>
      <c r="R14" s="184">
        <f>'Set2019'!AH44</f>
        <v>9475.31</v>
      </c>
      <c r="S14" s="184">
        <f t="shared" si="2"/>
        <v>243.98999999999978</v>
      </c>
    </row>
    <row r="15" spans="4:19" x14ac:dyDescent="0.25">
      <c r="F15" s="184">
        <f>AVERAGE(F4:F13)</f>
        <v>415.52000000000061</v>
      </c>
      <c r="Q15" s="183">
        <v>43769</v>
      </c>
      <c r="R15" s="184">
        <f>'Out2019'!AH41</f>
        <v>9990.1700000000019</v>
      </c>
      <c r="S15" s="184">
        <f t="shared" si="2"/>
        <v>514.8600000000024</v>
      </c>
    </row>
    <row r="16" spans="4:19" ht="15" customHeight="1" x14ac:dyDescent="0.25">
      <c r="Q16" s="183">
        <v>43799</v>
      </c>
      <c r="R16" s="184">
        <f>'Nov2019'!AN45</f>
        <v>12393.91</v>
      </c>
      <c r="S16" s="184">
        <f t="shared" si="2"/>
        <v>2403.739999999998</v>
      </c>
    </row>
    <row r="17" spans="5:19" x14ac:dyDescent="0.25">
      <c r="E17" s="54" t="s">
        <v>135</v>
      </c>
      <c r="F17" s="186">
        <f>F15/2050</f>
        <v>0.20269268292682957</v>
      </c>
      <c r="Q17" s="183">
        <v>43830</v>
      </c>
      <c r="R17" s="184">
        <f>'Dez2019'!AO47</f>
        <v>11602.169999999998</v>
      </c>
      <c r="S17" s="184">
        <f t="shared" si="2"/>
        <v>-791.7400000000016</v>
      </c>
    </row>
    <row r="18" spans="5:19" x14ac:dyDescent="0.25">
      <c r="E18" s="54" t="s">
        <v>136</v>
      </c>
      <c r="F18" s="186">
        <f>F15/2250</f>
        <v>0.18467555555555581</v>
      </c>
      <c r="Q18" s="183">
        <v>43861</v>
      </c>
      <c r="R18" s="184">
        <f>'Jan2020'!AL46</f>
        <v>13113.869999999999</v>
      </c>
      <c r="S18" s="184">
        <f t="shared" si="2"/>
        <v>1511.7000000000007</v>
      </c>
    </row>
    <row r="19" spans="5:19" ht="15" customHeight="1" x14ac:dyDescent="0.25">
      <c r="Q19" s="183">
        <v>43890</v>
      </c>
      <c r="R19" s="184">
        <f>('Fev2020'!AG46)-('Jan2020'!AL47)</f>
        <v>15360.23</v>
      </c>
      <c r="S19" s="184">
        <f t="shared" si="2"/>
        <v>2246.3600000000006</v>
      </c>
    </row>
    <row r="21" spans="5:19" ht="15.75" customHeight="1" x14ac:dyDescent="0.25"/>
    <row r="22" spans="5:19" ht="15.75" customHeight="1" x14ac:dyDescent="0.25"/>
    <row r="23" spans="5:19" ht="15.75" customHeight="1" x14ac:dyDescent="0.25"/>
    <row r="24" spans="5:19" ht="15.75" customHeight="1" x14ac:dyDescent="0.25"/>
    <row r="25" spans="5:19" ht="15.75" customHeight="1" x14ac:dyDescent="0.25"/>
    <row r="26" spans="5:19" ht="15.75" customHeight="1" x14ac:dyDescent="0.25"/>
    <row r="27" spans="5:19" ht="15.75" customHeight="1" x14ac:dyDescent="0.25"/>
    <row r="28" spans="5:19" ht="15.75" customHeight="1" x14ac:dyDescent="0.25"/>
    <row r="29" spans="5:19" ht="15.75" customHeight="1" x14ac:dyDescent="0.25"/>
    <row r="30" spans="5:19" ht="15.75" customHeight="1" x14ac:dyDescent="0.25"/>
    <row r="31" spans="5:19" ht="15.75" customHeight="1" x14ac:dyDescent="0.25"/>
    <row r="32" spans="5:1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D3:D1000"/>
  <sheetViews>
    <sheetView showGridLines="0" workbookViewId="0"/>
  </sheetViews>
  <sheetFormatPr defaultColWidth="14.42578125" defaultRowHeight="15" customHeight="1" x14ac:dyDescent="0.25"/>
  <cols>
    <col min="1" max="6" width="8.7109375" customWidth="1"/>
  </cols>
  <sheetData>
    <row r="3" spans="4:4" x14ac:dyDescent="0.25">
      <c r="D3" s="157" t="s">
        <v>139</v>
      </c>
    </row>
    <row r="4" spans="4:4" x14ac:dyDescent="0.25">
      <c r="D4" s="54" t="s">
        <v>140</v>
      </c>
    </row>
    <row r="5" spans="4:4" x14ac:dyDescent="0.25">
      <c r="D5" s="54" t="s">
        <v>141</v>
      </c>
    </row>
    <row r="8" spans="4:4" x14ac:dyDescent="0.25">
      <c r="D8" s="157" t="s">
        <v>142</v>
      </c>
    </row>
    <row r="9" spans="4:4" x14ac:dyDescent="0.25">
      <c r="D9" s="54" t="s">
        <v>143</v>
      </c>
    </row>
    <row r="10" spans="4:4" x14ac:dyDescent="0.25">
      <c r="D10" s="54" t="s">
        <v>32</v>
      </c>
    </row>
    <row r="11" spans="4:4" x14ac:dyDescent="0.25">
      <c r="D11" s="54" t="s">
        <v>144</v>
      </c>
    </row>
    <row r="12" spans="4:4" x14ac:dyDescent="0.25">
      <c r="D12" s="54" t="s">
        <v>145</v>
      </c>
    </row>
    <row r="13" spans="4:4" x14ac:dyDescent="0.25">
      <c r="D13" s="54" t="s">
        <v>146</v>
      </c>
    </row>
    <row r="15" spans="4:4" x14ac:dyDescent="0.25">
      <c r="D15" s="54" t="s">
        <v>147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L1000"/>
  <sheetViews>
    <sheetView showGridLines="0" zoomScale="85" zoomScaleNormal="85" workbookViewId="0">
      <selection activeCell="L40" sqref="L40"/>
    </sheetView>
  </sheetViews>
  <sheetFormatPr defaultColWidth="14.42578125" defaultRowHeight="15" customHeight="1" x14ac:dyDescent="0.25"/>
  <cols>
    <col min="1" max="1" width="1.7109375" customWidth="1"/>
    <col min="2" max="2" width="18.42578125" customWidth="1"/>
    <col min="3" max="3" width="10.42578125" customWidth="1"/>
    <col min="4" max="4" width="7.5703125" customWidth="1"/>
    <col min="5" max="5" width="8.7109375" customWidth="1"/>
    <col min="6" max="34" width="10.42578125" customWidth="1"/>
    <col min="35" max="35" width="1.85546875" customWidth="1"/>
    <col min="36" max="36" width="14.42578125" customWidth="1"/>
    <col min="37" max="37" width="5.5703125" customWidth="1"/>
    <col min="38" max="38" width="5.7109375" customWidth="1"/>
  </cols>
  <sheetData>
    <row r="1" spans="1:38" ht="9" customHeight="1" x14ac:dyDescent="0.25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</row>
    <row r="2" spans="1:38" x14ac:dyDescent="0.25">
      <c r="A2" s="96"/>
      <c r="B2" s="74" t="s">
        <v>45</v>
      </c>
      <c r="C2" s="75">
        <f>SUM(C9:C31)</f>
        <v>-750</v>
      </c>
      <c r="D2" s="12"/>
      <c r="E2" s="48">
        <f t="shared" ref="E2:AH2" si="0">E7/$C$2</f>
        <v>1</v>
      </c>
      <c r="F2" s="48">
        <f t="shared" si="0"/>
        <v>0</v>
      </c>
      <c r="G2" s="48">
        <f t="shared" si="0"/>
        <v>0</v>
      </c>
      <c r="H2" s="48">
        <f t="shared" si="0"/>
        <v>0</v>
      </c>
      <c r="I2" s="48">
        <f t="shared" si="0"/>
        <v>0</v>
      </c>
      <c r="J2" s="48">
        <f t="shared" si="0"/>
        <v>0</v>
      </c>
      <c r="K2" s="48">
        <f t="shared" si="0"/>
        <v>0</v>
      </c>
      <c r="L2" s="48">
        <f t="shared" si="0"/>
        <v>0</v>
      </c>
      <c r="M2" s="48">
        <f t="shared" si="0"/>
        <v>0</v>
      </c>
      <c r="N2" s="48">
        <f t="shared" si="0"/>
        <v>0</v>
      </c>
      <c r="O2" s="48">
        <f t="shared" si="0"/>
        <v>0</v>
      </c>
      <c r="P2" s="48">
        <f t="shared" si="0"/>
        <v>0</v>
      </c>
      <c r="Q2" s="48">
        <f t="shared" si="0"/>
        <v>0</v>
      </c>
      <c r="R2" s="48">
        <f t="shared" si="0"/>
        <v>0</v>
      </c>
      <c r="S2" s="48">
        <f t="shared" si="0"/>
        <v>0</v>
      </c>
      <c r="T2" s="48">
        <f t="shared" si="0"/>
        <v>0</v>
      </c>
      <c r="U2" s="48">
        <f t="shared" si="0"/>
        <v>0</v>
      </c>
      <c r="V2" s="48">
        <f t="shared" si="0"/>
        <v>0</v>
      </c>
      <c r="W2" s="48">
        <f t="shared" si="0"/>
        <v>0</v>
      </c>
      <c r="X2" s="48">
        <f t="shared" si="0"/>
        <v>0</v>
      </c>
      <c r="Y2" s="48">
        <f t="shared" si="0"/>
        <v>0</v>
      </c>
      <c r="Z2" s="48">
        <f t="shared" si="0"/>
        <v>0</v>
      </c>
      <c r="AA2" s="48">
        <f t="shared" si="0"/>
        <v>0</v>
      </c>
      <c r="AB2" s="48">
        <f t="shared" si="0"/>
        <v>0</v>
      </c>
      <c r="AC2" s="48">
        <f t="shared" si="0"/>
        <v>0</v>
      </c>
      <c r="AD2" s="48">
        <f t="shared" si="0"/>
        <v>0</v>
      </c>
      <c r="AE2" s="48">
        <f t="shared" si="0"/>
        <v>0</v>
      </c>
      <c r="AF2" s="48">
        <f t="shared" si="0"/>
        <v>0</v>
      </c>
      <c r="AG2" s="48">
        <f t="shared" si="0"/>
        <v>0</v>
      </c>
      <c r="AH2" s="48">
        <f t="shared" si="0"/>
        <v>0</v>
      </c>
      <c r="AI2" s="97"/>
    </row>
    <row r="3" spans="1:38" hidden="1" x14ac:dyDescent="0.25">
      <c r="A3" s="96"/>
      <c r="B3" s="76"/>
      <c r="C3" s="77"/>
      <c r="D3" s="1"/>
      <c r="E3" s="55" t="str">
        <f t="shared" ref="E3:AH3" si="1">IF(OR(E4="sex",E4="sáb",E4="dom"),"fds","sem")</f>
        <v>sem</v>
      </c>
      <c r="F3" s="55" t="str">
        <f t="shared" si="1"/>
        <v>sem</v>
      </c>
      <c r="G3" s="55" t="str">
        <f t="shared" si="1"/>
        <v>sem</v>
      </c>
      <c r="H3" s="55" t="str">
        <f t="shared" si="1"/>
        <v>sem</v>
      </c>
      <c r="I3" s="55" t="str">
        <f t="shared" si="1"/>
        <v>sem</v>
      </c>
      <c r="J3" s="55" t="str">
        <f t="shared" si="1"/>
        <v>sem</v>
      </c>
      <c r="K3" s="55" t="str">
        <f t="shared" si="1"/>
        <v>sem</v>
      </c>
      <c r="L3" s="55" t="str">
        <f t="shared" si="1"/>
        <v>sem</v>
      </c>
      <c r="M3" s="55" t="str">
        <f t="shared" si="1"/>
        <v>sem</v>
      </c>
      <c r="N3" s="55" t="str">
        <f t="shared" si="1"/>
        <v>sem</v>
      </c>
      <c r="O3" s="55" t="str">
        <f t="shared" si="1"/>
        <v>sem</v>
      </c>
      <c r="P3" s="55" t="str">
        <f t="shared" si="1"/>
        <v>sem</v>
      </c>
      <c r="Q3" s="55" t="str">
        <f t="shared" si="1"/>
        <v>sem</v>
      </c>
      <c r="R3" s="55" t="str">
        <f t="shared" si="1"/>
        <v>sem</v>
      </c>
      <c r="S3" s="55" t="str">
        <f t="shared" si="1"/>
        <v>sem</v>
      </c>
      <c r="T3" s="55" t="str">
        <f t="shared" si="1"/>
        <v>sem</v>
      </c>
      <c r="U3" s="55" t="str">
        <f t="shared" si="1"/>
        <v>sem</v>
      </c>
      <c r="V3" s="55" t="str">
        <f t="shared" si="1"/>
        <v>sem</v>
      </c>
      <c r="W3" s="55" t="str">
        <f t="shared" si="1"/>
        <v>sem</v>
      </c>
      <c r="X3" s="55" t="str">
        <f t="shared" si="1"/>
        <v>sem</v>
      </c>
      <c r="Y3" s="55" t="str">
        <f t="shared" si="1"/>
        <v>sem</v>
      </c>
      <c r="Z3" s="55" t="str">
        <f t="shared" si="1"/>
        <v>sem</v>
      </c>
      <c r="AA3" s="55" t="str">
        <f t="shared" si="1"/>
        <v>sem</v>
      </c>
      <c r="AB3" s="55" t="str">
        <f t="shared" si="1"/>
        <v>sem</v>
      </c>
      <c r="AC3" s="55" t="str">
        <f t="shared" si="1"/>
        <v>sem</v>
      </c>
      <c r="AD3" s="55" t="str">
        <f t="shared" si="1"/>
        <v>sem</v>
      </c>
      <c r="AE3" s="55" t="str">
        <f t="shared" si="1"/>
        <v>sem</v>
      </c>
      <c r="AF3" s="55" t="str">
        <f t="shared" si="1"/>
        <v>sem</v>
      </c>
      <c r="AG3" s="55" t="str">
        <f t="shared" si="1"/>
        <v>sem</v>
      </c>
      <c r="AH3" s="55" t="str">
        <f t="shared" si="1"/>
        <v>sem</v>
      </c>
      <c r="AI3" s="96"/>
      <c r="AK3" s="78" t="s">
        <v>0</v>
      </c>
      <c r="AL3" s="1" t="s">
        <v>64</v>
      </c>
    </row>
    <row r="4" spans="1:38" x14ac:dyDescent="0.25">
      <c r="A4" s="96"/>
      <c r="B4" s="79" t="s">
        <v>47</v>
      </c>
      <c r="C4" s="102">
        <f>C6+C2</f>
        <v>50</v>
      </c>
      <c r="D4" s="104" t="s">
        <v>7</v>
      </c>
      <c r="E4" s="105" t="str">
        <f t="shared" ref="E4:AH4" si="2">TEXT(E5,"ddd")</f>
        <v>Sun</v>
      </c>
      <c r="F4" s="105" t="str">
        <f t="shared" si="2"/>
        <v>Mon</v>
      </c>
      <c r="G4" s="105" t="str">
        <f t="shared" si="2"/>
        <v>Tue</v>
      </c>
      <c r="H4" s="105" t="str">
        <f t="shared" si="2"/>
        <v>Wed</v>
      </c>
      <c r="I4" s="105" t="str">
        <f t="shared" si="2"/>
        <v>Thu</v>
      </c>
      <c r="J4" s="105" t="str">
        <f t="shared" si="2"/>
        <v>Fri</v>
      </c>
      <c r="K4" s="105" t="str">
        <f t="shared" si="2"/>
        <v>Sat</v>
      </c>
      <c r="L4" s="105" t="str">
        <f t="shared" si="2"/>
        <v>Sun</v>
      </c>
      <c r="M4" s="105" t="str">
        <f t="shared" si="2"/>
        <v>Mon</v>
      </c>
      <c r="N4" s="105" t="str">
        <f t="shared" si="2"/>
        <v>Tue</v>
      </c>
      <c r="O4" s="105" t="str">
        <f t="shared" si="2"/>
        <v>Wed</v>
      </c>
      <c r="P4" s="105" t="str">
        <f t="shared" si="2"/>
        <v>Thu</v>
      </c>
      <c r="Q4" s="105" t="str">
        <f t="shared" si="2"/>
        <v>Fri</v>
      </c>
      <c r="R4" s="105" t="str">
        <f t="shared" si="2"/>
        <v>Sat</v>
      </c>
      <c r="S4" s="105" t="str">
        <f t="shared" si="2"/>
        <v>Sun</v>
      </c>
      <c r="T4" s="105" t="str">
        <f t="shared" si="2"/>
        <v>Mon</v>
      </c>
      <c r="U4" s="105" t="str">
        <f t="shared" si="2"/>
        <v>Tue</v>
      </c>
      <c r="V4" s="105" t="str">
        <f t="shared" si="2"/>
        <v>Wed</v>
      </c>
      <c r="W4" s="105" t="str">
        <f t="shared" si="2"/>
        <v>Thu</v>
      </c>
      <c r="X4" s="105" t="str">
        <f t="shared" si="2"/>
        <v>Fri</v>
      </c>
      <c r="Y4" s="105" t="str">
        <f t="shared" si="2"/>
        <v>Sat</v>
      </c>
      <c r="Z4" s="105" t="str">
        <f t="shared" si="2"/>
        <v>Sun</v>
      </c>
      <c r="AA4" s="105" t="str">
        <f t="shared" si="2"/>
        <v>Mon</v>
      </c>
      <c r="AB4" s="105" t="str">
        <f t="shared" si="2"/>
        <v>Tue</v>
      </c>
      <c r="AC4" s="105" t="str">
        <f t="shared" si="2"/>
        <v>Wed</v>
      </c>
      <c r="AD4" s="105" t="str">
        <f t="shared" si="2"/>
        <v>Thu</v>
      </c>
      <c r="AE4" s="105" t="str">
        <f t="shared" si="2"/>
        <v>Fri</v>
      </c>
      <c r="AF4" s="105" t="str">
        <f t="shared" si="2"/>
        <v>Sat</v>
      </c>
      <c r="AG4" s="105" t="str">
        <f t="shared" si="2"/>
        <v>Sun</v>
      </c>
      <c r="AH4" s="105" t="str">
        <f t="shared" si="2"/>
        <v>Mon</v>
      </c>
      <c r="AI4" s="96"/>
      <c r="AK4" s="78">
        <v>2019</v>
      </c>
      <c r="AL4" s="56">
        <f ca="1">TODAY()</f>
        <v>43926</v>
      </c>
    </row>
    <row r="5" spans="1:38" x14ac:dyDescent="0.25">
      <c r="A5" s="96"/>
      <c r="B5" s="81" t="s">
        <v>51</v>
      </c>
      <c r="C5" s="108">
        <f>C4/C6</f>
        <v>6.25E-2</v>
      </c>
      <c r="D5" s="109"/>
      <c r="E5" s="111">
        <f>DATE($AK$4,$AK$7,1)</f>
        <v>43709</v>
      </c>
      <c r="F5" s="111">
        <f t="shared" ref="F5:AH5" si="3">E5+1</f>
        <v>43710</v>
      </c>
      <c r="G5" s="111">
        <f t="shared" si="3"/>
        <v>43711</v>
      </c>
      <c r="H5" s="111">
        <f t="shared" si="3"/>
        <v>43712</v>
      </c>
      <c r="I5" s="111">
        <f t="shared" si="3"/>
        <v>43713</v>
      </c>
      <c r="J5" s="111">
        <f t="shared" si="3"/>
        <v>43714</v>
      </c>
      <c r="K5" s="111">
        <f t="shared" si="3"/>
        <v>43715</v>
      </c>
      <c r="L5" s="111">
        <f t="shared" si="3"/>
        <v>43716</v>
      </c>
      <c r="M5" s="111">
        <f t="shared" si="3"/>
        <v>43717</v>
      </c>
      <c r="N5" s="111">
        <f t="shared" si="3"/>
        <v>43718</v>
      </c>
      <c r="O5" s="111">
        <f t="shared" si="3"/>
        <v>43719</v>
      </c>
      <c r="P5" s="111">
        <f t="shared" si="3"/>
        <v>43720</v>
      </c>
      <c r="Q5" s="111">
        <f t="shared" si="3"/>
        <v>43721</v>
      </c>
      <c r="R5" s="111">
        <f t="shared" si="3"/>
        <v>43722</v>
      </c>
      <c r="S5" s="111">
        <f t="shared" si="3"/>
        <v>43723</v>
      </c>
      <c r="T5" s="111">
        <f t="shared" si="3"/>
        <v>43724</v>
      </c>
      <c r="U5" s="111">
        <f t="shared" si="3"/>
        <v>43725</v>
      </c>
      <c r="V5" s="111">
        <f t="shared" si="3"/>
        <v>43726</v>
      </c>
      <c r="W5" s="111">
        <f t="shared" si="3"/>
        <v>43727</v>
      </c>
      <c r="X5" s="111">
        <f t="shared" si="3"/>
        <v>43728</v>
      </c>
      <c r="Y5" s="111">
        <f t="shared" si="3"/>
        <v>43729</v>
      </c>
      <c r="Z5" s="111">
        <f t="shared" si="3"/>
        <v>43730</v>
      </c>
      <c r="AA5" s="111">
        <f t="shared" si="3"/>
        <v>43731</v>
      </c>
      <c r="AB5" s="111">
        <f t="shared" si="3"/>
        <v>43732</v>
      </c>
      <c r="AC5" s="111">
        <f t="shared" si="3"/>
        <v>43733</v>
      </c>
      <c r="AD5" s="111">
        <f t="shared" si="3"/>
        <v>43734</v>
      </c>
      <c r="AE5" s="111">
        <f t="shared" si="3"/>
        <v>43735</v>
      </c>
      <c r="AF5" s="111">
        <f t="shared" si="3"/>
        <v>43736</v>
      </c>
      <c r="AG5" s="111">
        <f t="shared" si="3"/>
        <v>43737</v>
      </c>
      <c r="AH5" s="111">
        <f t="shared" si="3"/>
        <v>43738</v>
      </c>
      <c r="AI5" s="96"/>
      <c r="AK5" s="78" t="s">
        <v>1</v>
      </c>
      <c r="AL5" s="1" t="str">
        <f ca="1">IF(V5=AL4,"sim","não")</f>
        <v>não</v>
      </c>
    </row>
    <row r="6" spans="1:38" ht="15.75" customHeight="1" x14ac:dyDescent="0.3">
      <c r="A6" s="96"/>
      <c r="B6" s="187" t="s">
        <v>44</v>
      </c>
      <c r="C6" s="188">
        <v>800</v>
      </c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96"/>
    </row>
    <row r="7" spans="1:38" x14ac:dyDescent="0.25">
      <c r="A7" s="96"/>
      <c r="B7" s="83"/>
      <c r="C7" s="15" t="s">
        <v>62</v>
      </c>
      <c r="D7" s="113">
        <f>SUM(D9:D31)</f>
        <v>0.99999999999999989</v>
      </c>
      <c r="E7" s="114">
        <f t="shared" ref="E7:AH7" si="4">SUM(E8:E31)</f>
        <v>-750</v>
      </c>
      <c r="F7" s="114">
        <f t="shared" si="4"/>
        <v>0</v>
      </c>
      <c r="G7" s="114">
        <f t="shared" si="4"/>
        <v>0</v>
      </c>
      <c r="H7" s="114">
        <f t="shared" si="4"/>
        <v>0</v>
      </c>
      <c r="I7" s="114">
        <f t="shared" si="4"/>
        <v>0</v>
      </c>
      <c r="J7" s="114">
        <f t="shared" si="4"/>
        <v>0</v>
      </c>
      <c r="K7" s="114">
        <f t="shared" si="4"/>
        <v>0</v>
      </c>
      <c r="L7" s="114">
        <f t="shared" si="4"/>
        <v>0</v>
      </c>
      <c r="M7" s="114">
        <f t="shared" si="4"/>
        <v>0</v>
      </c>
      <c r="N7" s="114">
        <f t="shared" si="4"/>
        <v>0</v>
      </c>
      <c r="O7" s="114">
        <f t="shared" si="4"/>
        <v>0</v>
      </c>
      <c r="P7" s="114">
        <f t="shared" si="4"/>
        <v>0</v>
      </c>
      <c r="Q7" s="114">
        <f t="shared" si="4"/>
        <v>0</v>
      </c>
      <c r="R7" s="114">
        <f t="shared" si="4"/>
        <v>0</v>
      </c>
      <c r="S7" s="114">
        <f t="shared" si="4"/>
        <v>0</v>
      </c>
      <c r="T7" s="114">
        <f t="shared" si="4"/>
        <v>0</v>
      </c>
      <c r="U7" s="114">
        <f t="shared" si="4"/>
        <v>0</v>
      </c>
      <c r="V7" s="114">
        <f t="shared" si="4"/>
        <v>0</v>
      </c>
      <c r="W7" s="114">
        <f t="shared" si="4"/>
        <v>0</v>
      </c>
      <c r="X7" s="114">
        <f t="shared" si="4"/>
        <v>0</v>
      </c>
      <c r="Y7" s="114">
        <f t="shared" si="4"/>
        <v>0</v>
      </c>
      <c r="Z7" s="114">
        <f t="shared" si="4"/>
        <v>0</v>
      </c>
      <c r="AA7" s="114">
        <f t="shared" si="4"/>
        <v>0</v>
      </c>
      <c r="AB7" s="114">
        <f t="shared" si="4"/>
        <v>0</v>
      </c>
      <c r="AC7" s="114">
        <f t="shared" si="4"/>
        <v>0</v>
      </c>
      <c r="AD7" s="114">
        <f t="shared" si="4"/>
        <v>0</v>
      </c>
      <c r="AE7" s="114">
        <f t="shared" si="4"/>
        <v>0</v>
      </c>
      <c r="AF7" s="114">
        <f t="shared" si="4"/>
        <v>0</v>
      </c>
      <c r="AG7" s="114">
        <f t="shared" si="4"/>
        <v>0</v>
      </c>
      <c r="AH7" s="114">
        <f t="shared" si="4"/>
        <v>0</v>
      </c>
      <c r="AI7" s="96"/>
      <c r="AK7" s="78">
        <v>9</v>
      </c>
      <c r="AL7" s="1"/>
    </row>
    <row r="8" spans="1:38" x14ac:dyDescent="0.25">
      <c r="A8" s="96"/>
      <c r="B8" s="86" t="s">
        <v>90</v>
      </c>
      <c r="C8" s="87">
        <f t="shared" ref="C8:C32" si="5">SUM(E8:AH8)</f>
        <v>0</v>
      </c>
      <c r="D8" s="91" t="s">
        <v>66</v>
      </c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6" t="s">
        <v>66</v>
      </c>
      <c r="AK8" s="78"/>
      <c r="AL8" s="1"/>
    </row>
    <row r="9" spans="1:38" x14ac:dyDescent="0.25">
      <c r="A9" s="96"/>
      <c r="B9" s="86" t="s">
        <v>20</v>
      </c>
      <c r="C9" s="87">
        <f t="shared" si="5"/>
        <v>0</v>
      </c>
      <c r="D9" s="88">
        <f t="shared" ref="D9:D32" si="6">C9/$C$2</f>
        <v>0</v>
      </c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96" t="s">
        <v>66</v>
      </c>
    </row>
    <row r="10" spans="1:38" x14ac:dyDescent="0.25">
      <c r="A10" s="96"/>
      <c r="B10" s="86" t="s">
        <v>21</v>
      </c>
      <c r="C10" s="87">
        <f t="shared" si="5"/>
        <v>-50</v>
      </c>
      <c r="D10" s="91">
        <f t="shared" si="6"/>
        <v>6.6666666666666666E-2</v>
      </c>
      <c r="E10" s="92">
        <v>-50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6" t="s">
        <v>66</v>
      </c>
      <c r="AK10" s="54"/>
    </row>
    <row r="11" spans="1:38" x14ac:dyDescent="0.25">
      <c r="A11" s="96"/>
      <c r="B11" s="86" t="s">
        <v>91</v>
      </c>
      <c r="C11" s="87">
        <f t="shared" si="5"/>
        <v>-50</v>
      </c>
      <c r="D11" s="93">
        <f t="shared" si="6"/>
        <v>6.6666666666666666E-2</v>
      </c>
      <c r="E11" s="94">
        <v>-50</v>
      </c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6" t="s">
        <v>66</v>
      </c>
      <c r="AK11" s="54"/>
    </row>
    <row r="12" spans="1:38" x14ac:dyDescent="0.25">
      <c r="A12" s="96"/>
      <c r="B12" s="86" t="s">
        <v>22</v>
      </c>
      <c r="C12" s="87">
        <f t="shared" si="5"/>
        <v>-50</v>
      </c>
      <c r="D12" s="91">
        <f t="shared" si="6"/>
        <v>6.6666666666666666E-2</v>
      </c>
      <c r="E12" s="92">
        <v>-50</v>
      </c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6" t="s">
        <v>66</v>
      </c>
      <c r="AK12" s="54"/>
    </row>
    <row r="13" spans="1:38" x14ac:dyDescent="0.25">
      <c r="A13" s="96"/>
      <c r="B13" s="86" t="s">
        <v>23</v>
      </c>
      <c r="C13" s="87">
        <f t="shared" si="5"/>
        <v>-50</v>
      </c>
      <c r="D13" s="93">
        <f t="shared" si="6"/>
        <v>6.6666666666666666E-2</v>
      </c>
      <c r="E13" s="94">
        <v>-50</v>
      </c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6" t="s">
        <v>66</v>
      </c>
    </row>
    <row r="14" spans="1:38" x14ac:dyDescent="0.25">
      <c r="A14" s="96"/>
      <c r="B14" s="86" t="s">
        <v>81</v>
      </c>
      <c r="C14" s="87">
        <f t="shared" si="5"/>
        <v>0</v>
      </c>
      <c r="D14" s="91">
        <f t="shared" si="6"/>
        <v>0</v>
      </c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6" t="s">
        <v>66</v>
      </c>
    </row>
    <row r="15" spans="1:38" x14ac:dyDescent="0.25">
      <c r="A15" s="96"/>
      <c r="B15" s="86" t="s">
        <v>24</v>
      </c>
      <c r="C15" s="87">
        <f t="shared" si="5"/>
        <v>-50</v>
      </c>
      <c r="D15" s="93">
        <f t="shared" si="6"/>
        <v>6.6666666666666666E-2</v>
      </c>
      <c r="E15" s="94">
        <v>-50</v>
      </c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133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6" t="s">
        <v>66</v>
      </c>
    </row>
    <row r="16" spans="1:38" x14ac:dyDescent="0.25">
      <c r="A16" s="96"/>
      <c r="B16" s="86" t="s">
        <v>27</v>
      </c>
      <c r="C16" s="87">
        <f t="shared" si="5"/>
        <v>-50</v>
      </c>
      <c r="D16" s="91">
        <f t="shared" si="6"/>
        <v>6.6666666666666666E-2</v>
      </c>
      <c r="E16" s="92">
        <v>-50</v>
      </c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6" t="s">
        <v>66</v>
      </c>
    </row>
    <row r="17" spans="1:38" x14ac:dyDescent="0.25">
      <c r="A17" s="96"/>
      <c r="B17" s="86" t="s">
        <v>28</v>
      </c>
      <c r="C17" s="87">
        <f t="shared" si="5"/>
        <v>0</v>
      </c>
      <c r="D17" s="93">
        <f t="shared" si="6"/>
        <v>0</v>
      </c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6" t="s">
        <v>66</v>
      </c>
    </row>
    <row r="18" spans="1:38" x14ac:dyDescent="0.25">
      <c r="A18" s="96"/>
      <c r="B18" s="86" t="s">
        <v>89</v>
      </c>
      <c r="C18" s="87">
        <f t="shared" si="5"/>
        <v>0</v>
      </c>
      <c r="D18" s="91">
        <f t="shared" si="6"/>
        <v>0</v>
      </c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6" t="s">
        <v>66</v>
      </c>
    </row>
    <row r="19" spans="1:38" x14ac:dyDescent="0.25">
      <c r="A19" s="96"/>
      <c r="B19" s="86" t="s">
        <v>29</v>
      </c>
      <c r="C19" s="87">
        <f t="shared" si="5"/>
        <v>-50</v>
      </c>
      <c r="D19" s="93">
        <f t="shared" si="6"/>
        <v>6.6666666666666666E-2</v>
      </c>
      <c r="E19" s="94">
        <v>-50</v>
      </c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6" t="s">
        <v>66</v>
      </c>
    </row>
    <row r="20" spans="1:38" x14ac:dyDescent="0.25">
      <c r="A20" s="96"/>
      <c r="B20" s="86" t="s">
        <v>31</v>
      </c>
      <c r="C20" s="87">
        <f t="shared" si="5"/>
        <v>0</v>
      </c>
      <c r="D20" s="91">
        <f t="shared" si="6"/>
        <v>0</v>
      </c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6" t="s">
        <v>66</v>
      </c>
    </row>
    <row r="21" spans="1:38" ht="15.75" customHeight="1" x14ac:dyDescent="0.25">
      <c r="A21" s="96"/>
      <c r="B21" s="86" t="s">
        <v>32</v>
      </c>
      <c r="C21" s="87">
        <f t="shared" si="5"/>
        <v>0</v>
      </c>
      <c r="D21" s="93">
        <f t="shared" si="6"/>
        <v>0</v>
      </c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6" t="s">
        <v>66</v>
      </c>
    </row>
    <row r="22" spans="1:38" ht="15.75" customHeight="1" x14ac:dyDescent="0.25">
      <c r="A22" s="96"/>
      <c r="B22" s="86" t="s">
        <v>33</v>
      </c>
      <c r="C22" s="87">
        <f t="shared" si="5"/>
        <v>-50</v>
      </c>
      <c r="D22" s="91">
        <f t="shared" si="6"/>
        <v>6.6666666666666666E-2</v>
      </c>
      <c r="E22" s="92">
        <v>-50</v>
      </c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6" t="s">
        <v>66</v>
      </c>
    </row>
    <row r="23" spans="1:38" ht="15.75" customHeight="1" x14ac:dyDescent="0.25">
      <c r="A23" s="96"/>
      <c r="B23" s="86" t="s">
        <v>94</v>
      </c>
      <c r="C23" s="87">
        <f t="shared" si="5"/>
        <v>-50</v>
      </c>
      <c r="D23" s="93">
        <f t="shared" si="6"/>
        <v>6.6666666666666666E-2</v>
      </c>
      <c r="E23" s="94">
        <v>-50</v>
      </c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6" t="s">
        <v>66</v>
      </c>
    </row>
    <row r="24" spans="1:38" ht="15.75" customHeight="1" x14ac:dyDescent="0.25">
      <c r="A24" s="96"/>
      <c r="B24" s="86" t="s">
        <v>34</v>
      </c>
      <c r="C24" s="87">
        <f t="shared" si="5"/>
        <v>-50</v>
      </c>
      <c r="D24" s="91">
        <f t="shared" si="6"/>
        <v>6.6666666666666666E-2</v>
      </c>
      <c r="E24" s="92">
        <v>-50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6" t="s">
        <v>66</v>
      </c>
      <c r="AK24" s="86"/>
      <c r="AL24" s="95"/>
    </row>
    <row r="25" spans="1:38" ht="15.75" customHeight="1" x14ac:dyDescent="0.25">
      <c r="A25" s="96"/>
      <c r="B25" s="86" t="s">
        <v>35</v>
      </c>
      <c r="C25" s="87">
        <f t="shared" si="5"/>
        <v>-50</v>
      </c>
      <c r="D25" s="93">
        <f t="shared" si="6"/>
        <v>6.6666666666666666E-2</v>
      </c>
      <c r="E25" s="94">
        <v>-50</v>
      </c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6" t="s">
        <v>66</v>
      </c>
    </row>
    <row r="26" spans="1:38" ht="15.75" customHeight="1" x14ac:dyDescent="0.25">
      <c r="A26" s="96"/>
      <c r="B26" s="86" t="s">
        <v>36</v>
      </c>
      <c r="C26" s="87">
        <f t="shared" si="5"/>
        <v>0</v>
      </c>
      <c r="D26" s="91">
        <f t="shared" si="6"/>
        <v>0</v>
      </c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6" t="s">
        <v>66</v>
      </c>
    </row>
    <row r="27" spans="1:38" ht="15.75" customHeight="1" x14ac:dyDescent="0.25">
      <c r="A27" s="96"/>
      <c r="B27" s="86" t="s">
        <v>39</v>
      </c>
      <c r="C27" s="87">
        <f t="shared" si="5"/>
        <v>-50</v>
      </c>
      <c r="D27" s="93">
        <f t="shared" si="6"/>
        <v>6.6666666666666666E-2</v>
      </c>
      <c r="E27" s="94">
        <v>-50</v>
      </c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6" t="s">
        <v>66</v>
      </c>
    </row>
    <row r="28" spans="1:38" ht="15.75" customHeight="1" x14ac:dyDescent="0.25">
      <c r="A28" s="96"/>
      <c r="B28" s="86" t="s">
        <v>40</v>
      </c>
      <c r="C28" s="87">
        <f t="shared" si="5"/>
        <v>-50</v>
      </c>
      <c r="D28" s="91">
        <f t="shared" si="6"/>
        <v>6.6666666666666666E-2</v>
      </c>
      <c r="E28" s="92">
        <v>-50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6" t="s">
        <v>66</v>
      </c>
    </row>
    <row r="29" spans="1:38" ht="15.75" customHeight="1" x14ac:dyDescent="0.25">
      <c r="A29" s="96"/>
      <c r="B29" s="86" t="s">
        <v>41</v>
      </c>
      <c r="C29" s="87">
        <f t="shared" si="5"/>
        <v>-50</v>
      </c>
      <c r="D29" s="93">
        <f t="shared" si="6"/>
        <v>6.6666666666666666E-2</v>
      </c>
      <c r="E29" s="94">
        <v>-50</v>
      </c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6" t="s">
        <v>66</v>
      </c>
    </row>
    <row r="30" spans="1:38" ht="15.75" customHeight="1" x14ac:dyDescent="0.25">
      <c r="A30" s="96"/>
      <c r="B30" s="86" t="s">
        <v>72</v>
      </c>
      <c r="C30" s="87">
        <f t="shared" si="5"/>
        <v>0</v>
      </c>
      <c r="D30" s="91">
        <f t="shared" si="6"/>
        <v>0</v>
      </c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6" t="s">
        <v>66</v>
      </c>
    </row>
    <row r="31" spans="1:38" ht="15.75" customHeight="1" x14ac:dyDescent="0.25">
      <c r="A31" s="96"/>
      <c r="B31" s="86" t="s">
        <v>42</v>
      </c>
      <c r="C31" s="87">
        <f t="shared" si="5"/>
        <v>-50</v>
      </c>
      <c r="D31" s="93">
        <f t="shared" si="6"/>
        <v>6.6666666666666666E-2</v>
      </c>
      <c r="E31" s="94">
        <v>-50</v>
      </c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6" t="s">
        <v>66</v>
      </c>
    </row>
    <row r="32" spans="1:38" ht="15.75" customHeight="1" x14ac:dyDescent="0.25">
      <c r="A32" s="96"/>
      <c r="B32" s="86" t="s">
        <v>96</v>
      </c>
      <c r="C32" s="87">
        <f t="shared" si="5"/>
        <v>0</v>
      </c>
      <c r="D32" s="91">
        <f t="shared" si="6"/>
        <v>0</v>
      </c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6" t="s">
        <v>66</v>
      </c>
    </row>
    <row r="33" spans="1:35" ht="15.75" customHeight="1" x14ac:dyDescent="0.25">
      <c r="A33" s="96"/>
      <c r="B33" s="83"/>
      <c r="C33" s="12"/>
      <c r="D33" s="106"/>
      <c r="E33" s="107">
        <f t="shared" ref="E33:X33" si="7">E5</f>
        <v>43709</v>
      </c>
      <c r="F33" s="107">
        <f t="shared" si="7"/>
        <v>43710</v>
      </c>
      <c r="G33" s="107">
        <f t="shared" si="7"/>
        <v>43711</v>
      </c>
      <c r="H33" s="107">
        <f t="shared" si="7"/>
        <v>43712</v>
      </c>
      <c r="I33" s="107">
        <f t="shared" si="7"/>
        <v>43713</v>
      </c>
      <c r="J33" s="107">
        <f t="shared" si="7"/>
        <v>43714</v>
      </c>
      <c r="K33" s="107">
        <f t="shared" si="7"/>
        <v>43715</v>
      </c>
      <c r="L33" s="107">
        <f t="shared" si="7"/>
        <v>43716</v>
      </c>
      <c r="M33" s="107">
        <f t="shared" si="7"/>
        <v>43717</v>
      </c>
      <c r="N33" s="107">
        <f t="shared" si="7"/>
        <v>43718</v>
      </c>
      <c r="O33" s="107">
        <f t="shared" si="7"/>
        <v>43719</v>
      </c>
      <c r="P33" s="107">
        <f t="shared" si="7"/>
        <v>43720</v>
      </c>
      <c r="Q33" s="107">
        <f t="shared" si="7"/>
        <v>43721</v>
      </c>
      <c r="R33" s="107">
        <f t="shared" si="7"/>
        <v>43722</v>
      </c>
      <c r="S33" s="107">
        <f t="shared" si="7"/>
        <v>43723</v>
      </c>
      <c r="T33" s="107">
        <f t="shared" si="7"/>
        <v>43724</v>
      </c>
      <c r="U33" s="107">
        <f t="shared" si="7"/>
        <v>43725</v>
      </c>
      <c r="V33" s="107">
        <f t="shared" si="7"/>
        <v>43726</v>
      </c>
      <c r="W33" s="107">
        <f t="shared" si="7"/>
        <v>43727</v>
      </c>
      <c r="X33" s="107">
        <f t="shared" si="7"/>
        <v>43728</v>
      </c>
      <c r="Y33" s="107" t="s">
        <v>98</v>
      </c>
      <c r="Z33" s="107">
        <f t="shared" ref="Z33:AH33" si="8">Z5</f>
        <v>43730</v>
      </c>
      <c r="AA33" s="107">
        <f t="shared" si="8"/>
        <v>43731</v>
      </c>
      <c r="AB33" s="107">
        <f t="shared" si="8"/>
        <v>43732</v>
      </c>
      <c r="AC33" s="107">
        <f t="shared" si="8"/>
        <v>43733</v>
      </c>
      <c r="AD33" s="107">
        <f t="shared" si="8"/>
        <v>43734</v>
      </c>
      <c r="AE33" s="107">
        <f t="shared" si="8"/>
        <v>43735</v>
      </c>
      <c r="AF33" s="107">
        <f t="shared" si="8"/>
        <v>43736</v>
      </c>
      <c r="AG33" s="107">
        <f t="shared" si="8"/>
        <v>43737</v>
      </c>
      <c r="AH33" s="107">
        <f t="shared" si="8"/>
        <v>43738</v>
      </c>
      <c r="AI33" s="97"/>
    </row>
    <row r="34" spans="1:35" ht="15.75" customHeight="1" x14ac:dyDescent="0.25">
      <c r="A34" s="96"/>
      <c r="B34" s="110" t="s">
        <v>79</v>
      </c>
      <c r="C34" s="58"/>
      <c r="D34" s="66"/>
      <c r="E34" s="112">
        <f t="shared" ref="E34:AH34" si="9">SUM($E$7:E7)</f>
        <v>-750</v>
      </c>
      <c r="F34" s="112">
        <f t="shared" si="9"/>
        <v>-750</v>
      </c>
      <c r="G34" s="112">
        <f t="shared" si="9"/>
        <v>-750</v>
      </c>
      <c r="H34" s="112">
        <f t="shared" si="9"/>
        <v>-750</v>
      </c>
      <c r="I34" s="112">
        <f t="shared" si="9"/>
        <v>-750</v>
      </c>
      <c r="J34" s="112">
        <f t="shared" si="9"/>
        <v>-750</v>
      </c>
      <c r="K34" s="112">
        <f t="shared" si="9"/>
        <v>-750</v>
      </c>
      <c r="L34" s="112">
        <f t="shared" si="9"/>
        <v>-750</v>
      </c>
      <c r="M34" s="112">
        <f t="shared" si="9"/>
        <v>-750</v>
      </c>
      <c r="N34" s="112">
        <f t="shared" si="9"/>
        <v>-750</v>
      </c>
      <c r="O34" s="112">
        <f t="shared" si="9"/>
        <v>-750</v>
      </c>
      <c r="P34" s="112">
        <f t="shared" si="9"/>
        <v>-750</v>
      </c>
      <c r="Q34" s="112">
        <f t="shared" si="9"/>
        <v>-750</v>
      </c>
      <c r="R34" s="112">
        <f t="shared" si="9"/>
        <v>-750</v>
      </c>
      <c r="S34" s="112">
        <f t="shared" si="9"/>
        <v>-750</v>
      </c>
      <c r="T34" s="112">
        <f t="shared" si="9"/>
        <v>-750</v>
      </c>
      <c r="U34" s="112">
        <f t="shared" si="9"/>
        <v>-750</v>
      </c>
      <c r="V34" s="112">
        <f t="shared" si="9"/>
        <v>-750</v>
      </c>
      <c r="W34" s="112">
        <f t="shared" si="9"/>
        <v>-750</v>
      </c>
      <c r="X34" s="112">
        <f t="shared" si="9"/>
        <v>-750</v>
      </c>
      <c r="Y34" s="112">
        <f t="shared" si="9"/>
        <v>-750</v>
      </c>
      <c r="Z34" s="112">
        <f t="shared" si="9"/>
        <v>-750</v>
      </c>
      <c r="AA34" s="112">
        <f t="shared" si="9"/>
        <v>-750</v>
      </c>
      <c r="AB34" s="112">
        <f t="shared" si="9"/>
        <v>-750</v>
      </c>
      <c r="AC34" s="112">
        <f t="shared" si="9"/>
        <v>-750</v>
      </c>
      <c r="AD34" s="112">
        <f t="shared" si="9"/>
        <v>-750</v>
      </c>
      <c r="AE34" s="112">
        <f t="shared" si="9"/>
        <v>-750</v>
      </c>
      <c r="AF34" s="112">
        <f t="shared" si="9"/>
        <v>-750</v>
      </c>
      <c r="AG34" s="112">
        <f t="shared" si="9"/>
        <v>-750</v>
      </c>
      <c r="AH34" s="112">
        <f t="shared" si="9"/>
        <v>-750</v>
      </c>
      <c r="AI34" s="97"/>
    </row>
    <row r="35" spans="1:35" ht="15.75" customHeight="1" x14ac:dyDescent="0.25">
      <c r="A35" s="96"/>
      <c r="B35" s="99" t="s">
        <v>69</v>
      </c>
      <c r="C35" s="44"/>
      <c r="D35" s="115">
        <f>'Ago2019'!AI36</f>
        <v>5868.5700000000061</v>
      </c>
      <c r="E35" s="73">
        <f t="shared" ref="E35:AG35" si="10">D44+E7+E6</f>
        <v>5118.5700000000061</v>
      </c>
      <c r="F35" s="73">
        <f t="shared" si="10"/>
        <v>5118.5700000000061</v>
      </c>
      <c r="G35" s="73">
        <f t="shared" si="10"/>
        <v>5118.5700000000061</v>
      </c>
      <c r="H35" s="73">
        <f t="shared" si="10"/>
        <v>5118.5700000000061</v>
      </c>
      <c r="I35" s="73">
        <f t="shared" si="10"/>
        <v>5118.5700000000061</v>
      </c>
      <c r="J35" s="73">
        <f t="shared" si="10"/>
        <v>5118.5700000000061</v>
      </c>
      <c r="K35" s="73">
        <f t="shared" si="10"/>
        <v>5118.5700000000061</v>
      </c>
      <c r="L35" s="73">
        <f t="shared" si="10"/>
        <v>5118.5700000000061</v>
      </c>
      <c r="M35" s="73">
        <f t="shared" si="10"/>
        <v>5118.5700000000061</v>
      </c>
      <c r="N35" s="73">
        <f t="shared" si="10"/>
        <v>5118.5700000000061</v>
      </c>
      <c r="O35" s="73">
        <f t="shared" si="10"/>
        <v>5118.5700000000061</v>
      </c>
      <c r="P35" s="73">
        <f t="shared" si="10"/>
        <v>5118.5700000000061</v>
      </c>
      <c r="Q35" s="73">
        <f t="shared" si="10"/>
        <v>5118.5700000000061</v>
      </c>
      <c r="R35" s="73">
        <f t="shared" si="10"/>
        <v>5118.5700000000061</v>
      </c>
      <c r="S35" s="73">
        <f t="shared" si="10"/>
        <v>5118.5700000000061</v>
      </c>
      <c r="T35" s="73">
        <f t="shared" si="10"/>
        <v>5118.5700000000061</v>
      </c>
      <c r="U35" s="73">
        <f t="shared" si="10"/>
        <v>5118.5700000000061</v>
      </c>
      <c r="V35" s="73">
        <f t="shared" si="10"/>
        <v>5118.5700000000061</v>
      </c>
      <c r="W35" s="73">
        <f t="shared" si="10"/>
        <v>5118.5700000000061</v>
      </c>
      <c r="X35" s="73">
        <f t="shared" si="10"/>
        <v>5118.5700000000061</v>
      </c>
      <c r="Y35" s="73">
        <f t="shared" si="10"/>
        <v>5118.5700000000061</v>
      </c>
      <c r="Z35" s="73">
        <f t="shared" si="10"/>
        <v>5118.5700000000061</v>
      </c>
      <c r="AA35" s="73">
        <f t="shared" si="10"/>
        <v>5118.5700000000061</v>
      </c>
      <c r="AB35" s="73">
        <f t="shared" si="10"/>
        <v>5118.5700000000061</v>
      </c>
      <c r="AC35" s="73">
        <f t="shared" si="10"/>
        <v>5118.5700000000061</v>
      </c>
      <c r="AD35" s="73">
        <f t="shared" si="10"/>
        <v>5118.5700000000061</v>
      </c>
      <c r="AE35" s="73">
        <f t="shared" si="10"/>
        <v>5118.5700000000061</v>
      </c>
      <c r="AF35" s="73">
        <f t="shared" si="10"/>
        <v>5118.5700000000061</v>
      </c>
      <c r="AG35" s="73">
        <f t="shared" si="10"/>
        <v>5118.5700000000061</v>
      </c>
      <c r="AH35" s="73">
        <f>AF44+AH7+AH6</f>
        <v>5118.5700000000061</v>
      </c>
      <c r="AI35" s="97"/>
    </row>
    <row r="36" spans="1:35" ht="15.75" customHeight="1" x14ac:dyDescent="0.25">
      <c r="A36" s="96"/>
      <c r="B36" s="83" t="s">
        <v>61</v>
      </c>
      <c r="C36" s="12"/>
      <c r="D36" s="12"/>
      <c r="K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97"/>
    </row>
    <row r="37" spans="1:35" ht="15.75" customHeight="1" x14ac:dyDescent="0.25">
      <c r="A37" s="96"/>
      <c r="B37" s="83" t="s">
        <v>70</v>
      </c>
      <c r="C37" s="12"/>
      <c r="D37" s="12"/>
      <c r="K37" s="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97"/>
    </row>
    <row r="38" spans="1:35" ht="15.75" customHeight="1" x14ac:dyDescent="0.25">
      <c r="A38" s="96"/>
      <c r="B38" s="83" t="s">
        <v>71</v>
      </c>
      <c r="C38" s="12"/>
      <c r="D38" s="12"/>
      <c r="K38" s="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Z38" s="1"/>
      <c r="AA38" s="1"/>
      <c r="AB38" s="1"/>
      <c r="AC38" s="1"/>
      <c r="AD38" s="1"/>
      <c r="AE38" s="1"/>
      <c r="AF38" s="1"/>
      <c r="AG38" s="1"/>
      <c r="AH38" s="1"/>
      <c r="AI38" s="97"/>
    </row>
    <row r="39" spans="1:35" ht="15.75" customHeight="1" x14ac:dyDescent="0.25">
      <c r="A39" s="96"/>
      <c r="B39" s="83" t="s">
        <v>85</v>
      </c>
      <c r="C39" s="12"/>
      <c r="D39" s="12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97"/>
    </row>
    <row r="40" spans="1:35" ht="15.75" customHeight="1" x14ac:dyDescent="0.25">
      <c r="A40" s="96"/>
      <c r="B40" s="83" t="s">
        <v>95</v>
      </c>
      <c r="C40" s="12"/>
      <c r="D40" s="12"/>
      <c r="E40" s="1"/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43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97"/>
    </row>
    <row r="41" spans="1:35" ht="15.75" customHeight="1" x14ac:dyDescent="0.25">
      <c r="A41" s="96"/>
      <c r="B41" s="83" t="s">
        <v>99</v>
      </c>
      <c r="C41" s="12"/>
      <c r="D41" s="12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97"/>
    </row>
    <row r="42" spans="1:35" ht="15.75" customHeight="1" x14ac:dyDescent="0.25">
      <c r="A42" s="96"/>
      <c r="B42" s="83" t="s">
        <v>73</v>
      </c>
      <c r="C42" s="12"/>
      <c r="D42" s="12"/>
      <c r="K42" s="7"/>
      <c r="L42" s="1"/>
      <c r="M42" s="1"/>
      <c r="N42" s="13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97"/>
    </row>
    <row r="43" spans="1:35" ht="15.75" customHeight="1" x14ac:dyDescent="0.25">
      <c r="A43" s="96"/>
      <c r="B43" s="116" t="s">
        <v>63</v>
      </c>
      <c r="C43" s="68"/>
      <c r="D43" s="68"/>
      <c r="E43" s="63"/>
      <c r="F43" s="63"/>
      <c r="G43" s="63"/>
      <c r="H43" s="63"/>
      <c r="I43" s="63"/>
      <c r="J43" s="63"/>
      <c r="K43" s="63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97"/>
    </row>
    <row r="44" spans="1:35" ht="15.75" customHeight="1" x14ac:dyDescent="0.25">
      <c r="A44" s="96"/>
      <c r="B44" s="86" t="s">
        <v>80</v>
      </c>
      <c r="C44" s="12"/>
      <c r="D44" s="50">
        <f t="shared" ref="D44:AH44" si="11">D35</f>
        <v>5868.5700000000061</v>
      </c>
      <c r="E44" s="50">
        <f t="shared" si="11"/>
        <v>5118.5700000000061</v>
      </c>
      <c r="F44" s="50">
        <f t="shared" si="11"/>
        <v>5118.5700000000061</v>
      </c>
      <c r="G44" s="50">
        <f t="shared" si="11"/>
        <v>5118.5700000000061</v>
      </c>
      <c r="H44" s="50">
        <f t="shared" si="11"/>
        <v>5118.5700000000061</v>
      </c>
      <c r="I44" s="50">
        <f t="shared" si="11"/>
        <v>5118.5700000000061</v>
      </c>
      <c r="J44" s="50">
        <f t="shared" si="11"/>
        <v>5118.5700000000061</v>
      </c>
      <c r="K44" s="50">
        <f t="shared" si="11"/>
        <v>5118.5700000000061</v>
      </c>
      <c r="L44" s="50">
        <f t="shared" si="11"/>
        <v>5118.5700000000061</v>
      </c>
      <c r="M44" s="50">
        <f t="shared" si="11"/>
        <v>5118.5700000000061</v>
      </c>
      <c r="N44" s="50">
        <f t="shared" si="11"/>
        <v>5118.5700000000061</v>
      </c>
      <c r="O44" s="50">
        <f t="shared" si="11"/>
        <v>5118.5700000000061</v>
      </c>
      <c r="P44" s="50">
        <f t="shared" si="11"/>
        <v>5118.5700000000061</v>
      </c>
      <c r="Q44" s="50">
        <f t="shared" si="11"/>
        <v>5118.5700000000061</v>
      </c>
      <c r="R44" s="50">
        <f t="shared" si="11"/>
        <v>5118.5700000000061</v>
      </c>
      <c r="S44" s="50">
        <f t="shared" si="11"/>
        <v>5118.5700000000061</v>
      </c>
      <c r="T44" s="50">
        <f t="shared" si="11"/>
        <v>5118.5700000000061</v>
      </c>
      <c r="U44" s="50">
        <f t="shared" si="11"/>
        <v>5118.5700000000061</v>
      </c>
      <c r="V44" s="50">
        <f t="shared" si="11"/>
        <v>5118.5700000000061</v>
      </c>
      <c r="W44" s="50">
        <f t="shared" si="11"/>
        <v>5118.5700000000061</v>
      </c>
      <c r="X44" s="50">
        <f t="shared" si="11"/>
        <v>5118.5700000000061</v>
      </c>
      <c r="Y44" s="50">
        <f t="shared" si="11"/>
        <v>5118.5700000000061</v>
      </c>
      <c r="Z44" s="50">
        <f t="shared" si="11"/>
        <v>5118.5700000000061</v>
      </c>
      <c r="AA44" s="73">
        <f t="shared" si="11"/>
        <v>5118.5700000000061</v>
      </c>
      <c r="AB44" s="50">
        <f t="shared" si="11"/>
        <v>5118.5700000000061</v>
      </c>
      <c r="AC44" s="50">
        <f t="shared" si="11"/>
        <v>5118.5700000000061</v>
      </c>
      <c r="AD44" s="50">
        <f t="shared" si="11"/>
        <v>5118.5700000000061</v>
      </c>
      <c r="AE44" s="50">
        <f t="shared" si="11"/>
        <v>5118.5700000000061</v>
      </c>
      <c r="AF44" s="50">
        <f t="shared" si="11"/>
        <v>5118.5700000000061</v>
      </c>
      <c r="AG44" s="50">
        <f t="shared" si="11"/>
        <v>5118.5700000000061</v>
      </c>
      <c r="AH44" s="50">
        <f t="shared" si="11"/>
        <v>5118.5700000000061</v>
      </c>
      <c r="AI44" s="97"/>
    </row>
    <row r="45" spans="1:35" ht="15.75" customHeight="1" x14ac:dyDescent="0.25">
      <c r="A45" s="96"/>
      <c r="B45" s="117" t="s">
        <v>74</v>
      </c>
      <c r="C45" s="70"/>
      <c r="D45" s="70"/>
      <c r="E45" s="138"/>
      <c r="F45" s="138"/>
      <c r="G45" s="138"/>
      <c r="H45" s="138"/>
      <c r="I45" s="138"/>
      <c r="J45" s="138"/>
      <c r="K45" s="138"/>
      <c r="L45" s="69"/>
      <c r="M45" s="69"/>
      <c r="N45" s="69"/>
      <c r="O45" s="69"/>
      <c r="P45" s="71"/>
      <c r="Q45" s="71"/>
      <c r="R45" s="71"/>
      <c r="S45" s="71"/>
      <c r="T45" s="71"/>
      <c r="U45" s="69"/>
      <c r="V45" s="71"/>
      <c r="W45" s="71"/>
      <c r="X45" s="71"/>
      <c r="Y45" s="71"/>
      <c r="Z45" s="71"/>
      <c r="AA45" s="1"/>
      <c r="AB45" s="71"/>
      <c r="AC45" s="71"/>
      <c r="AD45" s="71"/>
      <c r="AE45" s="71"/>
      <c r="AF45" s="71"/>
      <c r="AG45" s="71"/>
      <c r="AH45" s="71"/>
      <c r="AI45" s="97"/>
    </row>
    <row r="46" spans="1:35" ht="9" customHeight="1" x14ac:dyDescent="0.25">
      <c r="A46" s="96"/>
      <c r="B46" s="97"/>
      <c r="C46" s="127"/>
      <c r="D46" s="12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6"/>
    </row>
    <row r="47" spans="1:35" ht="15.7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5" ht="15.75" customHeight="1" x14ac:dyDescent="0.25">
      <c r="B48" s="1"/>
      <c r="C48" s="1"/>
      <c r="D48" s="1"/>
      <c r="K48" s="5"/>
      <c r="L48" s="5"/>
      <c r="M48" s="5"/>
      <c r="N48" s="128"/>
      <c r="O48" s="5"/>
      <c r="P48" s="5"/>
      <c r="Q48" s="5"/>
      <c r="R48" s="128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2:36" ht="15.75" customHeight="1" x14ac:dyDescent="0.25">
      <c r="B49" s="1"/>
      <c r="C49" s="1"/>
      <c r="D49" s="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2:36" ht="15.75" customHeight="1" x14ac:dyDescent="0.25">
      <c r="B50" s="1"/>
      <c r="C50" s="1"/>
      <c r="D50" s="1"/>
      <c r="E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J50" s="128"/>
    </row>
    <row r="51" spans="2:36" ht="15.75" customHeight="1" x14ac:dyDescent="0.25">
      <c r="B51" s="1"/>
      <c r="C51" s="1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</row>
    <row r="52" spans="2:36" ht="15.75" customHeight="1" x14ac:dyDescent="0.25">
      <c r="B52" s="1"/>
      <c r="C52" s="1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</row>
    <row r="53" spans="2:36" ht="15.75" customHeight="1" x14ac:dyDescent="0.25">
      <c r="C53" s="15"/>
      <c r="D53" s="1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2:36" ht="15.75" customHeight="1" x14ac:dyDescent="0.25">
      <c r="I54" s="1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</row>
    <row r="55" spans="2:36" ht="15.75" customHeight="1" x14ac:dyDescent="0.25"/>
    <row r="56" spans="2:36" ht="15.75" customHeight="1" x14ac:dyDescent="0.25"/>
    <row r="57" spans="2:36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2:36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2:36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2:36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2:36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2:36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2:36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2:36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2:34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2:34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2:34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2:34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2:34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2:34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2:34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2:34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2:34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2:34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2:34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2:34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2:34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2:34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2:34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2:34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2:34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2:34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2:34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2:34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2:34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2:34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2:34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2:34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2:34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2:34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2:34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2:34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2:34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2:34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2:34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2:34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2:34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2:34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2:34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2:34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2:34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2:34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2:34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2:34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2:34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2:34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2:34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2:34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2:34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2:34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2:34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2:34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2:34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2:34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2:34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2:34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2:34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2:34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2:34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2:34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2:34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2:34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2:34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2:34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2:34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2:34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2:34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2:34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2:34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2:34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2:34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2:34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2:34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2:34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2:34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2:34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2:34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2:34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2:34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2:34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2:34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2:34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2:34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2:34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2:34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2:34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2:34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2:34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2:34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2:34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2:34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2:34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2:34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2:34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2:34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2:34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2:34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2:34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2:34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2:34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2:34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2:34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2:34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2:34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2:34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2:34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2:34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2:34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2:34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2:34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2:34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2:34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2:34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2:34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2:34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2:34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2:34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2:34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2:34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2:34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2:34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2:34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2:34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2:34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2:34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2:34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2:34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2:34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2:34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2:34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2:34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2:34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2:34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2:34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2:34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2:34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2:34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2:34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2:34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2:34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2:34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2:34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2:34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2:34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2:34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2:34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2:34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2:34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2:34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2:34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2:34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2:34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2:34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2:34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2:34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2:34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2:34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2:34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2:34" ht="15.7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2:34" ht="15.7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2:34" ht="15.7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2:34" ht="15.7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2:34" ht="15.7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2:34" ht="15.7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2:34" ht="15.7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2:34" ht="15.7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2:34" ht="15.7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2:34" ht="15.7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2:34" ht="15.7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2:34" ht="15.7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2:34" ht="15.7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2:34" ht="15.7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2:34" ht="15.7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2:34" ht="15.7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2:34" ht="15.7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2:34" ht="15.7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2:34" ht="15.7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2:34" ht="15.7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2:34" ht="15.7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2:34" ht="15.7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2:34" ht="15.7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2:34" ht="15.7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2:34" ht="15.7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2:34" ht="15.7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2:34" ht="15.7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2:34" ht="15.75" customHeight="1" x14ac:dyDescent="0.25"/>
    <row r="247" spans="2:34" ht="15.75" customHeight="1" x14ac:dyDescent="0.25"/>
    <row r="248" spans="2:34" ht="15.75" customHeight="1" x14ac:dyDescent="0.25"/>
    <row r="249" spans="2:34" ht="15.75" customHeight="1" x14ac:dyDescent="0.25"/>
    <row r="250" spans="2:34" ht="15.75" customHeight="1" x14ac:dyDescent="0.25"/>
    <row r="251" spans="2:34" ht="15.75" customHeight="1" x14ac:dyDescent="0.25"/>
    <row r="252" spans="2:34" ht="15.75" customHeight="1" x14ac:dyDescent="0.25"/>
    <row r="253" spans="2:34" ht="15.75" customHeight="1" x14ac:dyDescent="0.25"/>
    <row r="254" spans="2:34" ht="15.75" customHeight="1" x14ac:dyDescent="0.25"/>
    <row r="255" spans="2:34" ht="15.75" customHeight="1" x14ac:dyDescent="0.25"/>
    <row r="256" spans="2:3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4">
    <cfRule type="cellIs" dxfId="2" priority="1" operator="lessThan">
      <formula>0</formula>
    </cfRule>
  </conditionalFormatting>
  <conditionalFormatting sqref="C4">
    <cfRule type="cellIs" dxfId="1" priority="2" operator="greaterThan">
      <formula>0</formula>
    </cfRule>
  </conditionalFormatting>
  <conditionalFormatting sqref="C4">
    <cfRule type="cellIs" dxfId="0" priority="3" operator="lessThan">
      <formula>0</formula>
    </cfRule>
  </conditionalFormatting>
  <pageMargins left="0.511811024" right="0.511811024" top="0.78740157499999996" bottom="0.78740157499999996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AE1000"/>
  <sheetViews>
    <sheetView showGridLines="0" workbookViewId="0"/>
  </sheetViews>
  <sheetFormatPr defaultColWidth="14.42578125" defaultRowHeight="15" customHeight="1" x14ac:dyDescent="0.25"/>
  <cols>
    <col min="1" max="1" width="8.7109375" customWidth="1"/>
    <col min="2" max="2" width="10.7109375" customWidth="1"/>
    <col min="3" max="4" width="8.7109375" customWidth="1"/>
    <col min="5" max="6" width="12.28515625" customWidth="1"/>
    <col min="7" max="31" width="8.7109375" customWidth="1"/>
  </cols>
  <sheetData>
    <row r="2" spans="2:31" x14ac:dyDescent="0.25">
      <c r="C2" s="54" t="s">
        <v>148</v>
      </c>
      <c r="D2" s="54" t="s">
        <v>149</v>
      </c>
      <c r="E2" s="54" t="s">
        <v>150</v>
      </c>
      <c r="F2" s="54"/>
      <c r="H2" s="54" t="s">
        <v>151</v>
      </c>
      <c r="J2" s="54" t="s">
        <v>152</v>
      </c>
      <c r="L2" s="54"/>
    </row>
    <row r="3" spans="2:31" x14ac:dyDescent="0.25">
      <c r="B3" s="54" t="s">
        <v>153</v>
      </c>
      <c r="C3" s="184">
        <v>2.15</v>
      </c>
      <c r="D3" s="7">
        <f t="shared" ref="D3:D4" si="0">C3*2</f>
        <v>4.3</v>
      </c>
      <c r="E3" s="7">
        <v>4</v>
      </c>
      <c r="H3" s="184">
        <f t="shared" ref="H3:H4" si="1">E3*C3</f>
        <v>8.6</v>
      </c>
      <c r="J3" s="184">
        <f t="shared" ref="J3:J4" si="2">E3*D3</f>
        <v>17.2</v>
      </c>
    </row>
    <row r="4" spans="2:31" x14ac:dyDescent="0.25">
      <c r="B4" s="54" t="s">
        <v>154</v>
      </c>
      <c r="C4" s="184">
        <v>2.15</v>
      </c>
      <c r="D4" s="7">
        <f t="shared" si="0"/>
        <v>4.3</v>
      </c>
      <c r="E4" s="7">
        <v>12</v>
      </c>
      <c r="H4" s="184">
        <f t="shared" si="1"/>
        <v>25.799999999999997</v>
      </c>
      <c r="J4" s="184">
        <f t="shared" si="2"/>
        <v>51.599999999999994</v>
      </c>
      <c r="L4" s="189"/>
    </row>
    <row r="5" spans="2:31" x14ac:dyDescent="0.25">
      <c r="C5" s="184"/>
      <c r="J5" s="184"/>
    </row>
    <row r="6" spans="2:31" x14ac:dyDescent="0.25">
      <c r="C6" s="184"/>
      <c r="G6" s="157" t="s">
        <v>62</v>
      </c>
      <c r="H6" s="189">
        <f>SUM(H3:H4)</f>
        <v>34.4</v>
      </c>
      <c r="J6" s="189">
        <f>SUM(J3:J4)</f>
        <v>68.8</v>
      </c>
      <c r="S6" s="7" t="s">
        <v>32</v>
      </c>
      <c r="T6" s="7">
        <v>10.8</v>
      </c>
      <c r="X6" s="7">
        <f>T6*22</f>
        <v>237.60000000000002</v>
      </c>
      <c r="AD6" s="7" t="s">
        <v>155</v>
      </c>
      <c r="AE6" s="7">
        <f>X6/4.3</f>
        <v>55.255813953488378</v>
      </c>
    </row>
    <row r="7" spans="2:31" x14ac:dyDescent="0.25">
      <c r="C7" s="184"/>
      <c r="G7" s="54"/>
      <c r="H7" s="189"/>
      <c r="J7" s="184"/>
    </row>
    <row r="8" spans="2:31" x14ac:dyDescent="0.25">
      <c r="B8" s="7">
        <v>446</v>
      </c>
      <c r="C8" s="184">
        <f>4.55/2</f>
        <v>2.2749999999999999</v>
      </c>
      <c r="D8" s="7">
        <f t="shared" ref="D8:D10" si="3">C8*2</f>
        <v>4.55</v>
      </c>
      <c r="E8" s="7">
        <v>3</v>
      </c>
      <c r="H8" s="184">
        <f t="shared" ref="H8:H10" si="4">E8*C8</f>
        <v>6.8249999999999993</v>
      </c>
      <c r="J8" s="184">
        <f t="shared" ref="J8:J10" si="5">E8*D8</f>
        <v>13.649999999999999</v>
      </c>
      <c r="S8" s="7" t="s">
        <v>31</v>
      </c>
      <c r="T8" s="7">
        <f>7.45*2</f>
        <v>14.9</v>
      </c>
      <c r="W8" s="7" t="s">
        <v>149</v>
      </c>
      <c r="X8" s="7">
        <f>T8*22</f>
        <v>327.8</v>
      </c>
      <c r="Z8" s="7" t="s">
        <v>156</v>
      </c>
      <c r="AA8" s="7">
        <f>X8/2</f>
        <v>163.9</v>
      </c>
      <c r="AD8" s="7" t="s">
        <v>157</v>
      </c>
      <c r="AE8" s="7">
        <f>AA8/4.3</f>
        <v>38.116279069767444</v>
      </c>
    </row>
    <row r="9" spans="2:31" x14ac:dyDescent="0.25">
      <c r="B9" s="54" t="s">
        <v>158</v>
      </c>
      <c r="C9" s="184">
        <f>5.4/2</f>
        <v>2.7</v>
      </c>
      <c r="D9" s="7">
        <f t="shared" si="3"/>
        <v>5.4</v>
      </c>
      <c r="E9" s="7">
        <v>0</v>
      </c>
      <c r="H9" s="184">
        <f t="shared" si="4"/>
        <v>0</v>
      </c>
      <c r="J9" s="184">
        <f t="shared" si="5"/>
        <v>0</v>
      </c>
    </row>
    <row r="10" spans="2:31" x14ac:dyDescent="0.25">
      <c r="B10" s="54" t="s">
        <v>159</v>
      </c>
      <c r="C10" s="184">
        <f>10.85/2</f>
        <v>5.4249999999999998</v>
      </c>
      <c r="D10" s="7">
        <f t="shared" si="3"/>
        <v>10.85</v>
      </c>
      <c r="E10" s="7">
        <v>1</v>
      </c>
      <c r="H10" s="184">
        <f t="shared" si="4"/>
        <v>5.4249999999999998</v>
      </c>
      <c r="J10" s="184">
        <f t="shared" si="5"/>
        <v>10.85</v>
      </c>
      <c r="X10" s="7">
        <f>SUM(X6:X8)</f>
        <v>565.40000000000009</v>
      </c>
    </row>
    <row r="11" spans="2:31" x14ac:dyDescent="0.25">
      <c r="J11" s="184"/>
      <c r="S11" s="7" t="s">
        <v>149</v>
      </c>
      <c r="T11" s="7">
        <f>SUM(T6:T8)</f>
        <v>25.700000000000003</v>
      </c>
    </row>
    <row r="12" spans="2:31" x14ac:dyDescent="0.25">
      <c r="G12" s="157" t="s">
        <v>62</v>
      </c>
      <c r="H12" s="189">
        <f>SUM(H8:H10)</f>
        <v>12.25</v>
      </c>
      <c r="J12" s="189">
        <f>SUM(J8:J10)</f>
        <v>24.5</v>
      </c>
    </row>
    <row r="14" spans="2:31" x14ac:dyDescent="0.25">
      <c r="S14" s="7">
        <v>3851</v>
      </c>
      <c r="T14" s="7">
        <f>S14*0.03</f>
        <v>115.53</v>
      </c>
    </row>
    <row r="15" spans="2:31" x14ac:dyDescent="0.25">
      <c r="I15" s="157" t="s">
        <v>149</v>
      </c>
      <c r="J15" s="189">
        <f>J6+J12</f>
        <v>93.3</v>
      </c>
    </row>
    <row r="16" spans="2:31" x14ac:dyDescent="0.25">
      <c r="S16" s="7">
        <v>3200</v>
      </c>
      <c r="T16" s="7">
        <f>S16*0.06</f>
        <v>192</v>
      </c>
    </row>
    <row r="19" spans="2:19" x14ac:dyDescent="0.25">
      <c r="C19" s="54" t="s">
        <v>160</v>
      </c>
    </row>
    <row r="20" spans="2:19" x14ac:dyDescent="0.25">
      <c r="B20" s="53">
        <v>43739</v>
      </c>
      <c r="C20" s="7">
        <v>1111</v>
      </c>
    </row>
    <row r="21" spans="2:19" ht="15.75" customHeight="1" x14ac:dyDescent="0.25">
      <c r="C21" s="54"/>
    </row>
    <row r="22" spans="2:19" ht="15.75" customHeight="1" x14ac:dyDescent="0.25"/>
    <row r="23" spans="2:19" ht="15.75" customHeight="1" x14ac:dyDescent="0.25"/>
    <row r="24" spans="2:19" ht="15.75" customHeight="1" x14ac:dyDescent="0.25">
      <c r="S24" s="54" t="s">
        <v>161</v>
      </c>
    </row>
    <row r="25" spans="2:19" ht="15.75" customHeight="1" x14ac:dyDescent="0.25"/>
    <row r="26" spans="2:19" ht="15.75" customHeight="1" x14ac:dyDescent="0.25"/>
    <row r="27" spans="2:19" ht="15.75" customHeight="1" x14ac:dyDescent="0.25"/>
    <row r="28" spans="2:19" ht="15.75" customHeight="1" x14ac:dyDescent="0.25"/>
    <row r="29" spans="2:19" ht="15.75" customHeight="1" x14ac:dyDescent="0.25"/>
    <row r="30" spans="2:19" ht="15.75" customHeight="1" x14ac:dyDescent="0.25"/>
    <row r="31" spans="2:19" ht="15.75" customHeight="1" x14ac:dyDescent="0.25"/>
    <row r="32" spans="2:1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1000"/>
  <sheetViews>
    <sheetView showGridLines="0" workbookViewId="0">
      <selection activeCell="Y13" sqref="Y13"/>
    </sheetView>
  </sheetViews>
  <sheetFormatPr defaultColWidth="14.42578125" defaultRowHeight="15" customHeight="1" x14ac:dyDescent="0.25"/>
  <cols>
    <col min="1" max="1" width="18" customWidth="1"/>
    <col min="2" max="2" width="26.7109375" customWidth="1"/>
    <col min="3" max="3" width="11.28515625" customWidth="1"/>
    <col min="4" max="4" width="14.42578125" customWidth="1"/>
    <col min="5" max="5" width="16.85546875" customWidth="1"/>
    <col min="6" max="6" width="17.7109375" customWidth="1"/>
    <col min="7" max="7" width="13.140625" customWidth="1"/>
    <col min="8" max="8" width="17" customWidth="1"/>
    <col min="9" max="9" width="14.5703125" customWidth="1"/>
    <col min="10" max="10" width="13.7109375" customWidth="1"/>
    <col min="11" max="11" width="15.28515625" customWidth="1"/>
    <col min="12" max="12" width="15.140625" customWidth="1"/>
    <col min="13" max="13" width="11.5703125" customWidth="1"/>
    <col min="14" max="15" width="13.5703125" customWidth="1"/>
    <col min="16" max="16" width="15.85546875" customWidth="1"/>
    <col min="17" max="17" width="23.5703125" customWidth="1"/>
    <col min="18" max="18" width="14.28515625" customWidth="1"/>
    <col min="19" max="19" width="16.85546875" customWidth="1"/>
    <col min="20" max="20" width="18.7109375" customWidth="1"/>
    <col min="21" max="21" width="14.28515625" customWidth="1"/>
    <col min="22" max="22" width="15.5703125" customWidth="1"/>
    <col min="23" max="23" width="13.140625" customWidth="1"/>
    <col min="24" max="24" width="25.7109375" customWidth="1"/>
    <col min="25" max="25" width="8.7109375" customWidth="1"/>
  </cols>
  <sheetData>
    <row r="1" spans="1:25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 x14ac:dyDescent="0.25">
      <c r="A3" s="210"/>
      <c r="B3" s="211" t="s">
        <v>88</v>
      </c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3"/>
      <c r="Y3" s="54"/>
    </row>
    <row r="4" spans="1:25" x14ac:dyDescent="0.25">
      <c r="A4" s="211" t="s">
        <v>162</v>
      </c>
      <c r="B4" s="210" t="s">
        <v>163</v>
      </c>
      <c r="C4" s="214" t="s">
        <v>164</v>
      </c>
      <c r="D4" s="214" t="s">
        <v>165</v>
      </c>
      <c r="E4" s="214" t="s">
        <v>166</v>
      </c>
      <c r="F4" s="214" t="s">
        <v>167</v>
      </c>
      <c r="G4" s="214" t="s">
        <v>168</v>
      </c>
      <c r="H4" s="214" t="s">
        <v>169</v>
      </c>
      <c r="I4" s="214" t="s">
        <v>170</v>
      </c>
      <c r="J4" s="214" t="s">
        <v>171</v>
      </c>
      <c r="K4" s="214" t="s">
        <v>172</v>
      </c>
      <c r="L4" s="214" t="s">
        <v>173</v>
      </c>
      <c r="M4" s="214" t="s">
        <v>174</v>
      </c>
      <c r="N4" s="214" t="s">
        <v>175</v>
      </c>
      <c r="O4" s="214" t="s">
        <v>176</v>
      </c>
      <c r="P4" s="214" t="s">
        <v>177</v>
      </c>
      <c r="Q4" s="214" t="s">
        <v>178</v>
      </c>
      <c r="R4" s="214" t="s">
        <v>179</v>
      </c>
      <c r="S4" s="214" t="s">
        <v>180</v>
      </c>
      <c r="T4" s="214" t="s">
        <v>181</v>
      </c>
      <c r="U4" s="214" t="s">
        <v>182</v>
      </c>
      <c r="V4" s="214" t="s">
        <v>183</v>
      </c>
      <c r="W4" s="214" t="s">
        <v>184</v>
      </c>
      <c r="X4" s="215" t="s">
        <v>185</v>
      </c>
      <c r="Y4" s="54"/>
    </row>
    <row r="5" spans="1:25" x14ac:dyDescent="0.25">
      <c r="A5" s="216">
        <v>43313</v>
      </c>
      <c r="B5" s="217">
        <v>345.37</v>
      </c>
      <c r="C5" s="218">
        <v>16.899999999999999</v>
      </c>
      <c r="D5" s="218">
        <v>0</v>
      </c>
      <c r="E5" s="218">
        <v>25.75</v>
      </c>
      <c r="F5" s="218">
        <v>31</v>
      </c>
      <c r="G5" s="218">
        <v>26.8</v>
      </c>
      <c r="H5" s="218">
        <v>80.59</v>
      </c>
      <c r="I5" s="218">
        <v>0</v>
      </c>
      <c r="J5" s="218">
        <v>145</v>
      </c>
      <c r="K5" s="218">
        <v>0</v>
      </c>
      <c r="L5" s="218">
        <v>100.84</v>
      </c>
      <c r="M5" s="218">
        <v>171</v>
      </c>
      <c r="N5" s="218">
        <v>0</v>
      </c>
      <c r="O5" s="218">
        <v>9.1</v>
      </c>
      <c r="P5" s="218">
        <v>0</v>
      </c>
      <c r="Q5" s="218">
        <v>40.9</v>
      </c>
      <c r="R5" s="218">
        <v>72</v>
      </c>
      <c r="S5" s="218">
        <v>0</v>
      </c>
      <c r="T5" s="218">
        <v>25</v>
      </c>
      <c r="U5" s="218">
        <v>0</v>
      </c>
      <c r="V5" s="218">
        <v>0</v>
      </c>
      <c r="W5" s="218">
        <v>600</v>
      </c>
      <c r="X5" s="219">
        <v>0</v>
      </c>
      <c r="Y5" s="54"/>
    </row>
    <row r="6" spans="1:25" x14ac:dyDescent="0.25">
      <c r="A6" s="220">
        <v>43344</v>
      </c>
      <c r="B6" s="221">
        <v>146.32999999999998</v>
      </c>
      <c r="C6" s="222">
        <v>16.899999999999999</v>
      </c>
      <c r="D6" s="222">
        <v>0</v>
      </c>
      <c r="E6" s="222">
        <v>14.5</v>
      </c>
      <c r="F6" s="222">
        <v>40</v>
      </c>
      <c r="G6" s="222">
        <v>18.3</v>
      </c>
      <c r="H6" s="222">
        <v>69.05</v>
      </c>
      <c r="I6" s="222">
        <v>160</v>
      </c>
      <c r="J6" s="222">
        <v>10</v>
      </c>
      <c r="K6" s="222">
        <v>0</v>
      </c>
      <c r="L6" s="222">
        <v>71.89</v>
      </c>
      <c r="M6" s="222">
        <v>192</v>
      </c>
      <c r="N6" s="222">
        <v>0</v>
      </c>
      <c r="O6" s="222">
        <v>35.950000000000003</v>
      </c>
      <c r="P6" s="222">
        <v>0</v>
      </c>
      <c r="Q6" s="222">
        <v>0</v>
      </c>
      <c r="R6" s="222">
        <v>0</v>
      </c>
      <c r="S6" s="222">
        <v>0</v>
      </c>
      <c r="T6" s="222">
        <v>40.799999999999997</v>
      </c>
      <c r="U6" s="222">
        <v>79.89</v>
      </c>
      <c r="V6" s="222">
        <v>0</v>
      </c>
      <c r="W6" s="222">
        <v>600</v>
      </c>
      <c r="X6" s="223">
        <v>85.38</v>
      </c>
      <c r="Y6" s="54"/>
    </row>
    <row r="7" spans="1:25" x14ac:dyDescent="0.25">
      <c r="A7" s="220">
        <v>43374</v>
      </c>
      <c r="B7" s="221">
        <v>127.72</v>
      </c>
      <c r="C7" s="222">
        <v>55.15</v>
      </c>
      <c r="D7" s="222">
        <v>0</v>
      </c>
      <c r="E7" s="222">
        <v>8.5</v>
      </c>
      <c r="F7" s="222">
        <v>40</v>
      </c>
      <c r="G7" s="222">
        <v>8.5</v>
      </c>
      <c r="H7" s="222">
        <v>100.22000000000001</v>
      </c>
      <c r="I7" s="222">
        <v>175.48</v>
      </c>
      <c r="J7" s="222">
        <v>34</v>
      </c>
      <c r="K7" s="222">
        <v>0</v>
      </c>
      <c r="L7" s="222">
        <v>71.89</v>
      </c>
      <c r="M7" s="222">
        <v>192</v>
      </c>
      <c r="N7" s="222">
        <v>4.4000000000000004</v>
      </c>
      <c r="O7" s="222">
        <v>18.689999999999998</v>
      </c>
      <c r="P7" s="222">
        <v>0</v>
      </c>
      <c r="Q7" s="222">
        <v>38.5</v>
      </c>
      <c r="R7" s="222">
        <v>0</v>
      </c>
      <c r="S7" s="222">
        <v>0</v>
      </c>
      <c r="T7" s="222">
        <v>45.49</v>
      </c>
      <c r="U7" s="222">
        <v>0</v>
      </c>
      <c r="V7" s="222">
        <v>0</v>
      </c>
      <c r="W7" s="222">
        <v>600</v>
      </c>
      <c r="X7" s="223">
        <v>0</v>
      </c>
      <c r="Y7" s="54"/>
    </row>
    <row r="8" spans="1:25" x14ac:dyDescent="0.25">
      <c r="A8" s="220">
        <v>43405</v>
      </c>
      <c r="B8" s="221">
        <v>319.38</v>
      </c>
      <c r="C8" s="222">
        <v>80.5</v>
      </c>
      <c r="D8" s="222">
        <v>0</v>
      </c>
      <c r="E8" s="222">
        <v>29.9</v>
      </c>
      <c r="F8" s="222">
        <v>20</v>
      </c>
      <c r="G8" s="222">
        <v>4.5</v>
      </c>
      <c r="H8" s="222">
        <v>97.38000000000001</v>
      </c>
      <c r="I8" s="222">
        <v>0</v>
      </c>
      <c r="J8" s="222">
        <v>149.42000000000002</v>
      </c>
      <c r="K8" s="222">
        <v>20</v>
      </c>
      <c r="L8" s="222">
        <v>71.89</v>
      </c>
      <c r="M8" s="222">
        <v>192</v>
      </c>
      <c r="N8" s="222">
        <v>0</v>
      </c>
      <c r="O8" s="222">
        <v>41.68</v>
      </c>
      <c r="P8" s="222">
        <v>0</v>
      </c>
      <c r="Q8" s="222">
        <v>14.9</v>
      </c>
      <c r="R8" s="222">
        <v>0</v>
      </c>
      <c r="S8" s="222">
        <v>0</v>
      </c>
      <c r="T8" s="222">
        <v>108.05999999999999</v>
      </c>
      <c r="U8" s="222">
        <v>28.5</v>
      </c>
      <c r="V8" s="222">
        <v>39.9</v>
      </c>
      <c r="W8" s="222">
        <v>589.85</v>
      </c>
      <c r="X8" s="223">
        <v>0</v>
      </c>
      <c r="Y8" s="54"/>
    </row>
    <row r="9" spans="1:25" x14ac:dyDescent="0.25">
      <c r="A9" s="220">
        <v>43435</v>
      </c>
      <c r="B9" s="221">
        <v>271.75</v>
      </c>
      <c r="C9" s="222">
        <v>43.629999999999995</v>
      </c>
      <c r="D9" s="222">
        <v>40.98</v>
      </c>
      <c r="E9" s="222">
        <v>22.5</v>
      </c>
      <c r="F9" s="222">
        <v>20</v>
      </c>
      <c r="G9" s="222">
        <v>9.5399999999999991</v>
      </c>
      <c r="H9" s="222">
        <v>181.48</v>
      </c>
      <c r="I9" s="222">
        <v>180.69</v>
      </c>
      <c r="J9" s="222">
        <v>57.75</v>
      </c>
      <c r="K9" s="222">
        <v>73</v>
      </c>
      <c r="L9" s="222">
        <v>71.89</v>
      </c>
      <c r="M9" s="222">
        <v>96</v>
      </c>
      <c r="N9" s="222">
        <v>78</v>
      </c>
      <c r="O9" s="222">
        <v>92.490000000000009</v>
      </c>
      <c r="P9" s="222">
        <v>0</v>
      </c>
      <c r="Q9" s="222">
        <v>0</v>
      </c>
      <c r="R9" s="222">
        <v>0</v>
      </c>
      <c r="S9" s="222">
        <v>0</v>
      </c>
      <c r="T9" s="222">
        <v>98.4</v>
      </c>
      <c r="U9" s="222">
        <v>0</v>
      </c>
      <c r="V9" s="222">
        <v>49.99</v>
      </c>
      <c r="W9" s="222">
        <v>550</v>
      </c>
      <c r="X9" s="223">
        <v>14</v>
      </c>
      <c r="Y9" s="54"/>
    </row>
    <row r="10" spans="1:25" x14ac:dyDescent="0.25">
      <c r="A10" s="220">
        <v>43466</v>
      </c>
      <c r="B10" s="221">
        <v>190.19</v>
      </c>
      <c r="C10" s="222">
        <v>47.03</v>
      </c>
      <c r="D10" s="222">
        <v>3.8</v>
      </c>
      <c r="E10" s="222">
        <v>12.23</v>
      </c>
      <c r="F10" s="222">
        <v>20</v>
      </c>
      <c r="G10" s="222">
        <v>15.47</v>
      </c>
      <c r="H10" s="222">
        <v>120.59</v>
      </c>
      <c r="I10" s="222">
        <v>296.73</v>
      </c>
      <c r="J10" s="222">
        <v>0</v>
      </c>
      <c r="K10" s="222">
        <v>40</v>
      </c>
      <c r="L10" s="222">
        <v>76.89</v>
      </c>
      <c r="M10" s="222">
        <v>30.1</v>
      </c>
      <c r="N10" s="222">
        <v>22.05</v>
      </c>
      <c r="O10" s="222">
        <v>0</v>
      </c>
      <c r="P10" s="222">
        <v>89.08</v>
      </c>
      <c r="Q10" s="222">
        <v>0</v>
      </c>
      <c r="R10" s="222">
        <v>0</v>
      </c>
      <c r="S10" s="222">
        <v>0</v>
      </c>
      <c r="T10" s="222">
        <v>99.84</v>
      </c>
      <c r="U10" s="222">
        <v>0</v>
      </c>
      <c r="V10" s="222">
        <v>0</v>
      </c>
      <c r="W10" s="222">
        <v>550</v>
      </c>
      <c r="X10" s="223">
        <v>0</v>
      </c>
      <c r="Y10" s="54"/>
    </row>
    <row r="11" spans="1:25" x14ac:dyDescent="0.25">
      <c r="A11" s="220">
        <v>43497</v>
      </c>
      <c r="B11" s="221">
        <v>150.9</v>
      </c>
      <c r="C11" s="222">
        <v>39.25</v>
      </c>
      <c r="D11" s="222">
        <v>0</v>
      </c>
      <c r="E11" s="222">
        <v>9</v>
      </c>
      <c r="F11" s="222">
        <v>40</v>
      </c>
      <c r="G11" s="222">
        <v>8.5</v>
      </c>
      <c r="H11" s="222">
        <v>268.5</v>
      </c>
      <c r="I11" s="222">
        <v>8.89</v>
      </c>
      <c r="J11" s="222">
        <v>30</v>
      </c>
      <c r="K11" s="222">
        <v>45</v>
      </c>
      <c r="L11" s="222">
        <v>76.89</v>
      </c>
      <c r="M11" s="222">
        <v>206.4</v>
      </c>
      <c r="N11" s="222">
        <v>135</v>
      </c>
      <c r="O11" s="222">
        <v>52.7</v>
      </c>
      <c r="P11" s="222">
        <v>0</v>
      </c>
      <c r="Q11" s="222">
        <v>0</v>
      </c>
      <c r="R11" s="222">
        <v>0</v>
      </c>
      <c r="S11" s="222">
        <v>0</v>
      </c>
      <c r="T11" s="222">
        <v>43.97</v>
      </c>
      <c r="U11" s="222">
        <v>29.9</v>
      </c>
      <c r="V11" s="222">
        <v>0</v>
      </c>
      <c r="W11" s="222">
        <v>550</v>
      </c>
      <c r="X11" s="223">
        <v>45</v>
      </c>
      <c r="Y11" s="54"/>
    </row>
    <row r="12" spans="1:25" x14ac:dyDescent="0.25">
      <c r="A12" s="220">
        <v>43525</v>
      </c>
      <c r="B12" s="221">
        <v>263.74</v>
      </c>
      <c r="C12" s="222">
        <v>28.799999999999997</v>
      </c>
      <c r="D12" s="222">
        <v>0</v>
      </c>
      <c r="E12" s="222">
        <v>8.5</v>
      </c>
      <c r="F12" s="222">
        <v>75</v>
      </c>
      <c r="G12" s="222">
        <v>21.5</v>
      </c>
      <c r="H12" s="222">
        <v>105.34</v>
      </c>
      <c r="I12" s="222">
        <v>154.91</v>
      </c>
      <c r="J12" s="222">
        <v>5</v>
      </c>
      <c r="K12" s="222">
        <v>15</v>
      </c>
      <c r="L12" s="222">
        <v>76.89</v>
      </c>
      <c r="M12" s="222">
        <v>206.4</v>
      </c>
      <c r="N12" s="222">
        <v>0</v>
      </c>
      <c r="O12" s="222">
        <v>48.580000000000005</v>
      </c>
      <c r="P12" s="222">
        <v>6</v>
      </c>
      <c r="Q12" s="222">
        <v>0</v>
      </c>
      <c r="R12" s="222">
        <v>0</v>
      </c>
      <c r="S12" s="222">
        <v>0</v>
      </c>
      <c r="T12" s="222">
        <v>160.97</v>
      </c>
      <c r="U12" s="222">
        <v>0</v>
      </c>
      <c r="V12" s="222">
        <v>60</v>
      </c>
      <c r="W12" s="222">
        <v>550</v>
      </c>
      <c r="X12" s="223">
        <v>0</v>
      </c>
      <c r="Y12" s="54"/>
    </row>
    <row r="13" spans="1:25" x14ac:dyDescent="0.25">
      <c r="A13" s="220">
        <v>43556</v>
      </c>
      <c r="B13" s="221">
        <v>239.00000000000003</v>
      </c>
      <c r="C13" s="222">
        <v>0</v>
      </c>
      <c r="D13" s="222">
        <v>24.5</v>
      </c>
      <c r="E13" s="222">
        <v>28.8</v>
      </c>
      <c r="F13" s="222">
        <v>30</v>
      </c>
      <c r="G13" s="222">
        <v>18</v>
      </c>
      <c r="H13" s="222">
        <v>144.04</v>
      </c>
      <c r="I13" s="222">
        <v>154.74</v>
      </c>
      <c r="J13" s="222">
        <v>81</v>
      </c>
      <c r="K13" s="222">
        <v>25</v>
      </c>
      <c r="L13" s="222">
        <v>76.89</v>
      </c>
      <c r="M13" s="222">
        <v>211.15</v>
      </c>
      <c r="N13" s="222">
        <v>135</v>
      </c>
      <c r="O13" s="222">
        <v>111.08</v>
      </c>
      <c r="P13" s="222">
        <v>0</v>
      </c>
      <c r="Q13" s="222">
        <v>5.1000000000000014</v>
      </c>
      <c r="R13" s="222">
        <v>0</v>
      </c>
      <c r="S13" s="222">
        <v>0</v>
      </c>
      <c r="T13" s="222">
        <v>40.299999999999997</v>
      </c>
      <c r="U13" s="222">
        <v>0</v>
      </c>
      <c r="V13" s="222">
        <v>0</v>
      </c>
      <c r="W13" s="222">
        <v>550</v>
      </c>
      <c r="X13" s="223">
        <v>45</v>
      </c>
      <c r="Y13" s="54"/>
    </row>
    <row r="14" spans="1:25" x14ac:dyDescent="0.25">
      <c r="A14" s="220">
        <v>43586</v>
      </c>
      <c r="B14" s="221">
        <v>247.62</v>
      </c>
      <c r="C14" s="222">
        <v>51.699999999999996</v>
      </c>
      <c r="D14" s="222">
        <v>2.5</v>
      </c>
      <c r="E14" s="222">
        <v>14</v>
      </c>
      <c r="F14" s="222">
        <v>20</v>
      </c>
      <c r="G14" s="222">
        <v>20.3</v>
      </c>
      <c r="H14" s="222">
        <v>169.41</v>
      </c>
      <c r="I14" s="222">
        <v>1.79</v>
      </c>
      <c r="J14" s="222">
        <v>8</v>
      </c>
      <c r="K14" s="222">
        <v>25</v>
      </c>
      <c r="L14" s="222">
        <v>76.89</v>
      </c>
      <c r="M14" s="222">
        <v>206.4</v>
      </c>
      <c r="N14" s="222">
        <v>135</v>
      </c>
      <c r="O14" s="222">
        <v>126.41</v>
      </c>
      <c r="P14" s="222">
        <v>0</v>
      </c>
      <c r="Q14" s="222">
        <v>0</v>
      </c>
      <c r="R14" s="222">
        <v>0</v>
      </c>
      <c r="S14" s="222">
        <v>0</v>
      </c>
      <c r="T14" s="222">
        <v>367.59</v>
      </c>
      <c r="U14" s="222">
        <v>0</v>
      </c>
      <c r="V14" s="222">
        <v>350</v>
      </c>
      <c r="W14" s="222">
        <v>550</v>
      </c>
      <c r="X14" s="223">
        <v>0</v>
      </c>
      <c r="Y14" s="54"/>
    </row>
    <row r="15" spans="1:25" x14ac:dyDescent="0.25">
      <c r="A15" s="220">
        <v>43617</v>
      </c>
      <c r="B15" s="221">
        <v>333.55999999999995</v>
      </c>
      <c r="C15" s="222">
        <v>30.799999999999997</v>
      </c>
      <c r="D15" s="222">
        <v>44</v>
      </c>
      <c r="E15" s="222">
        <v>46.480000000000004</v>
      </c>
      <c r="F15" s="222">
        <v>20</v>
      </c>
      <c r="G15" s="222">
        <v>11.3</v>
      </c>
      <c r="H15" s="222">
        <v>139.20000000000002</v>
      </c>
      <c r="I15" s="222">
        <v>172.75</v>
      </c>
      <c r="J15" s="222">
        <v>0</v>
      </c>
      <c r="K15" s="222">
        <v>25</v>
      </c>
      <c r="L15" s="222">
        <v>76.89</v>
      </c>
      <c r="M15" s="222">
        <v>0</v>
      </c>
      <c r="N15" s="222">
        <v>135</v>
      </c>
      <c r="O15" s="222">
        <v>195.21</v>
      </c>
      <c r="P15" s="222">
        <v>0</v>
      </c>
      <c r="Q15" s="222">
        <v>0</v>
      </c>
      <c r="R15" s="222">
        <v>0</v>
      </c>
      <c r="S15" s="222">
        <v>0</v>
      </c>
      <c r="T15" s="222">
        <v>9.61</v>
      </c>
      <c r="U15" s="222">
        <v>0</v>
      </c>
      <c r="V15" s="222">
        <v>0</v>
      </c>
      <c r="W15" s="222">
        <v>550</v>
      </c>
      <c r="X15" s="223">
        <v>0</v>
      </c>
      <c r="Y15" s="54"/>
    </row>
    <row r="16" spans="1:25" x14ac:dyDescent="0.25">
      <c r="A16" s="220">
        <v>43647</v>
      </c>
      <c r="B16" s="221">
        <v>226.6</v>
      </c>
      <c r="C16" s="222">
        <v>17.899999999999999</v>
      </c>
      <c r="D16" s="222">
        <v>3.8</v>
      </c>
      <c r="E16" s="222">
        <v>41.7</v>
      </c>
      <c r="F16" s="222">
        <v>30</v>
      </c>
      <c r="G16" s="222">
        <v>6.5</v>
      </c>
      <c r="H16" s="222">
        <v>155.08999999999997</v>
      </c>
      <c r="I16" s="222">
        <v>0</v>
      </c>
      <c r="J16" s="222">
        <v>0</v>
      </c>
      <c r="K16" s="222">
        <v>25</v>
      </c>
      <c r="L16" s="222">
        <v>76.89</v>
      </c>
      <c r="M16" s="222">
        <v>103.2</v>
      </c>
      <c r="N16" s="222">
        <v>80</v>
      </c>
      <c r="O16" s="222">
        <v>111.11</v>
      </c>
      <c r="P16" s="222">
        <v>0</v>
      </c>
      <c r="Q16" s="222">
        <v>0</v>
      </c>
      <c r="R16" s="222">
        <v>0</v>
      </c>
      <c r="S16" s="222">
        <v>0</v>
      </c>
      <c r="T16" s="222">
        <v>91.679999999999993</v>
      </c>
      <c r="U16" s="222">
        <v>14.36</v>
      </c>
      <c r="V16" s="222">
        <v>0</v>
      </c>
      <c r="W16" s="222">
        <v>550</v>
      </c>
      <c r="X16" s="223">
        <v>50</v>
      </c>
      <c r="Y16" s="54"/>
    </row>
    <row r="17" spans="1:25" x14ac:dyDescent="0.25">
      <c r="A17" s="220">
        <v>43678</v>
      </c>
      <c r="B17" s="221">
        <v>305.8</v>
      </c>
      <c r="C17" s="222">
        <v>0</v>
      </c>
      <c r="D17" s="222">
        <v>9</v>
      </c>
      <c r="E17" s="222">
        <v>58.379999999999995</v>
      </c>
      <c r="F17" s="222">
        <v>50</v>
      </c>
      <c r="G17" s="222">
        <v>26.99</v>
      </c>
      <c r="H17" s="222">
        <v>101.65</v>
      </c>
      <c r="I17" s="222">
        <v>150</v>
      </c>
      <c r="J17" s="222">
        <v>0</v>
      </c>
      <c r="K17" s="222">
        <v>10</v>
      </c>
      <c r="L17" s="222">
        <v>76.89</v>
      </c>
      <c r="M17" s="222">
        <v>206.4</v>
      </c>
      <c r="N17" s="222">
        <v>135</v>
      </c>
      <c r="O17" s="222">
        <v>145.82</v>
      </c>
      <c r="P17" s="222">
        <v>0</v>
      </c>
      <c r="Q17" s="222">
        <v>2.7</v>
      </c>
      <c r="R17" s="222">
        <v>0</v>
      </c>
      <c r="S17" s="222">
        <v>0</v>
      </c>
      <c r="T17" s="222">
        <v>20.399999999999999</v>
      </c>
      <c r="U17" s="222">
        <v>0</v>
      </c>
      <c r="V17" s="222">
        <v>0</v>
      </c>
      <c r="W17" s="222">
        <v>550</v>
      </c>
      <c r="X17" s="223">
        <v>0</v>
      </c>
      <c r="Y17" s="54"/>
    </row>
    <row r="18" spans="1:25" x14ac:dyDescent="0.25">
      <c r="A18" s="220">
        <v>43709</v>
      </c>
      <c r="B18" s="221">
        <v>268.51000000000005</v>
      </c>
      <c r="C18" s="222">
        <v>13.45</v>
      </c>
      <c r="D18" s="222">
        <v>8.5</v>
      </c>
      <c r="E18" s="222">
        <v>64.760000000000005</v>
      </c>
      <c r="F18" s="222">
        <v>27.3</v>
      </c>
      <c r="G18" s="222">
        <v>14.99</v>
      </c>
      <c r="H18" s="222">
        <v>123.09</v>
      </c>
      <c r="I18" s="222">
        <v>9.34</v>
      </c>
      <c r="J18" s="222">
        <v>46.5</v>
      </c>
      <c r="K18" s="222">
        <v>20</v>
      </c>
      <c r="L18" s="222">
        <v>76.89</v>
      </c>
      <c r="M18" s="222">
        <v>211.20000000000002</v>
      </c>
      <c r="N18" s="222">
        <v>135</v>
      </c>
      <c r="O18" s="222">
        <v>209.28999999999996</v>
      </c>
      <c r="P18" s="222">
        <v>0</v>
      </c>
      <c r="Q18" s="222">
        <v>0</v>
      </c>
      <c r="R18" s="222">
        <v>3.05</v>
      </c>
      <c r="S18" s="222">
        <v>0</v>
      </c>
      <c r="T18" s="222">
        <v>49.85</v>
      </c>
      <c r="U18" s="222">
        <v>18.899999999999999</v>
      </c>
      <c r="V18" s="222">
        <v>0</v>
      </c>
      <c r="W18" s="222">
        <v>550</v>
      </c>
      <c r="X18" s="223">
        <v>45</v>
      </c>
      <c r="Y18" s="54"/>
    </row>
    <row r="19" spans="1:25" x14ac:dyDescent="0.25">
      <c r="A19" s="224" t="s">
        <v>206</v>
      </c>
      <c r="B19" s="225">
        <v>3436.4700000000003</v>
      </c>
      <c r="C19" s="226">
        <v>442.01</v>
      </c>
      <c r="D19" s="226">
        <v>137.07999999999998</v>
      </c>
      <c r="E19" s="226">
        <v>385</v>
      </c>
      <c r="F19" s="226">
        <v>463.3</v>
      </c>
      <c r="G19" s="226">
        <v>211.19000000000005</v>
      </c>
      <c r="H19" s="226">
        <v>1855.63</v>
      </c>
      <c r="I19" s="226">
        <v>1465.32</v>
      </c>
      <c r="J19" s="226">
        <v>566.67000000000007</v>
      </c>
      <c r="K19" s="226">
        <v>323</v>
      </c>
      <c r="L19" s="226">
        <v>1080.4099999999999</v>
      </c>
      <c r="M19" s="226">
        <v>2224.2500000000005</v>
      </c>
      <c r="N19" s="226">
        <v>994.45</v>
      </c>
      <c r="O19" s="226">
        <v>1198.1099999999999</v>
      </c>
      <c r="P19" s="226">
        <v>95.08</v>
      </c>
      <c r="Q19" s="226">
        <v>102.10000000000001</v>
      </c>
      <c r="R19" s="226">
        <v>75.05</v>
      </c>
      <c r="S19" s="226">
        <v>0</v>
      </c>
      <c r="T19" s="226">
        <v>1201.96</v>
      </c>
      <c r="U19" s="226">
        <v>171.54999999999998</v>
      </c>
      <c r="V19" s="226">
        <v>499.89</v>
      </c>
      <c r="W19" s="226">
        <v>7889.85</v>
      </c>
      <c r="X19" s="227">
        <v>284.38</v>
      </c>
      <c r="Y19" s="54"/>
    </row>
    <row r="20" spans="1:25" x14ac:dyDescent="0.25">
      <c r="A20" s="8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spans="1:25" ht="15.75" customHeight="1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spans="1:25" ht="15.75" customHeight="1" x14ac:dyDescent="0.25">
      <c r="A22" s="54"/>
      <c r="B22" s="54">
        <f t="shared" ref="B22:X22" si="0">AVERAGE(B5:B19)</f>
        <v>458.19600000000003</v>
      </c>
      <c r="C22" s="54">
        <f t="shared" si="0"/>
        <v>58.934666666666665</v>
      </c>
      <c r="D22" s="54">
        <f t="shared" si="0"/>
        <v>18.277333333333331</v>
      </c>
      <c r="E22" s="54">
        <f t="shared" si="0"/>
        <v>51.333333333333336</v>
      </c>
      <c r="F22" s="54">
        <f t="shared" si="0"/>
        <v>61.773333333333333</v>
      </c>
      <c r="G22" s="54">
        <f t="shared" si="0"/>
        <v>28.158666666666672</v>
      </c>
      <c r="H22" s="54">
        <f t="shared" si="0"/>
        <v>247.41733333333335</v>
      </c>
      <c r="I22" s="54">
        <f t="shared" si="0"/>
        <v>195.376</v>
      </c>
      <c r="J22" s="54">
        <f t="shared" si="0"/>
        <v>75.556000000000012</v>
      </c>
      <c r="K22" s="54">
        <f t="shared" si="0"/>
        <v>43.06666666666667</v>
      </c>
      <c r="L22" s="54">
        <f t="shared" si="0"/>
        <v>144.05466666666663</v>
      </c>
      <c r="M22" s="54">
        <f t="shared" si="0"/>
        <v>296.56666666666672</v>
      </c>
      <c r="N22" s="54">
        <f t="shared" si="0"/>
        <v>132.59333333333333</v>
      </c>
      <c r="O22" s="54">
        <f t="shared" si="0"/>
        <v>159.74799999999999</v>
      </c>
      <c r="P22" s="54">
        <f t="shared" si="0"/>
        <v>12.677333333333333</v>
      </c>
      <c r="Q22" s="54">
        <f t="shared" si="0"/>
        <v>13.613333333333335</v>
      </c>
      <c r="R22" s="54">
        <f t="shared" si="0"/>
        <v>10.006666666666666</v>
      </c>
      <c r="S22" s="54">
        <f t="shared" si="0"/>
        <v>0</v>
      </c>
      <c r="T22" s="54">
        <f t="shared" si="0"/>
        <v>160.26133333333334</v>
      </c>
      <c r="U22" s="54">
        <f t="shared" si="0"/>
        <v>22.873333333333331</v>
      </c>
      <c r="V22" s="54">
        <f t="shared" si="0"/>
        <v>66.652000000000001</v>
      </c>
      <c r="W22" s="54">
        <f t="shared" si="0"/>
        <v>1051.98</v>
      </c>
      <c r="X22" s="54">
        <f t="shared" si="0"/>
        <v>37.917333333333332</v>
      </c>
      <c r="Y22" s="54"/>
    </row>
    <row r="23" spans="1:25" ht="15.75" customHeight="1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spans="1:25" ht="15.75" customHeight="1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spans="1:25" ht="15.75" customHeight="1" x14ac:dyDescent="0.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spans="1:25" ht="15.75" customHeight="1" x14ac:dyDescent="0.2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spans="1:25" ht="15.75" customHeight="1" x14ac:dyDescent="0.2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spans="1:25" ht="15.75" customHeight="1" x14ac:dyDescent="0.25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spans="1:25" ht="15.75" customHeight="1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spans="1:25" ht="15.7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spans="1:25" ht="15.75" customHeight="1" x14ac:dyDescent="0.25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spans="1:25" ht="15.75" customHeight="1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spans="1:25" ht="15.75" customHeight="1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spans="1:25" ht="15.75" customHeight="1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spans="1:25" ht="15.75" customHeight="1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  <row r="36" spans="1:25" ht="15.75" customHeight="1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</row>
    <row r="37" spans="1:25" ht="15.75" customHeight="1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spans="1:25" ht="15.75" customHeight="1" x14ac:dyDescent="0.25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</row>
    <row r="39" spans="1:25" ht="15.75" customHeight="1" x14ac:dyDescent="0.25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  <row r="40" spans="1:25" ht="15.75" customHeight="1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</row>
    <row r="41" spans="1:25" ht="15.75" customHeight="1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</row>
    <row r="42" spans="1:25" ht="15.75" customHeight="1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</row>
    <row r="43" spans="1:25" ht="15.75" customHeight="1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</row>
    <row r="44" spans="1:25" ht="15.75" customHeight="1" x14ac:dyDescent="0.25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</row>
    <row r="45" spans="1:25" ht="15.75" customHeight="1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</row>
    <row r="46" spans="1:25" ht="15.75" customHeight="1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</row>
    <row r="47" spans="1:25" ht="15.75" customHeight="1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</row>
    <row r="48" spans="1:25" ht="15.75" customHeight="1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spans="1:25" ht="15.75" customHeight="1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</row>
    <row r="50" spans="1:25" ht="15.75" customHeight="1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</row>
    <row r="51" spans="1:25" ht="15.75" customHeight="1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</row>
    <row r="52" spans="1:25" ht="15.75" customHeight="1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</row>
    <row r="53" spans="1:25" ht="15.75" customHeight="1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</row>
    <row r="54" spans="1:25" ht="15.75" customHeight="1" x14ac:dyDescent="0.25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</row>
    <row r="55" spans="1:25" ht="15.75" customHeight="1" x14ac:dyDescent="0.2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</row>
    <row r="56" spans="1:25" ht="15.75" customHeight="1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</row>
    <row r="57" spans="1:25" ht="15.75" customHeight="1" x14ac:dyDescent="0.25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 spans="1:25" ht="15.75" customHeight="1" x14ac:dyDescent="0.25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</row>
    <row r="59" spans="1:25" ht="15.7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spans="1:25" ht="15.75" customHeight="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  <row r="61" spans="1:25" ht="15.75" customHeight="1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</row>
    <row r="62" spans="1:25" ht="15.75" customHeight="1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</row>
    <row r="63" spans="1:25" ht="15.75" customHeight="1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</row>
    <row r="64" spans="1:25" ht="15.75" customHeight="1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</row>
    <row r="65" spans="1:25" ht="15.75" customHeight="1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</row>
    <row r="66" spans="1:25" ht="15.75" customHeight="1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</row>
    <row r="67" spans="1:25" ht="15.7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</row>
    <row r="68" spans="1:25" ht="15.75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</row>
    <row r="69" spans="1:25" ht="15.75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</row>
    <row r="70" spans="1:25" ht="15.75" customHeight="1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</row>
    <row r="71" spans="1:25" ht="15.75" customHeight="1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</row>
    <row r="72" spans="1:25" ht="15.75" customHeight="1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</row>
    <row r="73" spans="1:25" ht="15.75" customHeight="1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</row>
    <row r="74" spans="1:25" ht="15.75" customHeight="1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</row>
    <row r="75" spans="1:25" ht="15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</row>
    <row r="76" spans="1:25" ht="15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spans="1:25" ht="15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pans="1:25" ht="15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</row>
    <row r="79" spans="1:25" ht="15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</row>
    <row r="80" spans="1:25" ht="15.75" customHeight="1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</row>
    <row r="81" spans="1:25" ht="15.75" customHeight="1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</row>
    <row r="82" spans="1:25" ht="15.75" customHeight="1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</row>
    <row r="83" spans="1:25" ht="15.75" customHeight="1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</row>
    <row r="84" spans="1:25" ht="15.75" customHeight="1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</row>
    <row r="85" spans="1:25" ht="15.75" customHeight="1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</row>
    <row r="86" spans="1:25" ht="15.75" customHeight="1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</row>
    <row r="87" spans="1:25" ht="15.75" customHeight="1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</row>
    <row r="88" spans="1:25" ht="15.75" customHeight="1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</row>
    <row r="89" spans="1:25" ht="15.75" customHeight="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</row>
    <row r="90" spans="1:25" ht="15.75" customHeight="1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</row>
    <row r="91" spans="1:25" ht="15.75" customHeight="1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</row>
    <row r="92" spans="1:25" ht="15.75" customHeight="1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</row>
    <row r="93" spans="1:25" ht="15.75" customHeight="1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</row>
    <row r="94" spans="1:25" ht="15.75" customHeight="1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</row>
    <row r="95" spans="1:25" ht="15.75" customHeight="1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</row>
    <row r="96" spans="1:25" ht="15.75" customHeight="1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</row>
    <row r="97" spans="1:25" ht="15.75" customHeight="1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</row>
    <row r="98" spans="1:25" ht="15.75" customHeight="1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</row>
    <row r="99" spans="1:25" ht="15.75" customHeight="1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</row>
    <row r="100" spans="1:25" ht="15.75" customHeight="1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</row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showGridLines="0" workbookViewId="0"/>
  </sheetViews>
  <sheetFormatPr defaultColWidth="14.42578125" defaultRowHeight="15" customHeight="1" x14ac:dyDescent="0.25"/>
  <cols>
    <col min="1" max="2" width="9.140625" customWidth="1"/>
    <col min="3" max="3" width="18.42578125" customWidth="1"/>
    <col min="4" max="6" width="7" customWidth="1"/>
    <col min="7" max="7" width="7.140625" customWidth="1"/>
    <col min="8" max="9" width="7" customWidth="1"/>
    <col min="10" max="10" width="6.7109375" customWidth="1"/>
    <col min="11" max="11" width="7.28515625" customWidth="1"/>
    <col min="12" max="12" width="7" customWidth="1"/>
    <col min="13" max="13" width="7.140625" customWidth="1"/>
    <col min="14" max="17" width="7" customWidth="1"/>
    <col min="18" max="18" width="7.7109375" customWidth="1"/>
    <col min="19" max="19" width="18.42578125" customWidth="1"/>
    <col min="20" max="20" width="8.140625" customWidth="1"/>
    <col min="21" max="21" width="8" customWidth="1"/>
    <col min="22" max="22" width="10.42578125" customWidth="1"/>
    <col min="23" max="23" width="22.85546875" customWidth="1"/>
    <col min="24" max="24" width="13" customWidth="1"/>
    <col min="25" max="25" width="7" customWidth="1"/>
    <col min="26" max="26" width="17.42578125" customWidth="1"/>
  </cols>
  <sheetData>
    <row r="1" spans="1:26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7.25" x14ac:dyDescent="0.3">
      <c r="A2" s="54"/>
      <c r="B2" s="54"/>
      <c r="C2" s="190" t="s">
        <v>162</v>
      </c>
      <c r="D2" s="191">
        <v>43313</v>
      </c>
      <c r="E2" s="191">
        <v>43344</v>
      </c>
      <c r="F2" s="191">
        <v>43374</v>
      </c>
      <c r="G2" s="191">
        <v>43405</v>
      </c>
      <c r="H2" s="191">
        <v>43435</v>
      </c>
      <c r="I2" s="191">
        <v>43466</v>
      </c>
      <c r="J2" s="191">
        <v>43497</v>
      </c>
      <c r="K2" s="191">
        <v>43525</v>
      </c>
      <c r="L2" s="191">
        <v>43556</v>
      </c>
      <c r="M2" s="191">
        <v>43586</v>
      </c>
      <c r="N2" s="191">
        <v>43617</v>
      </c>
      <c r="O2" s="191">
        <v>43647</v>
      </c>
      <c r="P2" s="191">
        <v>43678</v>
      </c>
      <c r="Q2" s="191">
        <v>43709</v>
      </c>
      <c r="R2" s="54"/>
      <c r="S2" s="54"/>
      <c r="T2" s="54"/>
      <c r="U2" s="54"/>
      <c r="V2" s="54"/>
      <c r="W2" s="54"/>
      <c r="X2" s="54"/>
      <c r="Y2" s="54"/>
      <c r="Z2" s="54"/>
    </row>
    <row r="3" spans="1:26" x14ac:dyDescent="0.25">
      <c r="A3" s="54"/>
      <c r="B3" s="54"/>
      <c r="C3" s="86" t="s">
        <v>20</v>
      </c>
      <c r="D3" s="54">
        <f>('Ago2018'!C7)*-1</f>
        <v>345.37</v>
      </c>
      <c r="E3" s="54">
        <f>('Set2018'!C7)*-1</f>
        <v>146.32999999999998</v>
      </c>
      <c r="F3" s="54">
        <f>('Out2018'!C7)*-1</f>
        <v>127.72</v>
      </c>
      <c r="G3" s="54">
        <f>('Nov2018'!C7)*-1</f>
        <v>319.38</v>
      </c>
      <c r="H3" s="54">
        <f>('Dez2018'!$C7)*-1</f>
        <v>271.75</v>
      </c>
      <c r="I3" s="54">
        <f>('Jan2019'!C8)*-1</f>
        <v>190.19</v>
      </c>
      <c r="J3" s="54">
        <f>('Fev2019'!C8)*-1</f>
        <v>150.9</v>
      </c>
      <c r="K3" s="54">
        <f>('Mar2019'!C8)*-1</f>
        <v>263.74</v>
      </c>
      <c r="L3" s="54">
        <f>(Abril2019!C8)*-1</f>
        <v>239.00000000000003</v>
      </c>
      <c r="M3" s="54">
        <f>(Maio2019!C8)*-1</f>
        <v>247.62</v>
      </c>
      <c r="N3" s="54">
        <f>('Jun2019'!C8)*-1</f>
        <v>333.55999999999995</v>
      </c>
      <c r="O3" s="54">
        <f>('Jul2019'!$C8)*-1</f>
        <v>226.6</v>
      </c>
      <c r="P3" s="54">
        <f>('Ago2019'!C8)*-1</f>
        <v>305.8</v>
      </c>
      <c r="Q3" s="54">
        <f>('Set2019'!C8)*-1</f>
        <v>268.51000000000005</v>
      </c>
      <c r="R3" s="54"/>
      <c r="S3" s="192" t="s">
        <v>20</v>
      </c>
      <c r="T3" s="193">
        <f t="shared" ref="T3:T25" si="0">AVERAGE(D3:Q3)*-1</f>
        <v>-245.46214285714288</v>
      </c>
      <c r="U3" s="194">
        <f t="shared" ref="U3:U25" si="1">SUM(D3:Q3)</f>
        <v>3436.4700000000003</v>
      </c>
      <c r="V3" s="54"/>
      <c r="W3" s="195" t="s">
        <v>72</v>
      </c>
      <c r="X3" s="196">
        <f t="shared" ref="X3:X23" si="2">VLOOKUP(W3,$S$3:$U$25,2,FALSE)</f>
        <v>-563.56071428571431</v>
      </c>
      <c r="Y3" s="54"/>
      <c r="Z3" s="54"/>
    </row>
    <row r="4" spans="1:26" x14ac:dyDescent="0.25">
      <c r="A4" s="54"/>
      <c r="B4" s="54"/>
      <c r="C4" s="86" t="s">
        <v>21</v>
      </c>
      <c r="D4" s="54">
        <f>('Ago2018'!C8)*-1</f>
        <v>16.899999999999999</v>
      </c>
      <c r="E4" s="54">
        <f>('Set2018'!C8)*-1</f>
        <v>16.899999999999999</v>
      </c>
      <c r="F4" s="54">
        <f>('Out2018'!C8)*-1</f>
        <v>55.15</v>
      </c>
      <c r="G4" s="54">
        <f>('Nov2018'!C8)*-1</f>
        <v>80.5</v>
      </c>
      <c r="H4" s="54">
        <f>('Dez2018'!$C8)*-1</f>
        <v>43.629999999999995</v>
      </c>
      <c r="I4" s="54">
        <f>('Jan2019'!C9)*-1</f>
        <v>47.03</v>
      </c>
      <c r="J4" s="54">
        <f>('Fev2019'!C9)*-1</f>
        <v>39.25</v>
      </c>
      <c r="K4" s="54">
        <f>('Mar2019'!C9)*-1</f>
        <v>28.799999999999997</v>
      </c>
      <c r="L4" s="54">
        <f>(Abril2019!C9)*-1</f>
        <v>0</v>
      </c>
      <c r="M4" s="54">
        <f>(Maio2019!C9)*-1</f>
        <v>51.699999999999996</v>
      </c>
      <c r="N4" s="54">
        <f>('Jun2019'!C9)*-1</f>
        <v>30.799999999999997</v>
      </c>
      <c r="O4" s="54">
        <f>('Jul2019'!$C9)*-1</f>
        <v>17.899999999999999</v>
      </c>
      <c r="P4" s="54">
        <f>('Ago2019'!C9)*-1</f>
        <v>0</v>
      </c>
      <c r="Q4" s="54">
        <f>('Set2019'!C9)*-1</f>
        <v>13.45</v>
      </c>
      <c r="R4" s="54"/>
      <c r="S4" s="197" t="s">
        <v>21</v>
      </c>
      <c r="T4" s="28">
        <f t="shared" si="0"/>
        <v>-31.572142857142858</v>
      </c>
      <c r="U4" s="198">
        <f t="shared" si="1"/>
        <v>442.01</v>
      </c>
      <c r="V4" s="54"/>
      <c r="W4" s="145" t="s">
        <v>29</v>
      </c>
      <c r="X4" s="199">
        <f t="shared" si="2"/>
        <v>-77.172142857142845</v>
      </c>
      <c r="Y4" s="54"/>
      <c r="Z4" s="54"/>
    </row>
    <row r="5" spans="1:26" x14ac:dyDescent="0.25">
      <c r="A5" s="54"/>
      <c r="B5" s="54"/>
      <c r="C5" s="86" t="s">
        <v>91</v>
      </c>
      <c r="D5" s="54">
        <v>0</v>
      </c>
      <c r="E5" s="54">
        <v>0</v>
      </c>
      <c r="F5" s="54">
        <v>0</v>
      </c>
      <c r="G5" s="54">
        <v>0</v>
      </c>
      <c r="H5" s="54">
        <f>('Dez2018'!$C9)*-1</f>
        <v>40.98</v>
      </c>
      <c r="I5" s="54">
        <f>('Jan2019'!C10)*-1</f>
        <v>3.8</v>
      </c>
      <c r="J5" s="54">
        <f>('Fev2019'!C10)*-1</f>
        <v>0</v>
      </c>
      <c r="K5" s="54">
        <f>('Mar2019'!C10)*-1</f>
        <v>0</v>
      </c>
      <c r="L5" s="54">
        <f>(Abril2019!C10)*-1</f>
        <v>24.5</v>
      </c>
      <c r="M5" s="54">
        <f>(Maio2019!C10)*-1</f>
        <v>2.5</v>
      </c>
      <c r="N5" s="54">
        <f>('Jun2019'!C10)*-1</f>
        <v>44</v>
      </c>
      <c r="O5" s="54">
        <f>('Jul2019'!$C10)*-1</f>
        <v>3.8</v>
      </c>
      <c r="P5" s="54">
        <f>('Ago2019'!C10)*-1</f>
        <v>9</v>
      </c>
      <c r="Q5" s="54">
        <f>('Set2019'!C10)*-1</f>
        <v>8.5</v>
      </c>
      <c r="R5" s="54"/>
      <c r="S5" s="197" t="s">
        <v>91</v>
      </c>
      <c r="T5" s="28">
        <f t="shared" si="0"/>
        <v>-9.79142857142857</v>
      </c>
      <c r="U5" s="198">
        <f t="shared" si="1"/>
        <v>137.07999999999998</v>
      </c>
      <c r="V5" s="54"/>
      <c r="W5" s="145" t="s">
        <v>24</v>
      </c>
      <c r="X5" s="199">
        <f t="shared" si="2"/>
        <v>-132.54500000000002</v>
      </c>
      <c r="Y5" s="54"/>
      <c r="Z5" s="54"/>
    </row>
    <row r="6" spans="1:26" x14ac:dyDescent="0.25">
      <c r="A6" s="54"/>
      <c r="B6" s="54"/>
      <c r="C6" s="86" t="s">
        <v>22</v>
      </c>
      <c r="D6" s="54">
        <f>('Ago2018'!C9)*-1</f>
        <v>25.75</v>
      </c>
      <c r="E6" s="54">
        <f>('Set2018'!C9)*-1</f>
        <v>14.5</v>
      </c>
      <c r="F6" s="54">
        <f>('Out2018'!C9)*-1</f>
        <v>8.5</v>
      </c>
      <c r="G6" s="54">
        <f>('Nov2018'!C9)*-1</f>
        <v>29.9</v>
      </c>
      <c r="H6" s="54">
        <f>('Dez2018'!$C10)*-1</f>
        <v>22.5</v>
      </c>
      <c r="I6" s="54">
        <f>('Jan2019'!C11)*-1</f>
        <v>12.23</v>
      </c>
      <c r="J6" s="54">
        <f>('Fev2019'!C11)*-1</f>
        <v>9</v>
      </c>
      <c r="K6" s="54">
        <f>('Mar2019'!C11)*-1</f>
        <v>8.5</v>
      </c>
      <c r="L6" s="54">
        <f>(Abril2019!C11)*-1</f>
        <v>28.8</v>
      </c>
      <c r="M6" s="54">
        <f>(Maio2019!C11)*-1</f>
        <v>14</v>
      </c>
      <c r="N6" s="54">
        <f>('Jun2019'!C11)*-1</f>
        <v>46.480000000000004</v>
      </c>
      <c r="O6" s="54">
        <f>('Jul2019'!$C11)*-1</f>
        <v>41.7</v>
      </c>
      <c r="P6" s="54">
        <f>('Ago2019'!C11)*-1</f>
        <v>58.379999999999995</v>
      </c>
      <c r="Q6" s="54">
        <f>('Set2019'!C11)*-1</f>
        <v>64.760000000000005</v>
      </c>
      <c r="R6" s="54"/>
      <c r="S6" s="197" t="s">
        <v>22</v>
      </c>
      <c r="T6" s="28">
        <f t="shared" si="0"/>
        <v>-27.5</v>
      </c>
      <c r="U6" s="198">
        <f t="shared" si="1"/>
        <v>385</v>
      </c>
      <c r="V6" s="54"/>
      <c r="W6" s="145" t="s">
        <v>31</v>
      </c>
      <c r="X6" s="199">
        <f t="shared" si="2"/>
        <v>-158.87500000000003</v>
      </c>
      <c r="Y6" s="54"/>
      <c r="Z6" s="54"/>
    </row>
    <row r="7" spans="1:26" x14ac:dyDescent="0.25">
      <c r="A7" s="54"/>
      <c r="B7" s="54"/>
      <c r="C7" s="86" t="s">
        <v>23</v>
      </c>
      <c r="D7" s="54">
        <f>('Ago2018'!C10)*-1</f>
        <v>26.8</v>
      </c>
      <c r="E7" s="54">
        <f>('Set2018'!C10)*-1</f>
        <v>18.3</v>
      </c>
      <c r="F7" s="54">
        <f>('Out2018'!C10)*-1</f>
        <v>8.5</v>
      </c>
      <c r="G7" s="54">
        <f>('Nov2018'!C10)*-1</f>
        <v>4.5</v>
      </c>
      <c r="H7" s="54">
        <f>('Dez2018'!$C11)*-1</f>
        <v>9.5399999999999991</v>
      </c>
      <c r="I7" s="54">
        <f>('Jan2019'!C12)*-1</f>
        <v>15.47</v>
      </c>
      <c r="J7" s="54">
        <f>('Fev2019'!C12)*-1</f>
        <v>8.5</v>
      </c>
      <c r="K7" s="54">
        <f>('Mar2019'!C12)*-1</f>
        <v>21.5</v>
      </c>
      <c r="L7" s="54">
        <f>(Abril2019!C12)*-1</f>
        <v>18</v>
      </c>
      <c r="M7" s="54">
        <f>(Maio2019!C12)*-1</f>
        <v>20.3</v>
      </c>
      <c r="N7" s="54">
        <f>('Jun2019'!C12)*-1</f>
        <v>11.3</v>
      </c>
      <c r="O7" s="54">
        <f>('Jul2019'!$C12)*-1</f>
        <v>6.5</v>
      </c>
      <c r="P7" s="54">
        <f>('Ago2019'!C12)*-1</f>
        <v>26.99</v>
      </c>
      <c r="Q7" s="54">
        <f>('Set2019'!C12)*-1</f>
        <v>14.99</v>
      </c>
      <c r="R7" s="54"/>
      <c r="S7" s="197" t="s">
        <v>23</v>
      </c>
      <c r="T7" s="28">
        <f t="shared" si="0"/>
        <v>-15.085000000000004</v>
      </c>
      <c r="U7" s="198">
        <f t="shared" si="1"/>
        <v>211.19000000000005</v>
      </c>
      <c r="V7" s="54"/>
      <c r="W7" s="145" t="s">
        <v>32</v>
      </c>
      <c r="X7" s="199">
        <f t="shared" si="2"/>
        <v>-71.032142857142858</v>
      </c>
      <c r="Y7" s="54"/>
      <c r="Z7" s="54"/>
    </row>
    <row r="8" spans="1:26" x14ac:dyDescent="0.25">
      <c r="A8" s="54"/>
      <c r="B8" s="54"/>
      <c r="C8" s="86" t="s">
        <v>186</v>
      </c>
      <c r="D8" s="54">
        <f>('Ago2018'!C11)*-1</f>
        <v>31</v>
      </c>
      <c r="E8" s="54">
        <f>('Set2018'!C11)*-1</f>
        <v>40</v>
      </c>
      <c r="F8" s="54">
        <f>('Out2018'!C11)*-1</f>
        <v>40</v>
      </c>
      <c r="G8" s="54">
        <f>('Nov2018'!C11)*-1</f>
        <v>20</v>
      </c>
      <c r="H8" s="54">
        <f>('Dez2018'!$C12)*-1</f>
        <v>20</v>
      </c>
      <c r="I8" s="54">
        <f>('Jan2019'!C13)*-1</f>
        <v>20</v>
      </c>
      <c r="J8" s="54">
        <f>('Fev2019'!C13)*-1</f>
        <v>40</v>
      </c>
      <c r="K8" s="54">
        <f>('Mar2019'!C13)*-1</f>
        <v>75</v>
      </c>
      <c r="L8" s="54">
        <f>(Abril2019!C13)*-1</f>
        <v>30</v>
      </c>
      <c r="M8" s="54">
        <f>(Maio2019!C13)*-1</f>
        <v>20</v>
      </c>
      <c r="N8" s="54">
        <f>('Jun2019'!C13)*-1</f>
        <v>20</v>
      </c>
      <c r="O8" s="54">
        <f>('Jul2019'!$C13)*-1</f>
        <v>30</v>
      </c>
      <c r="P8" s="54">
        <f>('Ago2019'!C13)*-1</f>
        <v>50</v>
      </c>
      <c r="Q8" s="54">
        <f>('Set2019'!C13)*-1</f>
        <v>27.3</v>
      </c>
      <c r="R8" s="54"/>
      <c r="S8" s="197" t="s">
        <v>186</v>
      </c>
      <c r="T8" s="28">
        <f t="shared" si="0"/>
        <v>-33.092857142857142</v>
      </c>
      <c r="U8" s="198">
        <f t="shared" si="1"/>
        <v>463.3</v>
      </c>
      <c r="V8" s="54"/>
      <c r="W8" s="145" t="s">
        <v>27</v>
      </c>
      <c r="X8" s="199">
        <f t="shared" si="2"/>
        <v>-104.66571428571429</v>
      </c>
      <c r="Y8" s="54"/>
      <c r="Z8" s="54"/>
    </row>
    <row r="9" spans="1:26" x14ac:dyDescent="0.25">
      <c r="A9" s="54"/>
      <c r="B9" s="54"/>
      <c r="C9" s="86" t="s">
        <v>24</v>
      </c>
      <c r="D9" s="54">
        <f>('Ago2018'!C12)*-1</f>
        <v>80.59</v>
      </c>
      <c r="E9" s="54">
        <f>('Set2018'!C12)*-1</f>
        <v>69.05</v>
      </c>
      <c r="F9" s="54">
        <f>('Out2018'!C12)*-1</f>
        <v>100.22000000000001</v>
      </c>
      <c r="G9" s="54">
        <f>('Nov2018'!C12)*-1</f>
        <v>97.38000000000001</v>
      </c>
      <c r="H9" s="54">
        <f>('Dez2018'!$C13)*-1</f>
        <v>181.48</v>
      </c>
      <c r="I9" s="54">
        <f>('Jan2019'!C14)*-1</f>
        <v>120.59</v>
      </c>
      <c r="J9" s="54">
        <f>('Fev2019'!C14)*-1</f>
        <v>268.5</v>
      </c>
      <c r="K9" s="54">
        <f>('Mar2019'!C14)*-1</f>
        <v>105.34</v>
      </c>
      <c r="L9" s="54">
        <f>(Abril2019!C14)*-1</f>
        <v>144.04</v>
      </c>
      <c r="M9" s="54">
        <f>(Maio2019!C14)*-1</f>
        <v>169.41</v>
      </c>
      <c r="N9" s="54">
        <f>('Jun2019'!C14)*-1</f>
        <v>139.20000000000002</v>
      </c>
      <c r="O9" s="54">
        <f>('Jul2019'!$C14)*-1</f>
        <v>155.08999999999997</v>
      </c>
      <c r="P9" s="54">
        <f>('Ago2019'!C14)*-1</f>
        <v>101.65</v>
      </c>
      <c r="Q9" s="54">
        <f>('Set2019'!C14)*-1</f>
        <v>123.09</v>
      </c>
      <c r="R9" s="54"/>
      <c r="S9" s="197" t="s">
        <v>24</v>
      </c>
      <c r="T9" s="28">
        <f t="shared" si="0"/>
        <v>-132.54500000000002</v>
      </c>
      <c r="U9" s="198">
        <f t="shared" si="1"/>
        <v>1855.63</v>
      </c>
      <c r="V9" s="54"/>
      <c r="W9" s="145" t="s">
        <v>39</v>
      </c>
      <c r="X9" s="199">
        <f t="shared" si="2"/>
        <v>-85.854285714285723</v>
      </c>
      <c r="Y9" s="54"/>
      <c r="Z9" s="54"/>
    </row>
    <row r="10" spans="1:26" x14ac:dyDescent="0.25">
      <c r="A10" s="54"/>
      <c r="B10" s="54"/>
      <c r="C10" s="86" t="s">
        <v>27</v>
      </c>
      <c r="D10" s="54">
        <f>('Ago2018'!C13)*-1</f>
        <v>0</v>
      </c>
      <c r="E10" s="54">
        <f>('Set2018'!C13)*-1</f>
        <v>160</v>
      </c>
      <c r="F10" s="54">
        <f>('Out2018'!C13)*-1</f>
        <v>175.48</v>
      </c>
      <c r="G10" s="54">
        <f>('Nov2018'!C13)*-1</f>
        <v>0</v>
      </c>
      <c r="H10" s="54">
        <f>('Dez2018'!$C14)*-1</f>
        <v>180.69</v>
      </c>
      <c r="I10" s="54">
        <f>('Jan2019'!C15)*-1</f>
        <v>296.73</v>
      </c>
      <c r="J10" s="54">
        <f>('Fev2019'!C15)*-1</f>
        <v>8.89</v>
      </c>
      <c r="K10" s="54">
        <f>('Mar2019'!C15)*-1</f>
        <v>154.91</v>
      </c>
      <c r="L10" s="54">
        <f>(Abril2019!C15)*-1</f>
        <v>154.74</v>
      </c>
      <c r="M10" s="54">
        <f>(Maio2019!C15)*-1</f>
        <v>1.79</v>
      </c>
      <c r="N10" s="54">
        <f>('Jun2019'!C15)*-1</f>
        <v>172.75</v>
      </c>
      <c r="O10" s="54">
        <f>('Jul2019'!$C15)*-1</f>
        <v>0</v>
      </c>
      <c r="P10" s="54">
        <f>('Ago2019'!C15)*-1</f>
        <v>150</v>
      </c>
      <c r="Q10" s="54">
        <f>('Set2019'!C15)*-1</f>
        <v>9.34</v>
      </c>
      <c r="R10" s="54"/>
      <c r="S10" s="197" t="s">
        <v>27</v>
      </c>
      <c r="T10" s="28">
        <f t="shared" si="0"/>
        <v>-104.66571428571429</v>
      </c>
      <c r="U10" s="198">
        <f t="shared" si="1"/>
        <v>1465.32</v>
      </c>
      <c r="V10" s="54"/>
      <c r="W10" s="145" t="s">
        <v>20</v>
      </c>
      <c r="X10" s="199">
        <f t="shared" si="2"/>
        <v>-245.46214285714288</v>
      </c>
      <c r="Y10" s="54"/>
      <c r="Z10" s="54"/>
    </row>
    <row r="11" spans="1:26" x14ac:dyDescent="0.25">
      <c r="A11" s="54"/>
      <c r="B11" s="54"/>
      <c r="C11" s="86" t="s">
        <v>28</v>
      </c>
      <c r="D11" s="54">
        <f>('Ago2018'!C14)*-1</f>
        <v>145</v>
      </c>
      <c r="E11" s="54">
        <f>('Set2018'!C14)*-1</f>
        <v>10</v>
      </c>
      <c r="F11" s="54">
        <f>('Out2018'!C14)*-1</f>
        <v>34</v>
      </c>
      <c r="G11" s="54">
        <f>('Nov2018'!C14)*-1</f>
        <v>149.42000000000002</v>
      </c>
      <c r="H11" s="54">
        <f>('Dez2018'!$C15)*-1</f>
        <v>57.75</v>
      </c>
      <c r="I11" s="54">
        <f>('Jan2019'!C16)*-1</f>
        <v>0</v>
      </c>
      <c r="J11" s="54">
        <f>('Fev2019'!C16)*-1</f>
        <v>30</v>
      </c>
      <c r="K11" s="54">
        <f>('Mar2019'!C16)*-1</f>
        <v>5</v>
      </c>
      <c r="L11" s="54">
        <f>(Abril2019!C16)*-1</f>
        <v>81</v>
      </c>
      <c r="M11" s="54">
        <f>(Maio2019!C16)*-1</f>
        <v>8</v>
      </c>
      <c r="N11" s="54">
        <f>('Jun2019'!C16)*-1</f>
        <v>0</v>
      </c>
      <c r="O11" s="54">
        <f>('Jul2019'!$C16)*-1</f>
        <v>0</v>
      </c>
      <c r="P11" s="54">
        <f>('Ago2019'!C16)*-1</f>
        <v>0</v>
      </c>
      <c r="Q11" s="54">
        <f>('Set2019'!C16)*-1</f>
        <v>46.5</v>
      </c>
      <c r="R11" s="54"/>
      <c r="S11" s="197" t="s">
        <v>28</v>
      </c>
      <c r="T11" s="28">
        <f t="shared" si="0"/>
        <v>-40.476428571428578</v>
      </c>
      <c r="U11" s="198">
        <f t="shared" si="1"/>
        <v>566.67000000000007</v>
      </c>
      <c r="V11" s="54"/>
      <c r="W11" s="145" t="s">
        <v>22</v>
      </c>
      <c r="X11" s="199">
        <f t="shared" si="2"/>
        <v>-27.5</v>
      </c>
      <c r="Y11" s="54"/>
      <c r="Z11" s="54"/>
    </row>
    <row r="12" spans="1:26" x14ac:dyDescent="0.25">
      <c r="A12" s="54"/>
      <c r="B12" s="54"/>
      <c r="C12" s="86" t="s">
        <v>89</v>
      </c>
      <c r="D12" s="54">
        <v>0</v>
      </c>
      <c r="E12" s="54">
        <v>0</v>
      </c>
      <c r="F12" s="54">
        <v>0</v>
      </c>
      <c r="G12" s="54">
        <f>('Nov2018'!C15)*-1</f>
        <v>20</v>
      </c>
      <c r="H12" s="54">
        <f>('Dez2018'!$C16)*-1</f>
        <v>73</v>
      </c>
      <c r="I12" s="54">
        <f>('Jan2019'!C17)*-1</f>
        <v>40</v>
      </c>
      <c r="J12" s="54">
        <f>('Fev2019'!C17)*-1</f>
        <v>45</v>
      </c>
      <c r="K12" s="54">
        <f>('Mar2019'!C17)*-1</f>
        <v>15</v>
      </c>
      <c r="L12" s="54">
        <f>(Abril2019!C17)*-1</f>
        <v>25</v>
      </c>
      <c r="M12" s="54">
        <f>(Maio2019!C17)*-1</f>
        <v>25</v>
      </c>
      <c r="N12" s="54">
        <f>('Jun2019'!C17)*-1</f>
        <v>25</v>
      </c>
      <c r="O12" s="54">
        <f>('Jul2019'!$C17)*-1</f>
        <v>25</v>
      </c>
      <c r="P12" s="54">
        <f>('Ago2019'!C17)*-1</f>
        <v>10</v>
      </c>
      <c r="Q12" s="54">
        <f>('Set2019'!C17)*-1</f>
        <v>20</v>
      </c>
      <c r="R12" s="54"/>
      <c r="S12" s="197" t="s">
        <v>89</v>
      </c>
      <c r="T12" s="28">
        <f t="shared" si="0"/>
        <v>-23.071428571428573</v>
      </c>
      <c r="U12" s="198">
        <f t="shared" si="1"/>
        <v>323</v>
      </c>
      <c r="V12" s="54"/>
      <c r="W12" s="145" t="s">
        <v>35</v>
      </c>
      <c r="X12" s="199">
        <f t="shared" si="2"/>
        <v>-5.3607142857142858</v>
      </c>
      <c r="Y12" s="54"/>
      <c r="Z12" s="54"/>
    </row>
    <row r="13" spans="1:26" x14ac:dyDescent="0.25">
      <c r="A13" s="54"/>
      <c r="B13" s="54"/>
      <c r="C13" s="86" t="s">
        <v>29</v>
      </c>
      <c r="D13" s="54">
        <f>('Ago2018'!C15)*-1</f>
        <v>100.84</v>
      </c>
      <c r="E13" s="54">
        <f>('Set2018'!C15)*-1</f>
        <v>71.89</v>
      </c>
      <c r="F13" s="54">
        <f>('Out2018'!C15)*-1</f>
        <v>71.89</v>
      </c>
      <c r="G13" s="54">
        <f>('Nov2018'!C16)*-1</f>
        <v>71.89</v>
      </c>
      <c r="H13" s="54">
        <f>('Dez2018'!$C17)*-1</f>
        <v>71.89</v>
      </c>
      <c r="I13" s="54">
        <f>('Jan2019'!C18)*-1</f>
        <v>76.89</v>
      </c>
      <c r="J13" s="54">
        <f>('Fev2019'!C18)*-1</f>
        <v>76.89</v>
      </c>
      <c r="K13" s="54">
        <f>('Mar2019'!C18)*-1</f>
        <v>76.89</v>
      </c>
      <c r="L13" s="54">
        <f>(Abril2019!C18)*-1</f>
        <v>76.89</v>
      </c>
      <c r="M13" s="54">
        <f>(Maio2019!C18)*-1</f>
        <v>76.89</v>
      </c>
      <c r="N13" s="54">
        <f>('Jun2019'!C18)*-1</f>
        <v>76.89</v>
      </c>
      <c r="O13" s="54">
        <f>('Jul2019'!$C18)*-1</f>
        <v>76.89</v>
      </c>
      <c r="P13" s="54">
        <f>('Ago2019'!C18)*-1</f>
        <v>76.89</v>
      </c>
      <c r="Q13" s="54">
        <f>('Set2019'!C18)*-1</f>
        <v>76.89</v>
      </c>
      <c r="R13" s="54"/>
      <c r="S13" s="197" t="s">
        <v>29</v>
      </c>
      <c r="T13" s="28">
        <f t="shared" si="0"/>
        <v>-77.172142857142845</v>
      </c>
      <c r="U13" s="198">
        <f t="shared" si="1"/>
        <v>1080.4099999999999</v>
      </c>
      <c r="V13" s="54"/>
      <c r="W13" s="145" t="s">
        <v>33</v>
      </c>
      <c r="X13" s="199">
        <f t="shared" si="2"/>
        <v>-85.579285714285703</v>
      </c>
      <c r="Y13" s="54"/>
      <c r="Z13" s="54"/>
    </row>
    <row r="14" spans="1:26" x14ac:dyDescent="0.25">
      <c r="A14" s="54"/>
      <c r="B14" s="54"/>
      <c r="C14" s="86" t="s">
        <v>31</v>
      </c>
      <c r="D14" s="54">
        <f>('Ago2018'!C16)*-1</f>
        <v>171</v>
      </c>
      <c r="E14" s="54">
        <f>('Set2018'!C16)*-1</f>
        <v>192</v>
      </c>
      <c r="F14" s="54">
        <f>('Out2018'!C16)*-1</f>
        <v>192</v>
      </c>
      <c r="G14" s="54">
        <f>('Nov2018'!C17)*-1</f>
        <v>192</v>
      </c>
      <c r="H14" s="54">
        <f>('Dez2018'!$C18)*-1</f>
        <v>96</v>
      </c>
      <c r="I14" s="54">
        <f>('Jan2019'!C19)*-1</f>
        <v>30.1</v>
      </c>
      <c r="J14" s="54">
        <f>('Fev2019'!C19)*-1</f>
        <v>206.4</v>
      </c>
      <c r="K14" s="54">
        <f>('Mar2019'!C19)*-1</f>
        <v>206.4</v>
      </c>
      <c r="L14" s="54">
        <f>(Abril2019!C19)*-1</f>
        <v>211.15</v>
      </c>
      <c r="M14" s="54">
        <f>(Maio2019!C19)*-1</f>
        <v>206.4</v>
      </c>
      <c r="N14" s="54">
        <f>('Jun2019'!C19)*-1</f>
        <v>0</v>
      </c>
      <c r="O14" s="54">
        <f>('Jul2019'!$C19)*-1</f>
        <v>103.2</v>
      </c>
      <c r="P14" s="54">
        <f>('Ago2019'!C19)*-1</f>
        <v>206.4</v>
      </c>
      <c r="Q14" s="54">
        <f>('Set2019'!C19)*-1</f>
        <v>211.20000000000002</v>
      </c>
      <c r="R14" s="54"/>
      <c r="S14" s="197" t="s">
        <v>31</v>
      </c>
      <c r="T14" s="28">
        <f t="shared" si="0"/>
        <v>-158.87500000000003</v>
      </c>
      <c r="U14" s="198">
        <f t="shared" si="1"/>
        <v>2224.2500000000005</v>
      </c>
      <c r="V14" s="54"/>
      <c r="W14" s="145" t="s">
        <v>42</v>
      </c>
      <c r="X14" s="199">
        <f t="shared" si="2"/>
        <v>-20.312857142857144</v>
      </c>
      <c r="Y14" s="54"/>
      <c r="Z14" s="54"/>
    </row>
    <row r="15" spans="1:26" x14ac:dyDescent="0.25">
      <c r="A15" s="54"/>
      <c r="B15" s="54"/>
      <c r="C15" s="86" t="s">
        <v>32</v>
      </c>
      <c r="D15" s="54">
        <f>('Ago2018'!C17)*-1</f>
        <v>0</v>
      </c>
      <c r="E15" s="54">
        <f>('Set2018'!C17)*-1</f>
        <v>0</v>
      </c>
      <c r="F15" s="54">
        <f>('Out2018'!C17)*-1</f>
        <v>4.4000000000000004</v>
      </c>
      <c r="G15" s="54">
        <f>('Nov2018'!C18)*-1</f>
        <v>0</v>
      </c>
      <c r="H15" s="54">
        <f>('Dez2018'!$C19)*-1</f>
        <v>78</v>
      </c>
      <c r="I15" s="54">
        <f>('Jan2019'!C20)*-1</f>
        <v>22.05</v>
      </c>
      <c r="J15" s="54">
        <f>('Fev2019'!C20)*-1</f>
        <v>135</v>
      </c>
      <c r="K15" s="54">
        <f>('Mar2019'!C20)*-1</f>
        <v>0</v>
      </c>
      <c r="L15" s="54">
        <f>(Abril2019!C20)*-1</f>
        <v>135</v>
      </c>
      <c r="M15" s="54">
        <f>(Maio2019!C20)*-1</f>
        <v>135</v>
      </c>
      <c r="N15" s="54">
        <f>('Jun2019'!C20)*-1</f>
        <v>135</v>
      </c>
      <c r="O15" s="54">
        <f>('Jul2019'!$C20)*-1</f>
        <v>80</v>
      </c>
      <c r="P15" s="54">
        <f>('Ago2019'!C20)*-1</f>
        <v>135</v>
      </c>
      <c r="Q15" s="54">
        <f>('Set2019'!C20)*-1</f>
        <v>135</v>
      </c>
      <c r="R15" s="54"/>
      <c r="S15" s="197" t="s">
        <v>32</v>
      </c>
      <c r="T15" s="28">
        <f t="shared" si="0"/>
        <v>-71.032142857142858</v>
      </c>
      <c r="U15" s="198">
        <f t="shared" si="1"/>
        <v>994.45</v>
      </c>
      <c r="V15" s="54"/>
      <c r="W15" s="145" t="s">
        <v>89</v>
      </c>
      <c r="X15" s="199">
        <f t="shared" si="2"/>
        <v>-23.071428571428573</v>
      </c>
      <c r="Y15" s="54"/>
      <c r="Z15" s="54"/>
    </row>
    <row r="16" spans="1:26" x14ac:dyDescent="0.25">
      <c r="A16" s="54"/>
      <c r="B16" s="54"/>
      <c r="C16" s="86" t="s">
        <v>33</v>
      </c>
      <c r="D16" s="54">
        <f>('Ago2018'!C18)*-1</f>
        <v>9.1</v>
      </c>
      <c r="E16" s="54">
        <f>('Set2018'!C18)*-1</f>
        <v>35.950000000000003</v>
      </c>
      <c r="F16" s="54">
        <f>('Out2018'!C18)*-1</f>
        <v>18.689999999999998</v>
      </c>
      <c r="G16" s="54">
        <f>('Nov2018'!C19)*-1</f>
        <v>41.68</v>
      </c>
      <c r="H16" s="54">
        <f>('Dez2018'!$C20)*-1</f>
        <v>92.490000000000009</v>
      </c>
      <c r="I16" s="54">
        <f>('Jan2019'!C21)*-1</f>
        <v>0</v>
      </c>
      <c r="J16" s="54">
        <f>('Fev2019'!C21)*-1</f>
        <v>52.7</v>
      </c>
      <c r="K16" s="54">
        <f>('Mar2019'!C21)*-1</f>
        <v>48.580000000000005</v>
      </c>
      <c r="L16" s="54">
        <f>(Abril2019!C21)*-1</f>
        <v>111.08</v>
      </c>
      <c r="M16" s="54">
        <f>(Maio2019!C21)*-1</f>
        <v>126.41</v>
      </c>
      <c r="N16" s="54">
        <f>('Jun2019'!C21)*-1</f>
        <v>195.21</v>
      </c>
      <c r="O16" s="54">
        <f>('Jul2019'!$C21)*-1</f>
        <v>111.11</v>
      </c>
      <c r="P16" s="54">
        <f>('Ago2019'!C21)*-1</f>
        <v>145.82</v>
      </c>
      <c r="Q16" s="54">
        <f>('Set2019'!C21)*-1</f>
        <v>209.28999999999996</v>
      </c>
      <c r="R16" s="54"/>
      <c r="S16" s="197" t="s">
        <v>33</v>
      </c>
      <c r="T16" s="28">
        <f t="shared" si="0"/>
        <v>-85.579285714285703</v>
      </c>
      <c r="U16" s="198">
        <f t="shared" si="1"/>
        <v>1198.1099999999999</v>
      </c>
      <c r="V16" s="54"/>
      <c r="W16" s="145" t="s">
        <v>23</v>
      </c>
      <c r="X16" s="199">
        <f t="shared" si="2"/>
        <v>-15.085000000000004</v>
      </c>
      <c r="Y16" s="54"/>
      <c r="Z16" s="54"/>
    </row>
    <row r="17" spans="1:26" x14ac:dyDescent="0.25">
      <c r="A17" s="54"/>
      <c r="B17" s="54"/>
      <c r="C17" s="86" t="s">
        <v>94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f>('Jan2019'!C22)*-1</f>
        <v>89.08</v>
      </c>
      <c r="J17" s="54">
        <f>('Fev2019'!C22)*-1</f>
        <v>0</v>
      </c>
      <c r="K17" s="54">
        <f>('Mar2019'!C22)*-1</f>
        <v>6</v>
      </c>
      <c r="L17" s="54">
        <f>(Abril2019!C22)*-1</f>
        <v>0</v>
      </c>
      <c r="M17" s="54">
        <f>(Maio2019!C22)*-1</f>
        <v>0</v>
      </c>
      <c r="N17" s="54">
        <f>('Jun2019'!C22)*-1</f>
        <v>0</v>
      </c>
      <c r="O17" s="54">
        <f>('Jul2019'!$C22)*-1</f>
        <v>0</v>
      </c>
      <c r="P17" s="54">
        <f>('Ago2019'!C22)*-1</f>
        <v>0</v>
      </c>
      <c r="Q17" s="54">
        <f>('Set2019'!C22)*-1</f>
        <v>0</v>
      </c>
      <c r="R17" s="54"/>
      <c r="S17" s="197" t="s">
        <v>94</v>
      </c>
      <c r="T17" s="28">
        <f t="shared" si="0"/>
        <v>-6.7914285714285709</v>
      </c>
      <c r="U17" s="198">
        <f t="shared" si="1"/>
        <v>95.08</v>
      </c>
      <c r="V17" s="54"/>
      <c r="W17" s="145" t="s">
        <v>186</v>
      </c>
      <c r="X17" s="199">
        <f t="shared" si="2"/>
        <v>-33.092857142857142</v>
      </c>
      <c r="Y17" s="54"/>
      <c r="Z17" s="54"/>
    </row>
    <row r="18" spans="1:26" x14ac:dyDescent="0.25">
      <c r="A18" s="54"/>
      <c r="B18" s="54"/>
      <c r="C18" s="86" t="s">
        <v>34</v>
      </c>
      <c r="D18" s="54">
        <f>('Ago2018'!C19)*-1</f>
        <v>40.9</v>
      </c>
      <c r="E18" s="54">
        <f>('Set2018'!C19)*-1</f>
        <v>0</v>
      </c>
      <c r="F18" s="54">
        <f>('Out2018'!C19)*-1</f>
        <v>38.5</v>
      </c>
      <c r="G18" s="54">
        <f>('Nov2018'!C20)*-1</f>
        <v>14.9</v>
      </c>
      <c r="H18" s="54">
        <f>('Dez2018'!$C21)*-1</f>
        <v>0</v>
      </c>
      <c r="I18" s="54">
        <f>('Jan2019'!C23)*-1</f>
        <v>0</v>
      </c>
      <c r="J18" s="54">
        <f>('Fev2019'!C23)*-1</f>
        <v>0</v>
      </c>
      <c r="K18" s="54">
        <f>('Mar2019'!C23)*-1</f>
        <v>0</v>
      </c>
      <c r="L18" s="54">
        <f>(Abril2019!C23)*-1</f>
        <v>5.1000000000000014</v>
      </c>
      <c r="M18" s="54">
        <f>(Maio2019!C23)*-1</f>
        <v>0</v>
      </c>
      <c r="N18" s="54">
        <f>('Jun2019'!C23)*-1</f>
        <v>0</v>
      </c>
      <c r="O18" s="54">
        <f>('Jul2019'!$C23)*-1</f>
        <v>0</v>
      </c>
      <c r="P18" s="54">
        <f>('Ago2019'!C23)*-1</f>
        <v>2.7</v>
      </c>
      <c r="Q18" s="54">
        <f>('Set2019'!C23)*-1</f>
        <v>0</v>
      </c>
      <c r="R18" s="54"/>
      <c r="S18" s="197" t="s">
        <v>118</v>
      </c>
      <c r="T18" s="28">
        <f t="shared" si="0"/>
        <v>-7.2928571428571436</v>
      </c>
      <c r="U18" s="198">
        <f t="shared" si="1"/>
        <v>102.10000000000001</v>
      </c>
      <c r="V18" s="54"/>
      <c r="W18" s="145" t="s">
        <v>28</v>
      </c>
      <c r="X18" s="199">
        <f t="shared" si="2"/>
        <v>-40.476428571428578</v>
      </c>
      <c r="Y18" s="54"/>
      <c r="Z18" s="54"/>
    </row>
    <row r="19" spans="1:26" x14ac:dyDescent="0.25">
      <c r="A19" s="54"/>
      <c r="B19" s="54"/>
      <c r="C19" s="86" t="s">
        <v>35</v>
      </c>
      <c r="D19" s="54">
        <f>('Ago2018'!C20)*-1</f>
        <v>72</v>
      </c>
      <c r="E19" s="54">
        <f>('Set2018'!C20)*-1</f>
        <v>0</v>
      </c>
      <c r="F19" s="54">
        <f>('Out2018'!C20)*-1</f>
        <v>0</v>
      </c>
      <c r="G19" s="54">
        <f>('Nov2018'!C21)*-1</f>
        <v>0</v>
      </c>
      <c r="H19" s="54">
        <f>('Dez2018'!$C22)*-1</f>
        <v>0</v>
      </c>
      <c r="I19" s="54">
        <f>('Jan2019'!C24)*-1</f>
        <v>0</v>
      </c>
      <c r="J19" s="54">
        <f>('Fev2019'!C24)*-1</f>
        <v>0</v>
      </c>
      <c r="K19" s="54">
        <f>('Mar2019'!C24)*-1</f>
        <v>0</v>
      </c>
      <c r="L19" s="54">
        <f>(Abril2019!C24)*-1</f>
        <v>0</v>
      </c>
      <c r="M19" s="54">
        <f>(Maio2019!C24)*-1</f>
        <v>0</v>
      </c>
      <c r="N19" s="54">
        <f>('Jun2019'!C24)*-1</f>
        <v>0</v>
      </c>
      <c r="O19" s="54">
        <f>('Jul2019'!$C24)*-1</f>
        <v>0</v>
      </c>
      <c r="P19" s="54">
        <f>('Ago2019'!C24)*-1</f>
        <v>0</v>
      </c>
      <c r="Q19" s="54">
        <f>('Set2019'!C24)*-1</f>
        <v>3.05</v>
      </c>
      <c r="R19" s="54"/>
      <c r="S19" s="197" t="s">
        <v>35</v>
      </c>
      <c r="T19" s="28">
        <f t="shared" si="0"/>
        <v>-5.3607142857142858</v>
      </c>
      <c r="U19" s="198">
        <f t="shared" si="1"/>
        <v>75.05</v>
      </c>
      <c r="V19" s="54"/>
      <c r="W19" s="145" t="s">
        <v>118</v>
      </c>
      <c r="X19" s="199">
        <f t="shared" si="2"/>
        <v>-7.2928571428571436</v>
      </c>
      <c r="Y19" s="54"/>
      <c r="Z19" s="54"/>
    </row>
    <row r="20" spans="1:26" x14ac:dyDescent="0.25">
      <c r="A20" s="54"/>
      <c r="B20" s="54"/>
      <c r="C20" s="86" t="s">
        <v>36</v>
      </c>
      <c r="D20" s="54">
        <f>('Ago2018'!C21)*-1</f>
        <v>0</v>
      </c>
      <c r="E20" s="54">
        <f>('Set2018'!C21)*-1</f>
        <v>0</v>
      </c>
      <c r="F20" s="54">
        <f>('Out2018'!C21)*-1</f>
        <v>0</v>
      </c>
      <c r="G20" s="54">
        <f>('Nov2018'!C22)*-1</f>
        <v>0</v>
      </c>
      <c r="H20" s="54">
        <f>('Dez2018'!$C23)*-1</f>
        <v>0</v>
      </c>
      <c r="I20" s="54">
        <f>('Jan2019'!C25)*-1</f>
        <v>0</v>
      </c>
      <c r="J20" s="54">
        <f>('Fev2019'!C25)*-1</f>
        <v>0</v>
      </c>
      <c r="K20" s="54">
        <f>('Mar2019'!C25)*-1</f>
        <v>0</v>
      </c>
      <c r="L20" s="54">
        <f>(Abril2019!C25)*-1</f>
        <v>0</v>
      </c>
      <c r="M20" s="54">
        <f>(Maio2019!C25)*-1</f>
        <v>0</v>
      </c>
      <c r="N20" s="54">
        <f>('Jun2019'!C25)*-1</f>
        <v>0</v>
      </c>
      <c r="O20" s="54">
        <f>('Jul2019'!$C25)*-1</f>
        <v>0</v>
      </c>
      <c r="P20" s="54">
        <f>('Ago2019'!C25)*-1</f>
        <v>0</v>
      </c>
      <c r="Q20" s="54">
        <f>('Set2019'!C25)*-1</f>
        <v>0</v>
      </c>
      <c r="R20" s="54"/>
      <c r="S20" s="197" t="s">
        <v>36</v>
      </c>
      <c r="T20" s="28">
        <f t="shared" si="0"/>
        <v>0</v>
      </c>
      <c r="U20" s="198">
        <f t="shared" si="1"/>
        <v>0</v>
      </c>
      <c r="V20" s="54"/>
      <c r="W20" s="145" t="s">
        <v>40</v>
      </c>
      <c r="X20" s="199">
        <f t="shared" si="2"/>
        <v>-12.253571428571428</v>
      </c>
      <c r="Y20" s="54"/>
      <c r="Z20" s="54"/>
    </row>
    <row r="21" spans="1:26" ht="15.75" customHeight="1" x14ac:dyDescent="0.25">
      <c r="A21" s="54"/>
      <c r="B21" s="54"/>
      <c r="C21" s="86" t="s">
        <v>39</v>
      </c>
      <c r="D21" s="54">
        <f>('Ago2018'!C23)*-1</f>
        <v>25</v>
      </c>
      <c r="E21" s="54">
        <f>('Set2018'!C23)*-1</f>
        <v>40.799999999999997</v>
      </c>
      <c r="F21" s="54">
        <f>('Out2018'!C22)*-1</f>
        <v>45.49</v>
      </c>
      <c r="G21" s="54">
        <f>('Nov2018'!C23)*-1</f>
        <v>108.05999999999999</v>
      </c>
      <c r="H21" s="54">
        <f>('Dez2018'!$C24)*-1</f>
        <v>98.4</v>
      </c>
      <c r="I21" s="54">
        <f>('Jan2019'!C26)*-1</f>
        <v>99.84</v>
      </c>
      <c r="J21" s="54">
        <f>('Fev2019'!C26)*-1</f>
        <v>43.97</v>
      </c>
      <c r="K21" s="54">
        <f>('Mar2019'!C26)*-1</f>
        <v>160.97</v>
      </c>
      <c r="L21" s="54">
        <f>(Abril2019!C26)*-1</f>
        <v>40.299999999999997</v>
      </c>
      <c r="M21" s="54">
        <f>(Maio2019!C26)*-1</f>
        <v>367.59</v>
      </c>
      <c r="N21" s="54">
        <f>('Jun2019'!C26)*-1</f>
        <v>9.61</v>
      </c>
      <c r="O21" s="54">
        <f>('Jul2019'!$C26)*-1</f>
        <v>91.679999999999993</v>
      </c>
      <c r="P21" s="54">
        <f>('Ago2019'!C26)*-1</f>
        <v>20.399999999999999</v>
      </c>
      <c r="Q21" s="54">
        <f>('Set2019'!C26)*-1</f>
        <v>49.85</v>
      </c>
      <c r="R21" s="54"/>
      <c r="S21" s="197" t="s">
        <v>39</v>
      </c>
      <c r="T21" s="28">
        <f t="shared" si="0"/>
        <v>-85.854285714285723</v>
      </c>
      <c r="U21" s="198">
        <f t="shared" si="1"/>
        <v>1201.96</v>
      </c>
      <c r="V21" s="54"/>
      <c r="W21" s="145" t="s">
        <v>94</v>
      </c>
      <c r="X21" s="199">
        <f t="shared" si="2"/>
        <v>-6.7914285714285709</v>
      </c>
      <c r="Y21" s="54"/>
      <c r="Z21" s="54"/>
    </row>
    <row r="22" spans="1:26" ht="15.75" customHeight="1" x14ac:dyDescent="0.25">
      <c r="A22" s="54"/>
      <c r="B22" s="54"/>
      <c r="C22" s="86" t="s">
        <v>40</v>
      </c>
      <c r="D22" s="54">
        <f>('Ago2018'!C24)*-1</f>
        <v>0</v>
      </c>
      <c r="E22" s="54">
        <f>('Set2018'!C24)*-1</f>
        <v>79.89</v>
      </c>
      <c r="F22" s="54">
        <f>('Out2018'!C23)*-1</f>
        <v>0</v>
      </c>
      <c r="G22" s="54">
        <f>('Nov2018'!C24)*-1</f>
        <v>28.5</v>
      </c>
      <c r="H22" s="54">
        <f>('Dez2018'!$C25)*-1</f>
        <v>0</v>
      </c>
      <c r="I22" s="54">
        <f>('Jan2019'!C27)*-1</f>
        <v>0</v>
      </c>
      <c r="J22" s="54">
        <f>('Fev2019'!C27)*-1</f>
        <v>29.9</v>
      </c>
      <c r="K22" s="54">
        <f>('Mar2019'!C27)*-1</f>
        <v>0</v>
      </c>
      <c r="L22" s="54">
        <f>(Abril2019!C27)*-1</f>
        <v>0</v>
      </c>
      <c r="M22" s="54">
        <f>(Maio2019!C27)*-1</f>
        <v>0</v>
      </c>
      <c r="N22" s="54">
        <f>('Jun2019'!C27)*-1</f>
        <v>0</v>
      </c>
      <c r="O22" s="54">
        <f>('Jul2019'!$C27)*-1</f>
        <v>14.36</v>
      </c>
      <c r="P22" s="54">
        <f>('Ago2019'!C27)*-1</f>
        <v>0</v>
      </c>
      <c r="Q22" s="54">
        <f>('Set2019'!C27)*-1</f>
        <v>18.899999999999999</v>
      </c>
      <c r="R22" s="54"/>
      <c r="S22" s="197" t="s">
        <v>40</v>
      </c>
      <c r="T22" s="28">
        <f t="shared" si="0"/>
        <v>-12.253571428571428</v>
      </c>
      <c r="U22" s="198">
        <f t="shared" si="1"/>
        <v>171.54999999999998</v>
      </c>
      <c r="V22" s="54"/>
      <c r="W22" s="145" t="s">
        <v>36</v>
      </c>
      <c r="X22" s="199">
        <f t="shared" si="2"/>
        <v>0</v>
      </c>
      <c r="Y22" s="54"/>
      <c r="Z22" s="54"/>
    </row>
    <row r="23" spans="1:26" ht="15.75" customHeight="1" x14ac:dyDescent="0.25">
      <c r="A23" s="54"/>
      <c r="B23" s="54"/>
      <c r="C23" s="86" t="s">
        <v>41</v>
      </c>
      <c r="D23" s="54">
        <f>('Ago2018'!C25)*-1</f>
        <v>0</v>
      </c>
      <c r="E23" s="54">
        <v>0</v>
      </c>
      <c r="F23" s="54">
        <f>('Out2018'!C24)*-1</f>
        <v>0</v>
      </c>
      <c r="G23" s="54">
        <f>('Nov2018'!C25)*-1</f>
        <v>39.9</v>
      </c>
      <c r="H23" s="54">
        <f>('Dez2018'!$C26)*-1</f>
        <v>49.99</v>
      </c>
      <c r="I23" s="54">
        <f>('Jan2019'!C28)*-1</f>
        <v>0</v>
      </c>
      <c r="J23" s="54">
        <f>('Fev2019'!C28)*-1</f>
        <v>0</v>
      </c>
      <c r="K23" s="54">
        <f>('Mar2019'!C28)*-1</f>
        <v>60</v>
      </c>
      <c r="L23" s="54">
        <f>(Abril2019!C28)*-1</f>
        <v>0</v>
      </c>
      <c r="M23" s="54">
        <f>(Maio2019!C28)*-1</f>
        <v>350</v>
      </c>
      <c r="N23" s="54">
        <f>('Jun2019'!C28)*-1</f>
        <v>0</v>
      </c>
      <c r="O23" s="54">
        <f>('Jul2019'!$C28)*-1</f>
        <v>0</v>
      </c>
      <c r="P23" s="54">
        <f>('Ago2019'!C28)*-1</f>
        <v>0</v>
      </c>
      <c r="Q23" s="54">
        <f>('Set2019'!C28)*-1</f>
        <v>0</v>
      </c>
      <c r="R23" s="54"/>
      <c r="S23" s="197" t="s">
        <v>41</v>
      </c>
      <c r="T23" s="28">
        <f t="shared" si="0"/>
        <v>-35.706428571428567</v>
      </c>
      <c r="U23" s="198">
        <f t="shared" si="1"/>
        <v>499.89</v>
      </c>
      <c r="V23" s="54"/>
      <c r="W23" s="200" t="s">
        <v>41</v>
      </c>
      <c r="X23" s="201">
        <f t="shared" si="2"/>
        <v>-35.706428571428567</v>
      </c>
      <c r="Y23" s="54"/>
      <c r="Z23" s="54"/>
    </row>
    <row r="24" spans="1:26" ht="15.75" customHeight="1" x14ac:dyDescent="0.25">
      <c r="A24" s="54"/>
      <c r="B24" s="54"/>
      <c r="C24" s="86" t="s">
        <v>72</v>
      </c>
      <c r="D24" s="54">
        <f>('Ago2018'!C26)*-1</f>
        <v>600</v>
      </c>
      <c r="E24" s="54">
        <f>('Set2018'!C25)*-1</f>
        <v>600</v>
      </c>
      <c r="F24" s="54">
        <f>('Out2018'!C26)*-1</f>
        <v>600</v>
      </c>
      <c r="G24" s="54">
        <f>('Nov2018'!C27)*-1</f>
        <v>589.85</v>
      </c>
      <c r="H24" s="54">
        <f>('Dez2018'!$C28)*-1</f>
        <v>550</v>
      </c>
      <c r="I24" s="54">
        <f>('Jan2019'!C30)*-1</f>
        <v>550</v>
      </c>
      <c r="J24" s="54">
        <f>('Fev2019'!C30)*-1</f>
        <v>550</v>
      </c>
      <c r="K24" s="54">
        <f>('Mar2019'!C30)*-1</f>
        <v>550</v>
      </c>
      <c r="L24" s="54">
        <f>(Abril2019!C30)*-1</f>
        <v>550</v>
      </c>
      <c r="M24" s="54">
        <f>(Maio2019!C30)*-1</f>
        <v>550</v>
      </c>
      <c r="N24" s="54">
        <f>('Jun2019'!C30)*-1</f>
        <v>550</v>
      </c>
      <c r="O24" s="54">
        <f>('Jul2019'!$C30)*-1</f>
        <v>550</v>
      </c>
      <c r="P24" s="54">
        <f>('Ago2019'!C30)*-1</f>
        <v>550</v>
      </c>
      <c r="Q24" s="54">
        <f>('Set2019'!C30)*-1</f>
        <v>550</v>
      </c>
      <c r="R24" s="54"/>
      <c r="S24" s="197" t="s">
        <v>72</v>
      </c>
      <c r="T24" s="28">
        <f t="shared" si="0"/>
        <v>-563.56071428571431</v>
      </c>
      <c r="U24" s="198">
        <f t="shared" si="1"/>
        <v>7889.85</v>
      </c>
      <c r="V24" s="54"/>
      <c r="W24" s="54"/>
      <c r="X24" s="54"/>
      <c r="Y24" s="54"/>
      <c r="Z24" s="54"/>
    </row>
    <row r="25" spans="1:26" ht="15.75" customHeight="1" x14ac:dyDescent="0.25">
      <c r="A25" s="54"/>
      <c r="B25" s="54"/>
      <c r="C25" s="86" t="s">
        <v>42</v>
      </c>
      <c r="D25" s="54">
        <f>('Ago2018'!C27)*-1</f>
        <v>0</v>
      </c>
      <c r="E25" s="54">
        <f>('Set2018'!C26+'Set2018'!$C$22)*-1</f>
        <v>85.38</v>
      </c>
      <c r="F25" s="54">
        <f>('Out2018'!C27)*-1</f>
        <v>0</v>
      </c>
      <c r="G25" s="54">
        <f>('Nov2018'!C28)*-1</f>
        <v>0</v>
      </c>
      <c r="H25" s="54">
        <f>('Dez2018'!$C29)*-1</f>
        <v>14</v>
      </c>
      <c r="I25" s="54">
        <f>('Jan2019'!C31)*-1</f>
        <v>0</v>
      </c>
      <c r="J25" s="54">
        <f>('Fev2019'!C31)*-1</f>
        <v>45</v>
      </c>
      <c r="K25" s="54">
        <f>('Mar2019'!C31)*-1</f>
        <v>0</v>
      </c>
      <c r="L25" s="54">
        <f>(Abril2019!C31)*-1</f>
        <v>45</v>
      </c>
      <c r="M25" s="54">
        <f>(Maio2019!C31)*-1</f>
        <v>0</v>
      </c>
      <c r="N25" s="54">
        <f>('Jun2019'!C31)*-1</f>
        <v>0</v>
      </c>
      <c r="O25" s="54">
        <f>('Jul2019'!$C31)*-1</f>
        <v>50</v>
      </c>
      <c r="P25" s="54">
        <f>('Ago2019'!C31)*-1</f>
        <v>0</v>
      </c>
      <c r="Q25" s="54">
        <f>('Set2019'!C31)*-1</f>
        <v>45</v>
      </c>
      <c r="R25" s="54"/>
      <c r="S25" s="202" t="s">
        <v>42</v>
      </c>
      <c r="T25" s="203">
        <f t="shared" si="0"/>
        <v>-20.312857142857144</v>
      </c>
      <c r="U25" s="204">
        <f t="shared" si="1"/>
        <v>284.38</v>
      </c>
      <c r="V25" s="54"/>
      <c r="W25" s="54"/>
      <c r="X25" s="54"/>
      <c r="Y25" s="54"/>
      <c r="Z25" s="54"/>
    </row>
    <row r="26" spans="1:26" ht="15.75" customHeight="1" x14ac:dyDescent="0.25">
      <c r="A26" s="54"/>
      <c r="B26" s="54"/>
      <c r="C26" s="8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75" customHeight="1" x14ac:dyDescent="0.25">
      <c r="A27" s="54"/>
      <c r="B27" s="54"/>
      <c r="C27" s="86"/>
      <c r="D27" s="54">
        <f t="shared" ref="D27:Q27" si="3">SUM(D3:D25)</f>
        <v>1690.25</v>
      </c>
      <c r="E27" s="54">
        <f t="shared" si="3"/>
        <v>1580.9900000000002</v>
      </c>
      <c r="F27" s="54">
        <f t="shared" si="3"/>
        <v>1520.54</v>
      </c>
      <c r="G27" s="54">
        <f t="shared" si="3"/>
        <v>1807.8600000000001</v>
      </c>
      <c r="H27" s="54">
        <f t="shared" si="3"/>
        <v>1952.0900000000001</v>
      </c>
      <c r="I27" s="54">
        <f t="shared" si="3"/>
        <v>1614</v>
      </c>
      <c r="J27" s="54">
        <f t="shared" si="3"/>
        <v>1739.9</v>
      </c>
      <c r="K27" s="54">
        <f t="shared" si="3"/>
        <v>1786.6299999999999</v>
      </c>
      <c r="L27" s="54">
        <f t="shared" si="3"/>
        <v>1919.6</v>
      </c>
      <c r="M27" s="54">
        <f t="shared" si="3"/>
        <v>2372.6099999999997</v>
      </c>
      <c r="N27" s="54">
        <f t="shared" si="3"/>
        <v>1789.8</v>
      </c>
      <c r="O27" s="54">
        <f t="shared" si="3"/>
        <v>1583.83</v>
      </c>
      <c r="P27" s="54">
        <f t="shared" si="3"/>
        <v>1849.0300000000002</v>
      </c>
      <c r="Q27" s="54">
        <f t="shared" si="3"/>
        <v>1895.6200000000001</v>
      </c>
      <c r="R27" s="54"/>
      <c r="S27" s="54"/>
      <c r="T27" s="28">
        <f>AVERAGE(D27:Q27)</f>
        <v>1793.0535714285711</v>
      </c>
      <c r="U27" s="54"/>
      <c r="V27" s="54"/>
      <c r="W27" s="54"/>
      <c r="X27" s="54"/>
      <c r="Y27" s="54"/>
      <c r="Z27" s="54"/>
    </row>
    <row r="28" spans="1:26" ht="15.75" customHeight="1" x14ac:dyDescent="0.25">
      <c r="A28" s="54"/>
      <c r="B28" s="54"/>
      <c r="C28" s="8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75" customHeight="1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75" customHeight="1" x14ac:dyDescent="0.25">
      <c r="A30" s="54"/>
      <c r="B30" s="54"/>
      <c r="C30" s="205" t="str">
        <f t="array" ref="C30:Z44">TRANSPOSE(C2:Q25)</f>
        <v>Meses</v>
      </c>
      <c r="D30" s="206" t="str">
        <v>Bares-Restaurantes</v>
      </c>
      <c r="E30" s="206" t="str">
        <v>BK</v>
      </c>
      <c r="F30" s="206" t="str">
        <v>Doces</v>
      </c>
      <c r="G30" s="206" t="str">
        <v>Salgados</v>
      </c>
      <c r="H30" s="206" t="str">
        <v>Café</v>
      </c>
      <c r="I30" s="206" t="str">
        <v>Starbucks</v>
      </c>
      <c r="J30" s="206" t="str">
        <v>Mercado</v>
      </c>
      <c r="K30" s="206" t="str">
        <v>Saúde</v>
      </c>
      <c r="L30" s="206" t="str">
        <v>Lazer</v>
      </c>
      <c r="M30" s="206" t="str">
        <v>Yellow</v>
      </c>
      <c r="N30" s="206" t="str">
        <v>Contas</v>
      </c>
      <c r="O30" s="206" t="str">
        <v>BU</v>
      </c>
      <c r="P30" s="206" t="str">
        <v>BOM</v>
      </c>
      <c r="Q30" s="206" t="str">
        <v>Uber</v>
      </c>
      <c r="R30" s="206" t="str">
        <v>Viagem</v>
      </c>
      <c r="S30" s="206" t="str">
        <v>Material Escolar</v>
      </c>
      <c r="T30" s="206" t="str">
        <v>Xerox</v>
      </c>
      <c r="U30" s="206" t="str">
        <v>Compras</v>
      </c>
      <c r="V30" s="206" t="str">
        <v>Acessórios</v>
      </c>
      <c r="W30" s="206" t="str">
        <v>Livros</v>
      </c>
      <c r="X30" s="206" t="str">
        <v>Roupas</v>
      </c>
      <c r="Y30" s="206" t="str">
        <v>Casa</v>
      </c>
      <c r="Z30" s="207" t="str">
        <v>Cuidados Pessoais</v>
      </c>
    </row>
    <row r="31" spans="1:26" ht="15.75" customHeight="1" x14ac:dyDescent="0.25">
      <c r="A31" s="54"/>
      <c r="B31" s="54"/>
      <c r="C31" s="208">
        <v>43313</v>
      </c>
      <c r="D31" s="54">
        <v>345.37</v>
      </c>
      <c r="E31" s="54">
        <v>16.899999999999999</v>
      </c>
      <c r="F31" s="54">
        <v>0</v>
      </c>
      <c r="G31" s="54">
        <v>25.75</v>
      </c>
      <c r="H31" s="54">
        <v>26.8</v>
      </c>
      <c r="I31" s="54">
        <v>31</v>
      </c>
      <c r="J31" s="54">
        <v>80.59</v>
      </c>
      <c r="K31" s="54">
        <v>0</v>
      </c>
      <c r="L31" s="54">
        <v>145</v>
      </c>
      <c r="M31" s="54">
        <v>0</v>
      </c>
      <c r="N31" s="54">
        <v>100.84</v>
      </c>
      <c r="O31" s="54">
        <v>171</v>
      </c>
      <c r="P31" s="54">
        <v>0</v>
      </c>
      <c r="Q31" s="54">
        <v>9.1</v>
      </c>
      <c r="R31" s="54">
        <v>0</v>
      </c>
      <c r="S31" s="54">
        <v>40.9</v>
      </c>
      <c r="T31" s="54">
        <v>72</v>
      </c>
      <c r="U31" s="54">
        <v>0</v>
      </c>
      <c r="V31" s="54">
        <v>25</v>
      </c>
      <c r="W31" s="54">
        <v>0</v>
      </c>
      <c r="X31" s="54">
        <v>0</v>
      </c>
      <c r="Y31" s="54">
        <v>600</v>
      </c>
      <c r="Z31" s="198">
        <v>0</v>
      </c>
    </row>
    <row r="32" spans="1:26" ht="15.75" customHeight="1" x14ac:dyDescent="0.25">
      <c r="A32" s="54"/>
      <c r="B32" s="54"/>
      <c r="C32" s="208">
        <v>43344</v>
      </c>
      <c r="D32" s="54">
        <v>146.32999999999998</v>
      </c>
      <c r="E32" s="54">
        <v>16.899999999999999</v>
      </c>
      <c r="F32" s="54">
        <v>0</v>
      </c>
      <c r="G32" s="54">
        <v>14.5</v>
      </c>
      <c r="H32" s="54">
        <v>18.3</v>
      </c>
      <c r="I32" s="54">
        <v>40</v>
      </c>
      <c r="J32" s="54">
        <v>69.05</v>
      </c>
      <c r="K32" s="54">
        <v>160</v>
      </c>
      <c r="L32" s="54">
        <v>10</v>
      </c>
      <c r="M32" s="54">
        <v>0</v>
      </c>
      <c r="N32" s="54">
        <v>71.89</v>
      </c>
      <c r="O32" s="54">
        <v>192</v>
      </c>
      <c r="P32" s="54">
        <v>0</v>
      </c>
      <c r="Q32" s="54">
        <v>35.950000000000003</v>
      </c>
      <c r="R32" s="54">
        <v>0</v>
      </c>
      <c r="S32" s="54">
        <v>0</v>
      </c>
      <c r="T32" s="54">
        <v>0</v>
      </c>
      <c r="U32" s="54">
        <v>0</v>
      </c>
      <c r="V32" s="54">
        <v>40.799999999999997</v>
      </c>
      <c r="W32" s="54">
        <v>79.89</v>
      </c>
      <c r="X32" s="54">
        <v>0</v>
      </c>
      <c r="Y32" s="54">
        <v>600</v>
      </c>
      <c r="Z32" s="198">
        <v>85.38</v>
      </c>
    </row>
    <row r="33" spans="1:26" ht="15.75" customHeight="1" x14ac:dyDescent="0.25">
      <c r="A33" s="54"/>
      <c r="B33" s="54"/>
      <c r="C33" s="208">
        <v>43374</v>
      </c>
      <c r="D33" s="54">
        <v>127.72</v>
      </c>
      <c r="E33" s="54">
        <v>55.15</v>
      </c>
      <c r="F33" s="54">
        <v>0</v>
      </c>
      <c r="G33" s="54">
        <v>8.5</v>
      </c>
      <c r="H33" s="54">
        <v>8.5</v>
      </c>
      <c r="I33" s="54">
        <v>40</v>
      </c>
      <c r="J33" s="54">
        <v>100.22000000000001</v>
      </c>
      <c r="K33" s="54">
        <v>175.48</v>
      </c>
      <c r="L33" s="54">
        <v>34</v>
      </c>
      <c r="M33" s="54">
        <v>0</v>
      </c>
      <c r="N33" s="54">
        <v>71.89</v>
      </c>
      <c r="O33" s="54">
        <v>192</v>
      </c>
      <c r="P33" s="54">
        <v>4.4000000000000004</v>
      </c>
      <c r="Q33" s="54">
        <v>18.689999999999998</v>
      </c>
      <c r="R33" s="54">
        <v>0</v>
      </c>
      <c r="S33" s="54">
        <v>38.5</v>
      </c>
      <c r="T33" s="54">
        <v>0</v>
      </c>
      <c r="U33" s="54">
        <v>0</v>
      </c>
      <c r="V33" s="54">
        <v>45.49</v>
      </c>
      <c r="W33" s="54">
        <v>0</v>
      </c>
      <c r="X33" s="54">
        <v>0</v>
      </c>
      <c r="Y33" s="54">
        <v>600</v>
      </c>
      <c r="Z33" s="198">
        <v>0</v>
      </c>
    </row>
    <row r="34" spans="1:26" ht="15.75" customHeight="1" x14ac:dyDescent="0.25">
      <c r="A34" s="54"/>
      <c r="B34" s="54"/>
      <c r="C34" s="208">
        <v>43405</v>
      </c>
      <c r="D34" s="54">
        <v>319.38</v>
      </c>
      <c r="E34" s="54">
        <v>80.5</v>
      </c>
      <c r="F34" s="54">
        <v>0</v>
      </c>
      <c r="G34" s="54">
        <v>29.9</v>
      </c>
      <c r="H34" s="54">
        <v>4.5</v>
      </c>
      <c r="I34" s="54">
        <v>20</v>
      </c>
      <c r="J34" s="54">
        <v>97.38000000000001</v>
      </c>
      <c r="K34" s="54">
        <v>0</v>
      </c>
      <c r="L34" s="54">
        <v>149.42000000000002</v>
      </c>
      <c r="M34" s="54">
        <v>20</v>
      </c>
      <c r="N34" s="54">
        <v>71.89</v>
      </c>
      <c r="O34" s="54">
        <v>192</v>
      </c>
      <c r="P34" s="54">
        <v>0</v>
      </c>
      <c r="Q34" s="54">
        <v>41.68</v>
      </c>
      <c r="R34" s="54">
        <v>0</v>
      </c>
      <c r="S34" s="54">
        <v>14.9</v>
      </c>
      <c r="T34" s="54">
        <v>0</v>
      </c>
      <c r="U34" s="54">
        <v>0</v>
      </c>
      <c r="V34" s="54">
        <v>108.05999999999999</v>
      </c>
      <c r="W34" s="54">
        <v>28.5</v>
      </c>
      <c r="X34" s="54">
        <v>39.9</v>
      </c>
      <c r="Y34" s="54">
        <v>589.85</v>
      </c>
      <c r="Z34" s="198">
        <v>0</v>
      </c>
    </row>
    <row r="35" spans="1:26" ht="15.75" customHeight="1" x14ac:dyDescent="0.25">
      <c r="A35" s="54"/>
      <c r="B35" s="54"/>
      <c r="C35" s="208">
        <v>43435</v>
      </c>
      <c r="D35" s="54">
        <v>271.75</v>
      </c>
      <c r="E35" s="54">
        <v>43.629999999999995</v>
      </c>
      <c r="F35" s="54">
        <v>40.98</v>
      </c>
      <c r="G35" s="54">
        <v>22.5</v>
      </c>
      <c r="H35" s="54">
        <v>9.5399999999999991</v>
      </c>
      <c r="I35" s="54">
        <v>20</v>
      </c>
      <c r="J35" s="54">
        <v>181.48</v>
      </c>
      <c r="K35" s="54">
        <v>180.69</v>
      </c>
      <c r="L35" s="54">
        <v>57.75</v>
      </c>
      <c r="M35" s="54">
        <v>73</v>
      </c>
      <c r="N35" s="54">
        <v>71.89</v>
      </c>
      <c r="O35" s="54">
        <v>96</v>
      </c>
      <c r="P35" s="54">
        <v>78</v>
      </c>
      <c r="Q35" s="54">
        <v>92.490000000000009</v>
      </c>
      <c r="R35" s="54">
        <v>0</v>
      </c>
      <c r="S35" s="54">
        <v>0</v>
      </c>
      <c r="T35" s="54">
        <v>0</v>
      </c>
      <c r="U35" s="54">
        <v>0</v>
      </c>
      <c r="V35" s="54">
        <v>98.4</v>
      </c>
      <c r="W35" s="54">
        <v>0</v>
      </c>
      <c r="X35" s="54">
        <v>49.99</v>
      </c>
      <c r="Y35" s="54">
        <v>550</v>
      </c>
      <c r="Z35" s="198">
        <v>14</v>
      </c>
    </row>
    <row r="36" spans="1:26" ht="15.75" customHeight="1" x14ac:dyDescent="0.25">
      <c r="A36" s="54"/>
      <c r="B36" s="54"/>
      <c r="C36" s="208">
        <v>43466</v>
      </c>
      <c r="D36" s="54">
        <v>190.19</v>
      </c>
      <c r="E36" s="54">
        <v>47.03</v>
      </c>
      <c r="F36" s="54">
        <v>3.8</v>
      </c>
      <c r="G36" s="54">
        <v>12.23</v>
      </c>
      <c r="H36" s="54">
        <v>15.47</v>
      </c>
      <c r="I36" s="54">
        <v>20</v>
      </c>
      <c r="J36" s="54">
        <v>120.59</v>
      </c>
      <c r="K36" s="54">
        <v>296.73</v>
      </c>
      <c r="L36" s="54">
        <v>0</v>
      </c>
      <c r="M36" s="54">
        <v>40</v>
      </c>
      <c r="N36" s="54">
        <v>76.89</v>
      </c>
      <c r="O36" s="54">
        <v>30.1</v>
      </c>
      <c r="P36" s="54">
        <v>22.05</v>
      </c>
      <c r="Q36" s="54">
        <v>0</v>
      </c>
      <c r="R36" s="54">
        <v>89.08</v>
      </c>
      <c r="S36" s="54">
        <v>0</v>
      </c>
      <c r="T36" s="54">
        <v>0</v>
      </c>
      <c r="U36" s="54">
        <v>0</v>
      </c>
      <c r="V36" s="54">
        <v>99.84</v>
      </c>
      <c r="W36" s="54">
        <v>0</v>
      </c>
      <c r="X36" s="54">
        <v>0</v>
      </c>
      <c r="Y36" s="54">
        <v>550</v>
      </c>
      <c r="Z36" s="198">
        <v>0</v>
      </c>
    </row>
    <row r="37" spans="1:26" ht="15.75" customHeight="1" x14ac:dyDescent="0.25">
      <c r="A37" s="54"/>
      <c r="B37" s="54"/>
      <c r="C37" s="208">
        <v>43497</v>
      </c>
      <c r="D37" s="54">
        <v>150.9</v>
      </c>
      <c r="E37" s="54">
        <v>39.25</v>
      </c>
      <c r="F37" s="54">
        <v>0</v>
      </c>
      <c r="G37" s="54">
        <v>9</v>
      </c>
      <c r="H37" s="54">
        <v>8.5</v>
      </c>
      <c r="I37" s="54">
        <v>40</v>
      </c>
      <c r="J37" s="54">
        <v>268.5</v>
      </c>
      <c r="K37" s="54">
        <v>8.89</v>
      </c>
      <c r="L37" s="54">
        <v>30</v>
      </c>
      <c r="M37" s="54">
        <v>45</v>
      </c>
      <c r="N37" s="54">
        <v>76.89</v>
      </c>
      <c r="O37" s="54">
        <v>206.4</v>
      </c>
      <c r="P37" s="54">
        <v>135</v>
      </c>
      <c r="Q37" s="54">
        <v>52.7</v>
      </c>
      <c r="R37" s="54">
        <v>0</v>
      </c>
      <c r="S37" s="54">
        <v>0</v>
      </c>
      <c r="T37" s="54">
        <v>0</v>
      </c>
      <c r="U37" s="54">
        <v>0</v>
      </c>
      <c r="V37" s="54">
        <v>43.97</v>
      </c>
      <c r="W37" s="54">
        <v>29.9</v>
      </c>
      <c r="X37" s="54">
        <v>0</v>
      </c>
      <c r="Y37" s="54">
        <v>550</v>
      </c>
      <c r="Z37" s="198">
        <v>45</v>
      </c>
    </row>
    <row r="38" spans="1:26" ht="15.75" customHeight="1" x14ac:dyDescent="0.25">
      <c r="A38" s="54"/>
      <c r="B38" s="54"/>
      <c r="C38" s="208">
        <v>43525</v>
      </c>
      <c r="D38" s="54">
        <v>263.74</v>
      </c>
      <c r="E38" s="54">
        <v>28.799999999999997</v>
      </c>
      <c r="F38" s="54">
        <v>0</v>
      </c>
      <c r="G38" s="54">
        <v>8.5</v>
      </c>
      <c r="H38" s="54">
        <v>21.5</v>
      </c>
      <c r="I38" s="54">
        <v>75</v>
      </c>
      <c r="J38" s="54">
        <v>105.34</v>
      </c>
      <c r="K38" s="54">
        <v>154.91</v>
      </c>
      <c r="L38" s="54">
        <v>5</v>
      </c>
      <c r="M38" s="54">
        <v>15</v>
      </c>
      <c r="N38" s="54">
        <v>76.89</v>
      </c>
      <c r="O38" s="54">
        <v>206.4</v>
      </c>
      <c r="P38" s="54">
        <v>0</v>
      </c>
      <c r="Q38" s="54">
        <v>48.580000000000005</v>
      </c>
      <c r="R38" s="54">
        <v>6</v>
      </c>
      <c r="S38" s="54">
        <v>0</v>
      </c>
      <c r="T38" s="54">
        <v>0</v>
      </c>
      <c r="U38" s="54">
        <v>0</v>
      </c>
      <c r="V38" s="54">
        <v>160.97</v>
      </c>
      <c r="W38" s="54">
        <v>0</v>
      </c>
      <c r="X38" s="54">
        <v>60</v>
      </c>
      <c r="Y38" s="54">
        <v>550</v>
      </c>
      <c r="Z38" s="198">
        <v>0</v>
      </c>
    </row>
    <row r="39" spans="1:26" ht="15.75" customHeight="1" x14ac:dyDescent="0.25">
      <c r="A39" s="54"/>
      <c r="B39" s="54"/>
      <c r="C39" s="208">
        <v>43556</v>
      </c>
      <c r="D39" s="54">
        <v>239.00000000000003</v>
      </c>
      <c r="E39" s="54">
        <v>0</v>
      </c>
      <c r="F39" s="54">
        <v>24.5</v>
      </c>
      <c r="G39" s="54">
        <v>28.8</v>
      </c>
      <c r="H39" s="54">
        <v>18</v>
      </c>
      <c r="I39" s="54">
        <v>30</v>
      </c>
      <c r="J39" s="54">
        <v>144.04</v>
      </c>
      <c r="K39" s="54">
        <v>154.74</v>
      </c>
      <c r="L39" s="54">
        <v>81</v>
      </c>
      <c r="M39" s="54">
        <v>25</v>
      </c>
      <c r="N39" s="54">
        <v>76.89</v>
      </c>
      <c r="O39" s="54">
        <v>211.15</v>
      </c>
      <c r="P39" s="54">
        <v>135</v>
      </c>
      <c r="Q39" s="54">
        <v>111.08</v>
      </c>
      <c r="R39" s="54">
        <v>0</v>
      </c>
      <c r="S39" s="54">
        <v>5.1000000000000014</v>
      </c>
      <c r="T39" s="54">
        <v>0</v>
      </c>
      <c r="U39" s="54">
        <v>0</v>
      </c>
      <c r="V39" s="54">
        <v>40.299999999999997</v>
      </c>
      <c r="W39" s="54">
        <v>0</v>
      </c>
      <c r="X39" s="54">
        <v>0</v>
      </c>
      <c r="Y39" s="54">
        <v>550</v>
      </c>
      <c r="Z39" s="198">
        <v>45</v>
      </c>
    </row>
    <row r="40" spans="1:26" ht="15.75" customHeight="1" x14ac:dyDescent="0.25">
      <c r="A40" s="54"/>
      <c r="B40" s="54"/>
      <c r="C40" s="208">
        <v>43586</v>
      </c>
      <c r="D40" s="54">
        <v>247.62</v>
      </c>
      <c r="E40" s="54">
        <v>51.699999999999996</v>
      </c>
      <c r="F40" s="54">
        <v>2.5</v>
      </c>
      <c r="G40" s="54">
        <v>14</v>
      </c>
      <c r="H40" s="54">
        <v>20.3</v>
      </c>
      <c r="I40" s="54">
        <v>20</v>
      </c>
      <c r="J40" s="54">
        <v>169.41</v>
      </c>
      <c r="K40" s="54">
        <v>1.79</v>
      </c>
      <c r="L40" s="54">
        <v>8</v>
      </c>
      <c r="M40" s="54">
        <v>25</v>
      </c>
      <c r="N40" s="54">
        <v>76.89</v>
      </c>
      <c r="O40" s="54">
        <v>206.4</v>
      </c>
      <c r="P40" s="54">
        <v>135</v>
      </c>
      <c r="Q40" s="54">
        <v>126.41</v>
      </c>
      <c r="R40" s="54">
        <v>0</v>
      </c>
      <c r="S40" s="54">
        <v>0</v>
      </c>
      <c r="T40" s="54">
        <v>0</v>
      </c>
      <c r="U40" s="54">
        <v>0</v>
      </c>
      <c r="V40" s="54">
        <v>367.59</v>
      </c>
      <c r="W40" s="54">
        <v>0</v>
      </c>
      <c r="X40" s="54">
        <v>350</v>
      </c>
      <c r="Y40" s="54">
        <v>550</v>
      </c>
      <c r="Z40" s="198">
        <v>0</v>
      </c>
    </row>
    <row r="41" spans="1:26" ht="15.75" customHeight="1" x14ac:dyDescent="0.25">
      <c r="A41" s="54"/>
      <c r="B41" s="54"/>
      <c r="C41" s="208">
        <v>43617</v>
      </c>
      <c r="D41" s="54">
        <v>333.55999999999995</v>
      </c>
      <c r="E41" s="54">
        <v>30.799999999999997</v>
      </c>
      <c r="F41" s="54">
        <v>44</v>
      </c>
      <c r="G41" s="54">
        <v>46.480000000000004</v>
      </c>
      <c r="H41" s="54">
        <v>11.3</v>
      </c>
      <c r="I41" s="54">
        <v>20</v>
      </c>
      <c r="J41" s="54">
        <v>139.20000000000002</v>
      </c>
      <c r="K41" s="54">
        <v>172.75</v>
      </c>
      <c r="L41" s="54">
        <v>0</v>
      </c>
      <c r="M41" s="54">
        <v>25</v>
      </c>
      <c r="N41" s="54">
        <v>76.89</v>
      </c>
      <c r="O41" s="54">
        <v>0</v>
      </c>
      <c r="P41" s="54">
        <v>135</v>
      </c>
      <c r="Q41" s="54">
        <v>195.21</v>
      </c>
      <c r="R41" s="54">
        <v>0</v>
      </c>
      <c r="S41" s="54">
        <v>0</v>
      </c>
      <c r="T41" s="54">
        <v>0</v>
      </c>
      <c r="U41" s="54">
        <v>0</v>
      </c>
      <c r="V41" s="54">
        <v>9.61</v>
      </c>
      <c r="W41" s="54">
        <v>0</v>
      </c>
      <c r="X41" s="54">
        <v>0</v>
      </c>
      <c r="Y41" s="54">
        <v>550</v>
      </c>
      <c r="Z41" s="198">
        <v>0</v>
      </c>
    </row>
    <row r="42" spans="1:26" ht="15.75" customHeight="1" x14ac:dyDescent="0.25">
      <c r="A42" s="54"/>
      <c r="B42" s="54"/>
      <c r="C42" s="208">
        <v>43647</v>
      </c>
      <c r="D42" s="54">
        <v>226.6</v>
      </c>
      <c r="E42" s="54">
        <v>17.899999999999999</v>
      </c>
      <c r="F42" s="54">
        <v>3.8</v>
      </c>
      <c r="G42" s="54">
        <v>41.7</v>
      </c>
      <c r="H42" s="54">
        <v>6.5</v>
      </c>
      <c r="I42" s="54">
        <v>30</v>
      </c>
      <c r="J42" s="54">
        <v>155.08999999999997</v>
      </c>
      <c r="K42" s="54">
        <v>0</v>
      </c>
      <c r="L42" s="54">
        <v>0</v>
      </c>
      <c r="M42" s="54">
        <v>25</v>
      </c>
      <c r="N42" s="54">
        <v>76.89</v>
      </c>
      <c r="O42" s="54">
        <v>103.2</v>
      </c>
      <c r="P42" s="54">
        <v>80</v>
      </c>
      <c r="Q42" s="54">
        <v>111.11</v>
      </c>
      <c r="R42" s="54">
        <v>0</v>
      </c>
      <c r="S42" s="54">
        <v>0</v>
      </c>
      <c r="T42" s="54">
        <v>0</v>
      </c>
      <c r="U42" s="54">
        <v>0</v>
      </c>
      <c r="V42" s="54">
        <v>91.679999999999993</v>
      </c>
      <c r="W42" s="54">
        <v>14.36</v>
      </c>
      <c r="X42" s="54">
        <v>0</v>
      </c>
      <c r="Y42" s="54">
        <v>550</v>
      </c>
      <c r="Z42" s="198">
        <v>50</v>
      </c>
    </row>
    <row r="43" spans="1:26" ht="15.75" customHeight="1" x14ac:dyDescent="0.25">
      <c r="A43" s="54"/>
      <c r="B43" s="54"/>
      <c r="C43" s="208">
        <v>43678</v>
      </c>
      <c r="D43" s="54">
        <v>305.8</v>
      </c>
      <c r="E43" s="54">
        <v>0</v>
      </c>
      <c r="F43" s="54">
        <v>9</v>
      </c>
      <c r="G43" s="54">
        <v>58.379999999999995</v>
      </c>
      <c r="H43" s="54">
        <v>26.99</v>
      </c>
      <c r="I43" s="54">
        <v>50</v>
      </c>
      <c r="J43" s="54">
        <v>101.65</v>
      </c>
      <c r="K43" s="54">
        <v>150</v>
      </c>
      <c r="L43" s="54">
        <v>0</v>
      </c>
      <c r="M43" s="54">
        <v>10</v>
      </c>
      <c r="N43" s="54">
        <v>76.89</v>
      </c>
      <c r="O43" s="54">
        <v>206.4</v>
      </c>
      <c r="P43" s="54">
        <v>135</v>
      </c>
      <c r="Q43" s="54">
        <v>145.82</v>
      </c>
      <c r="R43" s="54">
        <v>0</v>
      </c>
      <c r="S43" s="54">
        <v>2.7</v>
      </c>
      <c r="T43" s="54">
        <v>0</v>
      </c>
      <c r="U43" s="54">
        <v>0</v>
      </c>
      <c r="V43" s="54">
        <v>20.399999999999999</v>
      </c>
      <c r="W43" s="54">
        <v>0</v>
      </c>
      <c r="X43" s="54">
        <v>0</v>
      </c>
      <c r="Y43" s="54">
        <v>550</v>
      </c>
      <c r="Z43" s="198">
        <v>0</v>
      </c>
    </row>
    <row r="44" spans="1:26" ht="15.75" customHeight="1" x14ac:dyDescent="0.25">
      <c r="A44" s="54"/>
      <c r="B44" s="54"/>
      <c r="C44" s="209">
        <v>43709</v>
      </c>
      <c r="D44" s="63">
        <v>268.51000000000005</v>
      </c>
      <c r="E44" s="63">
        <v>13.45</v>
      </c>
      <c r="F44" s="63">
        <v>8.5</v>
      </c>
      <c r="G44" s="63">
        <v>64.760000000000005</v>
      </c>
      <c r="H44" s="63">
        <v>14.99</v>
      </c>
      <c r="I44" s="63">
        <v>27.3</v>
      </c>
      <c r="J44" s="63">
        <v>123.09</v>
      </c>
      <c r="K44" s="63">
        <v>9.34</v>
      </c>
      <c r="L44" s="63">
        <v>46.5</v>
      </c>
      <c r="M44" s="63">
        <v>20</v>
      </c>
      <c r="N44" s="63">
        <v>76.89</v>
      </c>
      <c r="O44" s="63">
        <v>211.20000000000002</v>
      </c>
      <c r="P44" s="63">
        <v>135</v>
      </c>
      <c r="Q44" s="63">
        <v>209.28999999999996</v>
      </c>
      <c r="R44" s="63">
        <v>0</v>
      </c>
      <c r="S44" s="63">
        <v>0</v>
      </c>
      <c r="T44" s="63">
        <v>3.05</v>
      </c>
      <c r="U44" s="63">
        <v>0</v>
      </c>
      <c r="V44" s="63">
        <v>49.85</v>
      </c>
      <c r="W44" s="63">
        <v>18.899999999999999</v>
      </c>
      <c r="X44" s="63">
        <v>0</v>
      </c>
      <c r="Y44" s="63">
        <v>550</v>
      </c>
      <c r="Z44" s="204">
        <v>45</v>
      </c>
    </row>
    <row r="45" spans="1:26" ht="15.75" customHeight="1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75" customHeight="1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75" customHeight="1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75" customHeight="1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75" customHeight="1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75" customHeight="1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75" customHeight="1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75" customHeight="1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75" customHeight="1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75" customHeight="1" x14ac:dyDescent="0.25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75" customHeight="1" x14ac:dyDescent="0.2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75" customHeight="1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75" customHeight="1" x14ac:dyDescent="0.25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75" customHeight="1" x14ac:dyDescent="0.25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7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75" customHeight="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75" customHeight="1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75" customHeight="1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75" customHeight="1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75" customHeight="1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75" customHeight="1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75" customHeight="1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7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75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75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75" customHeight="1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75" customHeight="1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75" customHeight="1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75" customHeight="1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75" customHeight="1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75" customHeight="1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75" customHeight="1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75" customHeight="1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75" customHeight="1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75" customHeight="1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75" customHeight="1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75" customHeight="1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75" customHeight="1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75" customHeight="1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75" customHeight="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75" customHeight="1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75" customHeight="1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75" customHeight="1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75" customHeight="1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75" customHeight="1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75" customHeight="1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75" customHeight="1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75" customHeight="1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75" customHeight="1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75" customHeight="1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75" customHeight="1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75" customHeight="1" x14ac:dyDescent="0.25"/>
    <row r="102" spans="1:26" ht="15.75" customHeight="1" x14ac:dyDescent="0.25"/>
    <row r="103" spans="1:26" ht="15.75" customHeight="1" x14ac:dyDescent="0.25"/>
    <row r="104" spans="1:26" ht="15.75" customHeight="1" x14ac:dyDescent="0.25"/>
    <row r="105" spans="1:26" ht="15.75" customHeight="1" x14ac:dyDescent="0.25"/>
    <row r="106" spans="1:26" ht="15.75" customHeight="1" x14ac:dyDescent="0.25"/>
    <row r="107" spans="1:26" ht="15.75" customHeight="1" x14ac:dyDescent="0.25"/>
    <row r="108" spans="1:26" ht="15.75" customHeight="1" x14ac:dyDescent="0.25"/>
    <row r="109" spans="1:26" ht="15.75" customHeight="1" x14ac:dyDescent="0.25"/>
    <row r="110" spans="1:26" ht="15.75" customHeight="1" x14ac:dyDescent="0.25"/>
    <row r="111" spans="1:26" ht="15.75" customHeight="1" x14ac:dyDescent="0.25"/>
    <row r="112" spans="1:2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1000"/>
  <sheetViews>
    <sheetView showGridLines="0" topLeftCell="F1" workbookViewId="0"/>
  </sheetViews>
  <sheetFormatPr defaultColWidth="14.42578125" defaultRowHeight="15" customHeight="1" x14ac:dyDescent="0.25"/>
  <cols>
    <col min="1" max="1" width="18" customWidth="1"/>
    <col min="2" max="2" width="26.7109375" customWidth="1"/>
    <col min="3" max="3" width="11.28515625" customWidth="1"/>
    <col min="4" max="4" width="14.42578125" customWidth="1"/>
    <col min="5" max="5" width="16.85546875" customWidth="1"/>
    <col min="6" max="6" width="13.140625" customWidth="1"/>
    <col min="7" max="7" width="17.7109375" customWidth="1"/>
    <col min="8" max="8" width="17" customWidth="1"/>
    <col min="9" max="9" width="14.5703125" customWidth="1"/>
    <col min="10" max="10" width="13.7109375" customWidth="1"/>
    <col min="11" max="11" width="15.28515625" customWidth="1"/>
    <col min="12" max="12" width="15.140625" customWidth="1"/>
    <col min="13" max="13" width="11.5703125" customWidth="1"/>
    <col min="14" max="15" width="13.5703125" customWidth="1"/>
    <col min="16" max="16" width="15.85546875" customWidth="1"/>
    <col min="17" max="17" width="23.5703125" customWidth="1"/>
    <col min="18" max="18" width="14.28515625" customWidth="1"/>
    <col min="19" max="19" width="16.85546875" customWidth="1"/>
    <col min="20" max="20" width="18.7109375" customWidth="1"/>
    <col min="21" max="21" width="14.28515625" customWidth="1"/>
  </cols>
  <sheetData>
    <row r="1" spans="1:24" x14ac:dyDescent="0.25">
      <c r="A1" s="210"/>
      <c r="B1" s="211" t="s">
        <v>88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3"/>
    </row>
    <row r="2" spans="1:24" x14ac:dyDescent="0.25">
      <c r="A2" s="211" t="s">
        <v>162</v>
      </c>
      <c r="B2" s="210" t="s">
        <v>163</v>
      </c>
      <c r="C2" s="214" t="s">
        <v>164</v>
      </c>
      <c r="D2" s="214" t="s">
        <v>165</v>
      </c>
      <c r="E2" s="214" t="s">
        <v>166</v>
      </c>
      <c r="F2" s="214" t="s">
        <v>168</v>
      </c>
      <c r="G2" s="214" t="s">
        <v>167</v>
      </c>
      <c r="H2" s="214" t="s">
        <v>169</v>
      </c>
      <c r="I2" s="214" t="s">
        <v>170</v>
      </c>
      <c r="J2" s="214" t="s">
        <v>171</v>
      </c>
      <c r="K2" s="214" t="s">
        <v>172</v>
      </c>
      <c r="L2" s="214" t="s">
        <v>173</v>
      </c>
      <c r="M2" s="214" t="s">
        <v>174</v>
      </c>
      <c r="N2" s="214" t="s">
        <v>175</v>
      </c>
      <c r="O2" s="214" t="s">
        <v>176</v>
      </c>
      <c r="P2" s="214" t="s">
        <v>177</v>
      </c>
      <c r="Q2" s="214" t="s">
        <v>178</v>
      </c>
      <c r="R2" s="214" t="s">
        <v>179</v>
      </c>
      <c r="S2" s="214" t="s">
        <v>180</v>
      </c>
      <c r="T2" s="214" t="s">
        <v>181</v>
      </c>
      <c r="U2" s="214" t="s">
        <v>182</v>
      </c>
      <c r="V2" s="214" t="s">
        <v>183</v>
      </c>
      <c r="W2" s="214" t="s">
        <v>184</v>
      </c>
      <c r="X2" s="215" t="s">
        <v>185</v>
      </c>
    </row>
    <row r="3" spans="1:24" x14ac:dyDescent="0.25">
      <c r="A3" s="216">
        <v>43313</v>
      </c>
      <c r="B3" s="217">
        <v>345.37</v>
      </c>
      <c r="C3" s="218">
        <v>16.899999999999999</v>
      </c>
      <c r="D3" s="218">
        <v>0</v>
      </c>
      <c r="E3" s="218">
        <v>25.75</v>
      </c>
      <c r="F3" s="218">
        <v>26.8</v>
      </c>
      <c r="G3" s="218">
        <v>31</v>
      </c>
      <c r="H3" s="218">
        <v>80.59</v>
      </c>
      <c r="I3" s="218">
        <v>0</v>
      </c>
      <c r="J3" s="218">
        <v>145</v>
      </c>
      <c r="K3" s="218">
        <v>0</v>
      </c>
      <c r="L3" s="218">
        <v>100.84</v>
      </c>
      <c r="M3" s="218">
        <v>171</v>
      </c>
      <c r="N3" s="218">
        <v>0</v>
      </c>
      <c r="O3" s="218">
        <v>9.1</v>
      </c>
      <c r="P3" s="218">
        <v>0</v>
      </c>
      <c r="Q3" s="218">
        <v>40.9</v>
      </c>
      <c r="R3" s="218">
        <v>72</v>
      </c>
      <c r="S3" s="218">
        <v>0</v>
      </c>
      <c r="T3" s="218">
        <v>25</v>
      </c>
      <c r="U3" s="218">
        <v>0</v>
      </c>
      <c r="V3" s="218">
        <v>0</v>
      </c>
      <c r="W3" s="218">
        <v>600</v>
      </c>
      <c r="X3" s="219">
        <v>0</v>
      </c>
    </row>
    <row r="4" spans="1:24" x14ac:dyDescent="0.25">
      <c r="A4" s="220">
        <v>43344</v>
      </c>
      <c r="B4" s="221">
        <v>146.32999999999998</v>
      </c>
      <c r="C4" s="222">
        <v>16.899999999999999</v>
      </c>
      <c r="D4" s="222">
        <v>0</v>
      </c>
      <c r="E4" s="222">
        <v>14.5</v>
      </c>
      <c r="F4" s="222">
        <v>18.3</v>
      </c>
      <c r="G4" s="222">
        <v>40</v>
      </c>
      <c r="H4" s="222">
        <v>69.05</v>
      </c>
      <c r="I4" s="222">
        <v>160</v>
      </c>
      <c r="J4" s="222">
        <v>10</v>
      </c>
      <c r="K4" s="222">
        <v>0</v>
      </c>
      <c r="L4" s="222">
        <v>71.89</v>
      </c>
      <c r="M4" s="222">
        <v>192</v>
      </c>
      <c r="N4" s="222">
        <v>0</v>
      </c>
      <c r="O4" s="222">
        <v>35.950000000000003</v>
      </c>
      <c r="P4" s="222">
        <v>0</v>
      </c>
      <c r="Q4" s="222">
        <v>0</v>
      </c>
      <c r="R4" s="222">
        <v>0</v>
      </c>
      <c r="S4" s="222">
        <v>0</v>
      </c>
      <c r="T4" s="222">
        <v>40.799999999999997</v>
      </c>
      <c r="U4" s="222">
        <v>79.89</v>
      </c>
      <c r="V4" s="222">
        <v>0</v>
      </c>
      <c r="W4" s="222">
        <v>600</v>
      </c>
      <c r="X4" s="223">
        <v>85.38</v>
      </c>
    </row>
    <row r="5" spans="1:24" x14ac:dyDescent="0.25">
      <c r="A5" s="220">
        <v>43374</v>
      </c>
      <c r="B5" s="221">
        <v>127.72</v>
      </c>
      <c r="C5" s="222">
        <v>55.15</v>
      </c>
      <c r="D5" s="222">
        <v>0</v>
      </c>
      <c r="E5" s="222">
        <v>8.5</v>
      </c>
      <c r="F5" s="222">
        <v>8.5</v>
      </c>
      <c r="G5" s="222">
        <v>40</v>
      </c>
      <c r="H5" s="222">
        <v>100.22000000000001</v>
      </c>
      <c r="I5" s="222">
        <v>175.48</v>
      </c>
      <c r="J5" s="222">
        <v>34</v>
      </c>
      <c r="K5" s="222">
        <v>0</v>
      </c>
      <c r="L5" s="222">
        <v>71.89</v>
      </c>
      <c r="M5" s="222">
        <v>192</v>
      </c>
      <c r="N5" s="222">
        <v>4.4000000000000004</v>
      </c>
      <c r="O5" s="222">
        <v>18.689999999999998</v>
      </c>
      <c r="P5" s="222">
        <v>0</v>
      </c>
      <c r="Q5" s="222">
        <v>38.5</v>
      </c>
      <c r="R5" s="222">
        <v>0</v>
      </c>
      <c r="S5" s="222">
        <v>0</v>
      </c>
      <c r="T5" s="222">
        <v>45.49</v>
      </c>
      <c r="U5" s="222">
        <v>0</v>
      </c>
      <c r="V5" s="222">
        <v>0</v>
      </c>
      <c r="W5" s="222">
        <v>600</v>
      </c>
      <c r="X5" s="223">
        <v>0</v>
      </c>
    </row>
    <row r="6" spans="1:24" x14ac:dyDescent="0.25">
      <c r="A6" s="220">
        <v>43405</v>
      </c>
      <c r="B6" s="221">
        <v>319.38</v>
      </c>
      <c r="C6" s="222">
        <v>80.5</v>
      </c>
      <c r="D6" s="222">
        <v>0</v>
      </c>
      <c r="E6" s="222">
        <v>29.9</v>
      </c>
      <c r="F6" s="222">
        <v>4.5</v>
      </c>
      <c r="G6" s="222">
        <v>20</v>
      </c>
      <c r="H6" s="222">
        <v>97.38000000000001</v>
      </c>
      <c r="I6" s="222">
        <v>0</v>
      </c>
      <c r="J6" s="222">
        <v>149.42000000000002</v>
      </c>
      <c r="K6" s="222">
        <v>20</v>
      </c>
      <c r="L6" s="222">
        <v>71.89</v>
      </c>
      <c r="M6" s="222">
        <v>192</v>
      </c>
      <c r="N6" s="222">
        <v>0</v>
      </c>
      <c r="O6" s="222">
        <v>41.68</v>
      </c>
      <c r="P6" s="222">
        <v>0</v>
      </c>
      <c r="Q6" s="222">
        <v>14.9</v>
      </c>
      <c r="R6" s="222">
        <v>0</v>
      </c>
      <c r="S6" s="222">
        <v>0</v>
      </c>
      <c r="T6" s="222">
        <v>108.05999999999999</v>
      </c>
      <c r="U6" s="222">
        <v>28.5</v>
      </c>
      <c r="V6" s="222">
        <v>39.9</v>
      </c>
      <c r="W6" s="222">
        <v>589.85</v>
      </c>
      <c r="X6" s="223">
        <v>0</v>
      </c>
    </row>
    <row r="7" spans="1:24" x14ac:dyDescent="0.25">
      <c r="A7" s="220">
        <v>43435</v>
      </c>
      <c r="B7" s="221">
        <v>271.75</v>
      </c>
      <c r="C7" s="222">
        <v>43.629999999999995</v>
      </c>
      <c r="D7" s="222">
        <v>40.98</v>
      </c>
      <c r="E7" s="222">
        <v>22.5</v>
      </c>
      <c r="F7" s="222">
        <v>9.5399999999999991</v>
      </c>
      <c r="G7" s="222">
        <v>20</v>
      </c>
      <c r="H7" s="222">
        <v>181.48</v>
      </c>
      <c r="I7" s="222">
        <v>180.69</v>
      </c>
      <c r="J7" s="222">
        <v>57.75</v>
      </c>
      <c r="K7" s="222">
        <v>73</v>
      </c>
      <c r="L7" s="222">
        <v>71.89</v>
      </c>
      <c r="M7" s="222">
        <v>96</v>
      </c>
      <c r="N7" s="222">
        <v>78</v>
      </c>
      <c r="O7" s="222">
        <v>92.490000000000009</v>
      </c>
      <c r="P7" s="222">
        <v>0</v>
      </c>
      <c r="Q7" s="222">
        <v>0</v>
      </c>
      <c r="R7" s="222">
        <v>0</v>
      </c>
      <c r="S7" s="222">
        <v>0</v>
      </c>
      <c r="T7" s="222">
        <v>98.4</v>
      </c>
      <c r="U7" s="222">
        <v>0</v>
      </c>
      <c r="V7" s="222">
        <v>49.99</v>
      </c>
      <c r="W7" s="222">
        <v>550</v>
      </c>
      <c r="X7" s="223">
        <v>14</v>
      </c>
    </row>
    <row r="8" spans="1:24" x14ac:dyDescent="0.25">
      <c r="A8" s="220">
        <v>43466</v>
      </c>
      <c r="B8" s="221">
        <v>190.19</v>
      </c>
      <c r="C8" s="222">
        <v>47.03</v>
      </c>
      <c r="D8" s="222">
        <v>3.8</v>
      </c>
      <c r="E8" s="222">
        <v>12.23</v>
      </c>
      <c r="F8" s="222">
        <v>15.47</v>
      </c>
      <c r="G8" s="222">
        <v>20</v>
      </c>
      <c r="H8" s="222">
        <v>120.59</v>
      </c>
      <c r="I8" s="222">
        <v>296.73</v>
      </c>
      <c r="J8" s="222">
        <v>0</v>
      </c>
      <c r="K8" s="222">
        <v>40</v>
      </c>
      <c r="L8" s="222">
        <v>76.89</v>
      </c>
      <c r="M8" s="222">
        <v>30.1</v>
      </c>
      <c r="N8" s="222">
        <v>22.05</v>
      </c>
      <c r="O8" s="222">
        <v>0</v>
      </c>
      <c r="P8" s="222">
        <v>89.08</v>
      </c>
      <c r="Q8" s="222">
        <v>0</v>
      </c>
      <c r="R8" s="222">
        <v>0</v>
      </c>
      <c r="S8" s="222">
        <v>0</v>
      </c>
      <c r="T8" s="222">
        <v>99.84</v>
      </c>
      <c r="U8" s="222">
        <v>0</v>
      </c>
      <c r="V8" s="222">
        <v>0</v>
      </c>
      <c r="W8" s="222">
        <v>550</v>
      </c>
      <c r="X8" s="223">
        <v>0</v>
      </c>
    </row>
    <row r="9" spans="1:24" x14ac:dyDescent="0.25">
      <c r="A9" s="220">
        <v>43497</v>
      </c>
      <c r="B9" s="221">
        <v>150.9</v>
      </c>
      <c r="C9" s="222">
        <v>39.25</v>
      </c>
      <c r="D9" s="222">
        <v>0</v>
      </c>
      <c r="E9" s="222">
        <v>9</v>
      </c>
      <c r="F9" s="222">
        <v>8.5</v>
      </c>
      <c r="G9" s="222">
        <v>40</v>
      </c>
      <c r="H9" s="222">
        <v>268.5</v>
      </c>
      <c r="I9" s="222">
        <v>8.89</v>
      </c>
      <c r="J9" s="222">
        <v>30</v>
      </c>
      <c r="K9" s="222">
        <v>45</v>
      </c>
      <c r="L9" s="222">
        <v>76.89</v>
      </c>
      <c r="M9" s="222">
        <v>206.4</v>
      </c>
      <c r="N9" s="222">
        <v>135</v>
      </c>
      <c r="O9" s="222">
        <v>52.7</v>
      </c>
      <c r="P9" s="222">
        <v>0</v>
      </c>
      <c r="Q9" s="222">
        <v>0</v>
      </c>
      <c r="R9" s="222">
        <v>0</v>
      </c>
      <c r="S9" s="222">
        <v>0</v>
      </c>
      <c r="T9" s="222">
        <v>43.97</v>
      </c>
      <c r="U9" s="222">
        <v>29.9</v>
      </c>
      <c r="V9" s="222">
        <v>0</v>
      </c>
      <c r="W9" s="222">
        <v>550</v>
      </c>
      <c r="X9" s="223">
        <v>45</v>
      </c>
    </row>
    <row r="10" spans="1:24" x14ac:dyDescent="0.25">
      <c r="A10" s="220">
        <v>43525</v>
      </c>
      <c r="B10" s="221">
        <v>263.74</v>
      </c>
      <c r="C10" s="222">
        <v>28.799999999999997</v>
      </c>
      <c r="D10" s="222">
        <v>0</v>
      </c>
      <c r="E10" s="222">
        <v>8.5</v>
      </c>
      <c r="F10" s="222">
        <v>21.5</v>
      </c>
      <c r="G10" s="222">
        <v>75</v>
      </c>
      <c r="H10" s="222">
        <v>105.34</v>
      </c>
      <c r="I10" s="222">
        <v>154.91</v>
      </c>
      <c r="J10" s="222">
        <v>5</v>
      </c>
      <c r="K10" s="222">
        <v>15</v>
      </c>
      <c r="L10" s="222">
        <v>76.89</v>
      </c>
      <c r="M10" s="222">
        <v>206.4</v>
      </c>
      <c r="N10" s="222">
        <v>0</v>
      </c>
      <c r="O10" s="222">
        <v>48.580000000000005</v>
      </c>
      <c r="P10" s="222">
        <v>6</v>
      </c>
      <c r="Q10" s="222">
        <v>0</v>
      </c>
      <c r="R10" s="222">
        <v>0</v>
      </c>
      <c r="S10" s="222">
        <v>0</v>
      </c>
      <c r="T10" s="222">
        <v>160.97</v>
      </c>
      <c r="U10" s="222">
        <v>0</v>
      </c>
      <c r="V10" s="222">
        <v>60</v>
      </c>
      <c r="W10" s="222">
        <v>550</v>
      </c>
      <c r="X10" s="223">
        <v>0</v>
      </c>
    </row>
    <row r="11" spans="1:24" x14ac:dyDescent="0.25">
      <c r="A11" s="220">
        <v>43556</v>
      </c>
      <c r="B11" s="221">
        <v>239.00000000000003</v>
      </c>
      <c r="C11" s="222">
        <v>0</v>
      </c>
      <c r="D11" s="222">
        <v>24.5</v>
      </c>
      <c r="E11" s="222">
        <v>28.8</v>
      </c>
      <c r="F11" s="222">
        <v>18</v>
      </c>
      <c r="G11" s="222">
        <v>30</v>
      </c>
      <c r="H11" s="222">
        <v>144.04</v>
      </c>
      <c r="I11" s="222">
        <v>154.74</v>
      </c>
      <c r="J11" s="222">
        <v>81</v>
      </c>
      <c r="K11" s="222">
        <v>25</v>
      </c>
      <c r="L11" s="222">
        <v>76.89</v>
      </c>
      <c r="M11" s="222">
        <v>211.15</v>
      </c>
      <c r="N11" s="222">
        <v>135</v>
      </c>
      <c r="O11" s="222">
        <v>111.08</v>
      </c>
      <c r="P11" s="222">
        <v>0</v>
      </c>
      <c r="Q11" s="222">
        <v>5.1000000000000014</v>
      </c>
      <c r="R11" s="222">
        <v>0</v>
      </c>
      <c r="S11" s="222">
        <v>0</v>
      </c>
      <c r="T11" s="222">
        <v>40.299999999999997</v>
      </c>
      <c r="U11" s="222">
        <v>0</v>
      </c>
      <c r="V11" s="222">
        <v>0</v>
      </c>
      <c r="W11" s="222">
        <v>550</v>
      </c>
      <c r="X11" s="223">
        <v>45</v>
      </c>
    </row>
    <row r="12" spans="1:24" x14ac:dyDescent="0.25">
      <c r="A12" s="220">
        <v>43586</v>
      </c>
      <c r="B12" s="221">
        <v>247.62</v>
      </c>
      <c r="C12" s="222">
        <v>51.699999999999996</v>
      </c>
      <c r="D12" s="222">
        <v>2.5</v>
      </c>
      <c r="E12" s="222">
        <v>14</v>
      </c>
      <c r="F12" s="222">
        <v>20.3</v>
      </c>
      <c r="G12" s="222">
        <v>20</v>
      </c>
      <c r="H12" s="222">
        <v>169.41</v>
      </c>
      <c r="I12" s="222">
        <v>1.79</v>
      </c>
      <c r="J12" s="222">
        <v>8</v>
      </c>
      <c r="K12" s="222">
        <v>25</v>
      </c>
      <c r="L12" s="222">
        <v>76.89</v>
      </c>
      <c r="M12" s="222">
        <v>206.4</v>
      </c>
      <c r="N12" s="222">
        <v>135</v>
      </c>
      <c r="O12" s="222">
        <v>126.41</v>
      </c>
      <c r="P12" s="222">
        <v>0</v>
      </c>
      <c r="Q12" s="222">
        <v>0</v>
      </c>
      <c r="R12" s="222">
        <v>0</v>
      </c>
      <c r="S12" s="222">
        <v>0</v>
      </c>
      <c r="T12" s="222">
        <v>367.59</v>
      </c>
      <c r="U12" s="222">
        <v>0</v>
      </c>
      <c r="V12" s="222">
        <v>350</v>
      </c>
      <c r="W12" s="222">
        <v>550</v>
      </c>
      <c r="X12" s="223">
        <v>0</v>
      </c>
    </row>
    <row r="13" spans="1:24" x14ac:dyDescent="0.25">
      <c r="A13" s="220">
        <v>43617</v>
      </c>
      <c r="B13" s="221">
        <v>333.55999999999995</v>
      </c>
      <c r="C13" s="222">
        <v>30.799999999999997</v>
      </c>
      <c r="D13" s="222">
        <v>44</v>
      </c>
      <c r="E13" s="222">
        <v>46.480000000000004</v>
      </c>
      <c r="F13" s="222">
        <v>11.3</v>
      </c>
      <c r="G13" s="222">
        <v>20</v>
      </c>
      <c r="H13" s="222">
        <v>139.20000000000002</v>
      </c>
      <c r="I13" s="222">
        <v>172.75</v>
      </c>
      <c r="J13" s="222">
        <v>0</v>
      </c>
      <c r="K13" s="222">
        <v>25</v>
      </c>
      <c r="L13" s="222">
        <v>76.89</v>
      </c>
      <c r="M13" s="222">
        <v>0</v>
      </c>
      <c r="N13" s="222">
        <v>135</v>
      </c>
      <c r="O13" s="222">
        <v>195.21</v>
      </c>
      <c r="P13" s="222">
        <v>0</v>
      </c>
      <c r="Q13" s="222">
        <v>0</v>
      </c>
      <c r="R13" s="222">
        <v>0</v>
      </c>
      <c r="S13" s="222">
        <v>0</v>
      </c>
      <c r="T13" s="222">
        <v>9.61</v>
      </c>
      <c r="U13" s="222">
        <v>0</v>
      </c>
      <c r="V13" s="222">
        <v>0</v>
      </c>
      <c r="W13" s="222">
        <v>550</v>
      </c>
      <c r="X13" s="223">
        <v>0</v>
      </c>
    </row>
    <row r="14" spans="1:24" x14ac:dyDescent="0.25">
      <c r="A14" s="220">
        <v>43647</v>
      </c>
      <c r="B14" s="221">
        <v>226.6</v>
      </c>
      <c r="C14" s="222">
        <v>17.899999999999999</v>
      </c>
      <c r="D14" s="222">
        <v>3.8</v>
      </c>
      <c r="E14" s="222">
        <v>41.7</v>
      </c>
      <c r="F14" s="222">
        <v>6.5</v>
      </c>
      <c r="G14" s="222">
        <v>30</v>
      </c>
      <c r="H14" s="222">
        <v>155.08999999999997</v>
      </c>
      <c r="I14" s="222">
        <v>0</v>
      </c>
      <c r="J14" s="222">
        <v>0</v>
      </c>
      <c r="K14" s="222">
        <v>25</v>
      </c>
      <c r="L14" s="222">
        <v>76.89</v>
      </c>
      <c r="M14" s="222">
        <v>103.2</v>
      </c>
      <c r="N14" s="222">
        <v>80</v>
      </c>
      <c r="O14" s="222">
        <v>111.11</v>
      </c>
      <c r="P14" s="222">
        <v>0</v>
      </c>
      <c r="Q14" s="222">
        <v>0</v>
      </c>
      <c r="R14" s="222">
        <v>0</v>
      </c>
      <c r="S14" s="222">
        <v>0</v>
      </c>
      <c r="T14" s="222">
        <v>91.679999999999993</v>
      </c>
      <c r="U14" s="222">
        <v>14.36</v>
      </c>
      <c r="V14" s="222">
        <v>0</v>
      </c>
      <c r="W14" s="222">
        <v>550</v>
      </c>
      <c r="X14" s="223">
        <v>50</v>
      </c>
    </row>
    <row r="15" spans="1:24" x14ac:dyDescent="0.25">
      <c r="A15" s="220">
        <v>43678</v>
      </c>
      <c r="B15" s="221">
        <v>305.8</v>
      </c>
      <c r="C15" s="222">
        <v>0</v>
      </c>
      <c r="D15" s="222">
        <v>9</v>
      </c>
      <c r="E15" s="222">
        <v>58.379999999999995</v>
      </c>
      <c r="F15" s="222">
        <v>26.99</v>
      </c>
      <c r="G15" s="222">
        <v>50</v>
      </c>
      <c r="H15" s="222">
        <v>101.65</v>
      </c>
      <c r="I15" s="222">
        <v>150</v>
      </c>
      <c r="J15" s="222">
        <v>0</v>
      </c>
      <c r="K15" s="222">
        <v>10</v>
      </c>
      <c r="L15" s="222">
        <v>76.89</v>
      </c>
      <c r="M15" s="222">
        <v>206.4</v>
      </c>
      <c r="N15" s="222">
        <v>135</v>
      </c>
      <c r="O15" s="222">
        <v>145.82</v>
      </c>
      <c r="P15" s="222">
        <v>0</v>
      </c>
      <c r="Q15" s="222">
        <v>2.7</v>
      </c>
      <c r="R15" s="222">
        <v>0</v>
      </c>
      <c r="S15" s="222">
        <v>0</v>
      </c>
      <c r="T15" s="222">
        <v>20.399999999999999</v>
      </c>
      <c r="U15" s="222">
        <v>0</v>
      </c>
      <c r="V15" s="222">
        <v>0</v>
      </c>
      <c r="W15" s="222">
        <v>550</v>
      </c>
      <c r="X15" s="223">
        <v>0</v>
      </c>
    </row>
    <row r="16" spans="1:24" x14ac:dyDescent="0.25">
      <c r="A16" s="220">
        <v>43709</v>
      </c>
      <c r="B16" s="221">
        <v>268.51000000000005</v>
      </c>
      <c r="C16" s="222">
        <v>13.45</v>
      </c>
      <c r="D16" s="222">
        <v>8.5</v>
      </c>
      <c r="E16" s="222">
        <v>64.760000000000005</v>
      </c>
      <c r="F16" s="222">
        <v>14.99</v>
      </c>
      <c r="G16" s="222">
        <v>27.3</v>
      </c>
      <c r="H16" s="222">
        <v>123.09</v>
      </c>
      <c r="I16" s="222">
        <v>9.34</v>
      </c>
      <c r="J16" s="222">
        <v>46.5</v>
      </c>
      <c r="K16" s="222">
        <v>20</v>
      </c>
      <c r="L16" s="222">
        <v>76.89</v>
      </c>
      <c r="M16" s="222">
        <v>211.20000000000002</v>
      </c>
      <c r="N16" s="222">
        <v>135</v>
      </c>
      <c r="O16" s="222">
        <v>209.28999999999996</v>
      </c>
      <c r="P16" s="222">
        <v>0</v>
      </c>
      <c r="Q16" s="222">
        <v>0</v>
      </c>
      <c r="R16" s="222">
        <v>3.05</v>
      </c>
      <c r="S16" s="222">
        <v>0</v>
      </c>
      <c r="T16" s="222">
        <v>49.85</v>
      </c>
      <c r="U16" s="222">
        <v>18.899999999999999</v>
      </c>
      <c r="V16" s="222">
        <v>0</v>
      </c>
      <c r="W16" s="222">
        <v>550</v>
      </c>
      <c r="X16" s="223">
        <v>45</v>
      </c>
    </row>
    <row r="17" spans="1:24" x14ac:dyDescent="0.25">
      <c r="A17" s="224" t="s">
        <v>206</v>
      </c>
      <c r="B17" s="225">
        <v>3436.4700000000003</v>
      </c>
      <c r="C17" s="226">
        <v>442.01</v>
      </c>
      <c r="D17" s="226">
        <v>137.07999999999998</v>
      </c>
      <c r="E17" s="226">
        <v>385</v>
      </c>
      <c r="F17" s="226">
        <v>211.19000000000005</v>
      </c>
      <c r="G17" s="226">
        <v>463.3</v>
      </c>
      <c r="H17" s="226">
        <v>1855.63</v>
      </c>
      <c r="I17" s="226">
        <v>1465.32</v>
      </c>
      <c r="J17" s="226">
        <v>566.67000000000007</v>
      </c>
      <c r="K17" s="226">
        <v>323</v>
      </c>
      <c r="L17" s="226">
        <v>1080.4099999999999</v>
      </c>
      <c r="M17" s="226">
        <v>2224.2500000000005</v>
      </c>
      <c r="N17" s="226">
        <v>994.45</v>
      </c>
      <c r="O17" s="226">
        <v>1198.1099999999999</v>
      </c>
      <c r="P17" s="226">
        <v>95.08</v>
      </c>
      <c r="Q17" s="226">
        <v>102.10000000000001</v>
      </c>
      <c r="R17" s="226">
        <v>75.05</v>
      </c>
      <c r="S17" s="226">
        <v>0</v>
      </c>
      <c r="T17" s="226">
        <v>1201.96</v>
      </c>
      <c r="U17" s="226">
        <v>171.54999999999998</v>
      </c>
      <c r="V17" s="226">
        <v>499.89</v>
      </c>
      <c r="W17" s="226">
        <v>7889.85</v>
      </c>
      <c r="X17" s="227">
        <v>284.38</v>
      </c>
    </row>
    <row r="18" spans="1:24" x14ac:dyDescent="0.25">
      <c r="A18" s="8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spans="1:24" x14ac:dyDescent="0.25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spans="1:24" x14ac:dyDescent="0.25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spans="1:24" ht="15.75" customHeight="1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</row>
    <row r="22" spans="1:24" ht="15.75" customHeight="1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</row>
    <row r="23" spans="1:24" ht="15.75" customHeight="1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</row>
    <row r="24" spans="1:24" ht="15.75" customHeight="1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</row>
    <row r="25" spans="1:24" ht="15.75" customHeight="1" x14ac:dyDescent="0.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spans="1:24" ht="15.75" customHeight="1" x14ac:dyDescent="0.2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</row>
    <row r="27" spans="1:24" ht="15.75" customHeight="1" x14ac:dyDescent="0.2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</row>
    <row r="28" spans="1:24" ht="15.75" customHeight="1" x14ac:dyDescent="0.25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spans="1:24" ht="15.75" customHeight="1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</row>
    <row r="30" spans="1:24" ht="15.7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</row>
    <row r="31" spans="1:24" ht="15.75" customHeight="1" x14ac:dyDescent="0.25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</row>
    <row r="32" spans="1:24" ht="15.75" customHeight="1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</row>
    <row r="33" spans="1:21" ht="15.75" customHeight="1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</row>
    <row r="34" spans="1:21" ht="15.75" customHeight="1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</row>
    <row r="35" spans="1:21" ht="15.75" customHeight="1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</row>
    <row r="36" spans="1:21" ht="15.75" customHeight="1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</row>
    <row r="37" spans="1:21" ht="15.75" customHeight="1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</row>
    <row r="38" spans="1:21" ht="15.75" customHeight="1" x14ac:dyDescent="0.25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</row>
    <row r="39" spans="1:21" ht="15.75" customHeight="1" x14ac:dyDescent="0.25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</row>
    <row r="40" spans="1:21" ht="15.75" customHeight="1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</row>
    <row r="41" spans="1:21" ht="15.75" customHeight="1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</row>
    <row r="42" spans="1:21" ht="15.75" customHeight="1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</row>
    <row r="43" spans="1:21" ht="15.75" customHeight="1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</row>
    <row r="44" spans="1:21" ht="15.75" customHeight="1" x14ac:dyDescent="0.25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</row>
    <row r="45" spans="1:21" ht="15.75" customHeight="1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</row>
    <row r="46" spans="1:21" ht="15.75" customHeight="1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</row>
    <row r="47" spans="1:21" ht="15.75" customHeight="1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</row>
    <row r="48" spans="1:21" ht="15.75" customHeight="1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</row>
    <row r="49" spans="1:21" ht="15.75" customHeight="1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</row>
    <row r="50" spans="1:21" ht="15.75" customHeight="1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</row>
    <row r="51" spans="1:21" ht="15.75" customHeight="1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</row>
    <row r="52" spans="1:21" ht="15.75" customHeight="1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</row>
    <row r="53" spans="1:21" ht="15.75" customHeight="1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</row>
    <row r="54" spans="1:21" ht="15.75" customHeight="1" x14ac:dyDescent="0.25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</row>
    <row r="55" spans="1:21" ht="15.75" customHeight="1" x14ac:dyDescent="0.2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</row>
    <row r="56" spans="1:21" ht="15.75" customHeight="1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</row>
    <row r="57" spans="1:21" ht="15.75" customHeight="1" x14ac:dyDescent="0.25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</row>
    <row r="58" spans="1:21" ht="15.75" customHeight="1" x14ac:dyDescent="0.25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</row>
    <row r="59" spans="1:21" ht="15.7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</row>
    <row r="60" spans="1:21" ht="15.75" customHeight="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</row>
    <row r="61" spans="1:21" ht="15.75" customHeight="1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</row>
    <row r="62" spans="1:21" ht="15.75" customHeight="1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</row>
    <row r="63" spans="1:21" ht="15.75" customHeight="1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</row>
    <row r="64" spans="1:21" ht="15.75" customHeight="1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</row>
    <row r="65" spans="1:21" ht="15.75" customHeight="1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</row>
    <row r="66" spans="1:21" ht="15.75" customHeight="1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</row>
    <row r="67" spans="1:21" ht="15.7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</row>
    <row r="68" spans="1:21" ht="15.75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</row>
    <row r="69" spans="1:21" ht="15.75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</row>
    <row r="70" spans="1:21" ht="15.75" customHeight="1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</row>
    <row r="71" spans="1:21" ht="15.75" customHeight="1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</row>
    <row r="72" spans="1:21" ht="15.75" customHeight="1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</row>
    <row r="73" spans="1:21" ht="15.75" customHeight="1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</row>
    <row r="74" spans="1:21" ht="15.75" customHeight="1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</row>
    <row r="75" spans="1:21" ht="15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</row>
    <row r="76" spans="1:21" ht="15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</row>
    <row r="77" spans="1:21" ht="15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</row>
    <row r="78" spans="1:21" ht="15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</row>
    <row r="79" spans="1:21" ht="15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</row>
    <row r="80" spans="1:21" ht="15.75" customHeight="1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</row>
    <row r="81" spans="1:21" ht="15.75" customHeight="1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</row>
    <row r="82" spans="1:21" ht="15.75" customHeight="1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</row>
    <row r="83" spans="1:21" ht="15.75" customHeight="1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</row>
    <row r="84" spans="1:21" ht="15.75" customHeight="1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</row>
    <row r="85" spans="1:21" ht="15.75" customHeight="1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</row>
    <row r="86" spans="1:21" ht="15.75" customHeight="1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</row>
    <row r="87" spans="1:21" ht="15.75" customHeight="1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</row>
    <row r="88" spans="1:21" ht="15.75" customHeight="1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</row>
    <row r="89" spans="1:21" ht="15.75" customHeight="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</row>
    <row r="90" spans="1:21" ht="15.75" customHeight="1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</row>
    <row r="91" spans="1:21" ht="15.75" customHeight="1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</row>
    <row r="92" spans="1:21" ht="15.75" customHeight="1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</row>
    <row r="93" spans="1:21" ht="15.75" customHeight="1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</row>
    <row r="94" spans="1:21" ht="15.75" customHeight="1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</row>
    <row r="95" spans="1:21" ht="15.75" customHeight="1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</row>
    <row r="96" spans="1:21" ht="15.75" customHeight="1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</row>
    <row r="97" spans="1:21" ht="15.75" customHeight="1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</row>
    <row r="98" spans="1:21" ht="15.75" customHeight="1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</row>
    <row r="99" spans="1:21" ht="15.75" customHeight="1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</row>
    <row r="100" spans="1:21" ht="15.75" customHeight="1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</row>
    <row r="101" spans="1:21" ht="15.75" customHeight="1" x14ac:dyDescent="0.25"/>
    <row r="102" spans="1:21" ht="15.75" customHeight="1" x14ac:dyDescent="0.25"/>
    <row r="103" spans="1:21" ht="15.75" customHeight="1" x14ac:dyDescent="0.25"/>
    <row r="104" spans="1:21" ht="15.75" customHeight="1" x14ac:dyDescent="0.25"/>
    <row r="105" spans="1:21" ht="15.75" customHeight="1" x14ac:dyDescent="0.25"/>
    <row r="106" spans="1:21" ht="15.75" customHeight="1" x14ac:dyDescent="0.25"/>
    <row r="107" spans="1:21" ht="15.75" customHeight="1" x14ac:dyDescent="0.25"/>
    <row r="108" spans="1:21" ht="15.75" customHeight="1" x14ac:dyDescent="0.25"/>
    <row r="109" spans="1:21" ht="15.75" customHeight="1" x14ac:dyDescent="0.25"/>
    <row r="110" spans="1:21" ht="15.75" customHeight="1" x14ac:dyDescent="0.25"/>
    <row r="111" spans="1:21" ht="15.75" customHeight="1" x14ac:dyDescent="0.25"/>
    <row r="112" spans="1:2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000"/>
  <sheetViews>
    <sheetView showGridLines="0" workbookViewId="0"/>
  </sheetViews>
  <sheetFormatPr defaultColWidth="14.42578125" defaultRowHeight="15" customHeight="1" x14ac:dyDescent="0.25"/>
  <cols>
    <col min="1" max="3" width="9.140625" customWidth="1"/>
    <col min="4" max="4" width="18.42578125" customWidth="1"/>
    <col min="5" max="5" width="7" customWidth="1"/>
    <col min="6" max="7" width="7.28515625" customWidth="1"/>
    <col min="8" max="8" width="7" customWidth="1"/>
    <col min="9" max="9" width="7.140625" customWidth="1"/>
    <col min="10" max="13" width="7" customWidth="1"/>
    <col min="14" max="14" width="16.42578125" customWidth="1"/>
    <col min="15" max="15" width="9.140625" customWidth="1"/>
  </cols>
  <sheetData>
    <row r="1" spans="1:15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x14ac:dyDescent="0.25">
      <c r="A3" s="54"/>
      <c r="B3" s="54"/>
      <c r="C3" s="54"/>
      <c r="D3" s="157" t="s">
        <v>162</v>
      </c>
      <c r="E3" s="191">
        <v>43466</v>
      </c>
      <c r="F3" s="191">
        <v>43497</v>
      </c>
      <c r="G3" s="191">
        <v>43525</v>
      </c>
      <c r="H3" s="191">
        <v>43556</v>
      </c>
      <c r="I3" s="191">
        <v>43586</v>
      </c>
      <c r="J3" s="191">
        <v>43617</v>
      </c>
      <c r="K3" s="191">
        <v>43647</v>
      </c>
      <c r="L3" s="191">
        <v>43678</v>
      </c>
      <c r="M3" s="191">
        <v>43709</v>
      </c>
      <c r="N3" s="157" t="s">
        <v>187</v>
      </c>
      <c r="O3" s="157" t="s">
        <v>62</v>
      </c>
    </row>
    <row r="4" spans="1:15" x14ac:dyDescent="0.25">
      <c r="A4" s="54"/>
      <c r="B4" s="54"/>
      <c r="C4" s="54"/>
      <c r="D4" s="157" t="s">
        <v>29</v>
      </c>
      <c r="E4" s="54">
        <v>76.89</v>
      </c>
      <c r="F4" s="54">
        <v>76.89</v>
      </c>
      <c r="G4" s="54">
        <v>76.89</v>
      </c>
      <c r="H4" s="54">
        <v>76.89</v>
      </c>
      <c r="I4" s="54">
        <v>76.89</v>
      </c>
      <c r="J4" s="54">
        <v>76.89</v>
      </c>
      <c r="K4" s="54">
        <v>76.89</v>
      </c>
      <c r="L4" s="54">
        <v>76.89</v>
      </c>
      <c r="M4" s="54">
        <v>76.89</v>
      </c>
      <c r="N4" s="54">
        <f t="shared" ref="N4:N26" si="0">AVERAGE(E4:M4)</f>
        <v>76.89</v>
      </c>
      <c r="O4" s="54">
        <f t="shared" ref="O4:O26" si="1">SUM(E4:M4)</f>
        <v>692.01</v>
      </c>
    </row>
    <row r="5" spans="1:15" x14ac:dyDescent="0.25">
      <c r="A5" s="54"/>
      <c r="B5" s="54"/>
      <c r="C5" s="54"/>
      <c r="D5" s="157" t="s">
        <v>40</v>
      </c>
      <c r="E5" s="54">
        <v>0</v>
      </c>
      <c r="F5" s="54">
        <v>29.9</v>
      </c>
      <c r="G5" s="54">
        <v>0</v>
      </c>
      <c r="H5" s="54">
        <v>0</v>
      </c>
      <c r="I5" s="54">
        <v>0</v>
      </c>
      <c r="J5" s="54">
        <v>0</v>
      </c>
      <c r="K5" s="54">
        <v>14.36</v>
      </c>
      <c r="L5" s="54">
        <v>0</v>
      </c>
      <c r="M5" s="54">
        <v>18.899999999999999</v>
      </c>
      <c r="N5" s="54">
        <f t="shared" si="0"/>
        <v>7.017777777777777</v>
      </c>
      <c r="O5" s="54">
        <f t="shared" si="1"/>
        <v>63.16</v>
      </c>
    </row>
    <row r="6" spans="1:15" x14ac:dyDescent="0.25">
      <c r="A6" s="54"/>
      <c r="B6" s="54"/>
      <c r="C6" s="54"/>
      <c r="D6" s="157" t="s">
        <v>39</v>
      </c>
      <c r="E6" s="54">
        <v>99.84</v>
      </c>
      <c r="F6" s="54">
        <v>43.97</v>
      </c>
      <c r="G6" s="54">
        <v>160.97</v>
      </c>
      <c r="H6" s="54">
        <v>40.299999999999997</v>
      </c>
      <c r="I6" s="54">
        <v>50</v>
      </c>
      <c r="J6" s="54">
        <v>9.61</v>
      </c>
      <c r="K6" s="54">
        <v>91.679999999999993</v>
      </c>
      <c r="L6" s="54">
        <v>20.399999999999999</v>
      </c>
      <c r="M6" s="54">
        <v>49.85</v>
      </c>
      <c r="N6" s="54">
        <f t="shared" si="0"/>
        <v>62.957777777777778</v>
      </c>
      <c r="O6" s="54">
        <f t="shared" si="1"/>
        <v>566.62</v>
      </c>
    </row>
    <row r="7" spans="1:15" x14ac:dyDescent="0.25">
      <c r="A7" s="54"/>
      <c r="B7" s="54"/>
      <c r="C7" s="54"/>
      <c r="D7" s="157" t="s">
        <v>41</v>
      </c>
      <c r="E7" s="54">
        <v>0</v>
      </c>
      <c r="F7" s="54">
        <v>0</v>
      </c>
      <c r="G7" s="54">
        <v>60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f t="shared" si="0"/>
        <v>6.666666666666667</v>
      </c>
      <c r="O7" s="54">
        <f t="shared" si="1"/>
        <v>60</v>
      </c>
    </row>
    <row r="8" spans="1:15" x14ac:dyDescent="0.25">
      <c r="A8" s="54"/>
      <c r="B8" s="54"/>
      <c r="C8" s="54"/>
      <c r="D8" s="157" t="s">
        <v>72</v>
      </c>
      <c r="E8" s="54">
        <v>550</v>
      </c>
      <c r="F8" s="54">
        <v>550</v>
      </c>
      <c r="G8" s="54">
        <v>550</v>
      </c>
      <c r="H8" s="54">
        <v>550</v>
      </c>
      <c r="I8" s="54">
        <v>550</v>
      </c>
      <c r="J8" s="54">
        <v>550</v>
      </c>
      <c r="K8" s="54">
        <v>550</v>
      </c>
      <c r="L8" s="54">
        <v>550</v>
      </c>
      <c r="M8" s="54">
        <v>550</v>
      </c>
      <c r="N8" s="54">
        <f t="shared" si="0"/>
        <v>550</v>
      </c>
      <c r="O8" s="54">
        <f t="shared" si="1"/>
        <v>4950</v>
      </c>
    </row>
    <row r="9" spans="1:15" x14ac:dyDescent="0.25">
      <c r="A9" s="54"/>
      <c r="B9" s="54"/>
      <c r="C9" s="54"/>
      <c r="D9" s="157" t="s">
        <v>186</v>
      </c>
      <c r="E9" s="54">
        <v>20</v>
      </c>
      <c r="F9" s="54">
        <v>40</v>
      </c>
      <c r="G9" s="54">
        <v>75</v>
      </c>
      <c r="H9" s="54">
        <v>30</v>
      </c>
      <c r="I9" s="54">
        <v>20</v>
      </c>
      <c r="J9" s="54">
        <v>20</v>
      </c>
      <c r="K9" s="54">
        <v>30</v>
      </c>
      <c r="L9" s="54">
        <v>50</v>
      </c>
      <c r="M9" s="54">
        <v>27.3</v>
      </c>
      <c r="N9" s="54">
        <f t="shared" si="0"/>
        <v>34.700000000000003</v>
      </c>
      <c r="O9" s="54">
        <f t="shared" si="1"/>
        <v>312.3</v>
      </c>
    </row>
    <row r="10" spans="1:15" x14ac:dyDescent="0.25">
      <c r="A10" s="54"/>
      <c r="B10" s="54"/>
      <c r="C10" s="54"/>
      <c r="D10" s="157" t="s">
        <v>22</v>
      </c>
      <c r="E10" s="54">
        <v>12.23</v>
      </c>
      <c r="F10" s="54">
        <v>9</v>
      </c>
      <c r="G10" s="54">
        <v>8.5</v>
      </c>
      <c r="H10" s="54">
        <v>28.8</v>
      </c>
      <c r="I10" s="54">
        <v>14</v>
      </c>
      <c r="J10" s="54">
        <v>46.480000000000004</v>
      </c>
      <c r="K10" s="54">
        <v>41.7</v>
      </c>
      <c r="L10" s="54">
        <v>58.379999999999995</v>
      </c>
      <c r="M10" s="54">
        <v>60.760000000000005</v>
      </c>
      <c r="N10" s="54">
        <f t="shared" si="0"/>
        <v>31.094444444444449</v>
      </c>
      <c r="O10" s="54">
        <f t="shared" si="1"/>
        <v>279.85000000000002</v>
      </c>
    </row>
    <row r="11" spans="1:15" x14ac:dyDescent="0.25">
      <c r="A11" s="54"/>
      <c r="B11" s="54"/>
      <c r="C11" s="54"/>
      <c r="D11" s="157" t="s">
        <v>89</v>
      </c>
      <c r="E11" s="54">
        <v>40</v>
      </c>
      <c r="F11" s="54">
        <v>45</v>
      </c>
      <c r="G11" s="54">
        <v>15</v>
      </c>
      <c r="H11" s="54">
        <v>25</v>
      </c>
      <c r="I11" s="54">
        <v>25</v>
      </c>
      <c r="J11" s="54">
        <v>25</v>
      </c>
      <c r="K11" s="54">
        <v>25</v>
      </c>
      <c r="L11" s="54">
        <v>10</v>
      </c>
      <c r="M11" s="54">
        <v>20</v>
      </c>
      <c r="N11" s="54">
        <f t="shared" si="0"/>
        <v>25.555555555555557</v>
      </c>
      <c r="O11" s="54">
        <f t="shared" si="1"/>
        <v>230</v>
      </c>
    </row>
    <row r="12" spans="1:15" x14ac:dyDescent="0.25">
      <c r="A12" s="54"/>
      <c r="B12" s="54"/>
      <c r="C12" s="54"/>
      <c r="D12" s="157" t="s">
        <v>21</v>
      </c>
      <c r="E12" s="54">
        <v>47.03</v>
      </c>
      <c r="F12" s="54">
        <v>39.25</v>
      </c>
      <c r="G12" s="54">
        <v>28.799999999999997</v>
      </c>
      <c r="H12" s="54">
        <v>0</v>
      </c>
      <c r="I12" s="54">
        <v>51.699999999999996</v>
      </c>
      <c r="J12" s="54">
        <v>30.799999999999997</v>
      </c>
      <c r="K12" s="54">
        <v>17.899999999999999</v>
      </c>
      <c r="L12" s="54">
        <v>0</v>
      </c>
      <c r="M12" s="54">
        <v>13.45</v>
      </c>
      <c r="N12" s="54">
        <f t="shared" si="0"/>
        <v>25.436666666666664</v>
      </c>
      <c r="O12" s="54">
        <f t="shared" si="1"/>
        <v>228.92999999999998</v>
      </c>
    </row>
    <row r="13" spans="1:15" x14ac:dyDescent="0.25">
      <c r="A13" s="54"/>
      <c r="B13" s="54"/>
      <c r="C13" s="54"/>
      <c r="D13" s="157" t="s">
        <v>20</v>
      </c>
      <c r="E13" s="54">
        <v>190.19</v>
      </c>
      <c r="F13" s="54">
        <v>150.9</v>
      </c>
      <c r="G13" s="54">
        <v>263.74</v>
      </c>
      <c r="H13" s="54">
        <v>239.00000000000003</v>
      </c>
      <c r="I13" s="54">
        <v>247.62</v>
      </c>
      <c r="J13" s="54">
        <v>333.55999999999995</v>
      </c>
      <c r="K13" s="54">
        <v>226.6</v>
      </c>
      <c r="L13" s="54">
        <v>305.8</v>
      </c>
      <c r="M13" s="54">
        <v>268.51000000000005</v>
      </c>
      <c r="N13" s="54">
        <f t="shared" si="0"/>
        <v>247.32444444444445</v>
      </c>
      <c r="O13" s="54">
        <f t="shared" si="1"/>
        <v>2225.92</v>
      </c>
    </row>
    <row r="14" spans="1:15" x14ac:dyDescent="0.25">
      <c r="A14" s="54"/>
      <c r="B14" s="54"/>
      <c r="C14" s="54"/>
      <c r="D14" s="157" t="s">
        <v>42</v>
      </c>
      <c r="E14" s="54">
        <v>0</v>
      </c>
      <c r="F14" s="54">
        <v>45</v>
      </c>
      <c r="G14" s="54">
        <v>0</v>
      </c>
      <c r="H14" s="54">
        <v>45</v>
      </c>
      <c r="I14" s="54">
        <v>0</v>
      </c>
      <c r="J14" s="54">
        <v>0</v>
      </c>
      <c r="K14" s="54">
        <v>50</v>
      </c>
      <c r="L14" s="54">
        <v>0</v>
      </c>
      <c r="M14" s="54">
        <v>45</v>
      </c>
      <c r="N14" s="54">
        <f t="shared" si="0"/>
        <v>20.555555555555557</v>
      </c>
      <c r="O14" s="54">
        <f t="shared" si="1"/>
        <v>185</v>
      </c>
    </row>
    <row r="15" spans="1:15" x14ac:dyDescent="0.25">
      <c r="A15" s="54"/>
      <c r="B15" s="54"/>
      <c r="C15" s="54"/>
      <c r="D15" s="157" t="s">
        <v>28</v>
      </c>
      <c r="E15" s="54">
        <v>0</v>
      </c>
      <c r="F15" s="54">
        <v>30</v>
      </c>
      <c r="G15" s="54">
        <v>5</v>
      </c>
      <c r="H15" s="54">
        <v>81</v>
      </c>
      <c r="I15" s="54">
        <v>8</v>
      </c>
      <c r="J15" s="54">
        <v>0</v>
      </c>
      <c r="K15" s="54">
        <v>0</v>
      </c>
      <c r="L15" s="54">
        <v>0</v>
      </c>
      <c r="M15" s="54">
        <v>46.5</v>
      </c>
      <c r="N15" s="54">
        <f t="shared" si="0"/>
        <v>18.944444444444443</v>
      </c>
      <c r="O15" s="54">
        <f t="shared" si="1"/>
        <v>170.5</v>
      </c>
    </row>
    <row r="16" spans="1:15" x14ac:dyDescent="0.25">
      <c r="A16" s="54"/>
      <c r="B16" s="54"/>
      <c r="C16" s="54"/>
      <c r="D16" s="157" t="s">
        <v>31</v>
      </c>
      <c r="E16" s="54">
        <v>30.1</v>
      </c>
      <c r="F16" s="54">
        <v>206.4</v>
      </c>
      <c r="G16" s="54">
        <v>206.4</v>
      </c>
      <c r="H16" s="54">
        <v>211.15</v>
      </c>
      <c r="I16" s="54">
        <v>206.4</v>
      </c>
      <c r="J16" s="54">
        <v>0</v>
      </c>
      <c r="K16" s="54">
        <v>103.2</v>
      </c>
      <c r="L16" s="54">
        <v>206.4</v>
      </c>
      <c r="M16" s="54">
        <v>211.20000000000002</v>
      </c>
      <c r="N16" s="54">
        <f t="shared" si="0"/>
        <v>153.47222222222223</v>
      </c>
      <c r="O16" s="54">
        <f t="shared" si="1"/>
        <v>1381.25</v>
      </c>
    </row>
    <row r="17" spans="1:15" x14ac:dyDescent="0.25">
      <c r="A17" s="54"/>
      <c r="B17" s="54"/>
      <c r="C17" s="54"/>
      <c r="D17" s="157" t="s">
        <v>23</v>
      </c>
      <c r="E17" s="54">
        <v>15.47</v>
      </c>
      <c r="F17" s="54">
        <v>8.5</v>
      </c>
      <c r="G17" s="54">
        <v>21.5</v>
      </c>
      <c r="H17" s="54">
        <v>18</v>
      </c>
      <c r="I17" s="54">
        <v>20.3</v>
      </c>
      <c r="J17" s="54">
        <v>11.3</v>
      </c>
      <c r="K17" s="54">
        <v>6.5</v>
      </c>
      <c r="L17" s="54">
        <v>26.99</v>
      </c>
      <c r="M17" s="54">
        <v>14.99</v>
      </c>
      <c r="N17" s="54">
        <f t="shared" si="0"/>
        <v>15.950000000000001</v>
      </c>
      <c r="O17" s="54">
        <f t="shared" si="1"/>
        <v>143.55000000000001</v>
      </c>
    </row>
    <row r="18" spans="1:15" x14ac:dyDescent="0.25">
      <c r="A18" s="54"/>
      <c r="B18" s="54"/>
      <c r="C18" s="54"/>
      <c r="D18" s="157" t="s">
        <v>24</v>
      </c>
      <c r="E18" s="54">
        <v>120.59</v>
      </c>
      <c r="F18" s="54">
        <v>268.5</v>
      </c>
      <c r="G18" s="54">
        <v>105.34</v>
      </c>
      <c r="H18" s="54">
        <v>144.04</v>
      </c>
      <c r="I18" s="54">
        <v>169.41</v>
      </c>
      <c r="J18" s="54">
        <v>139.20000000000002</v>
      </c>
      <c r="K18" s="54">
        <v>155.08999999999997</v>
      </c>
      <c r="L18" s="54">
        <v>101.65</v>
      </c>
      <c r="M18" s="54">
        <v>123.09</v>
      </c>
      <c r="N18" s="54">
        <f t="shared" si="0"/>
        <v>147.43444444444447</v>
      </c>
      <c r="O18" s="54">
        <f t="shared" si="1"/>
        <v>1326.91</v>
      </c>
    </row>
    <row r="19" spans="1:15" x14ac:dyDescent="0.25">
      <c r="A19" s="54"/>
      <c r="B19" s="54"/>
      <c r="C19" s="54"/>
      <c r="D19" s="157" t="s">
        <v>33</v>
      </c>
      <c r="E19" s="54">
        <v>0</v>
      </c>
      <c r="F19" s="54">
        <v>52.7</v>
      </c>
      <c r="G19" s="54">
        <v>48.580000000000005</v>
      </c>
      <c r="H19" s="54">
        <v>111.08</v>
      </c>
      <c r="I19" s="54">
        <v>126.41</v>
      </c>
      <c r="J19" s="54">
        <v>195.21</v>
      </c>
      <c r="K19" s="54">
        <v>111.11</v>
      </c>
      <c r="L19" s="54">
        <v>145.82</v>
      </c>
      <c r="M19" s="54">
        <v>209.28999999999996</v>
      </c>
      <c r="N19" s="54">
        <f t="shared" si="0"/>
        <v>111.13333333333334</v>
      </c>
      <c r="O19" s="54">
        <f t="shared" si="1"/>
        <v>1000.2</v>
      </c>
    </row>
    <row r="20" spans="1:15" x14ac:dyDescent="0.25">
      <c r="A20" s="54"/>
      <c r="B20" s="54"/>
      <c r="C20" s="54"/>
      <c r="D20" s="157" t="s">
        <v>27</v>
      </c>
      <c r="E20" s="54">
        <v>296.73</v>
      </c>
      <c r="F20" s="54">
        <v>8.89</v>
      </c>
      <c r="G20" s="54">
        <v>154.91</v>
      </c>
      <c r="H20" s="54">
        <v>154.74</v>
      </c>
      <c r="I20" s="54">
        <v>1.79</v>
      </c>
      <c r="J20" s="54">
        <v>172.75</v>
      </c>
      <c r="K20" s="54">
        <v>0</v>
      </c>
      <c r="L20" s="54">
        <v>150</v>
      </c>
      <c r="M20" s="54">
        <v>9.34</v>
      </c>
      <c r="N20" s="54">
        <f t="shared" si="0"/>
        <v>105.46111111111111</v>
      </c>
      <c r="O20" s="54">
        <f t="shared" si="1"/>
        <v>949.15</v>
      </c>
    </row>
    <row r="21" spans="1:15" ht="15.75" customHeight="1" x14ac:dyDescent="0.25">
      <c r="A21" s="54"/>
      <c r="B21" s="54"/>
      <c r="C21" s="54"/>
      <c r="D21" s="157" t="s">
        <v>32</v>
      </c>
      <c r="E21" s="54">
        <v>22.05</v>
      </c>
      <c r="F21" s="54">
        <v>135</v>
      </c>
      <c r="G21" s="54">
        <v>0</v>
      </c>
      <c r="H21" s="54">
        <v>135</v>
      </c>
      <c r="I21" s="54">
        <v>135</v>
      </c>
      <c r="J21" s="54">
        <v>135</v>
      </c>
      <c r="K21" s="54">
        <v>80</v>
      </c>
      <c r="L21" s="54">
        <v>135</v>
      </c>
      <c r="M21" s="54">
        <v>135</v>
      </c>
      <c r="N21" s="54">
        <f t="shared" si="0"/>
        <v>101.33888888888889</v>
      </c>
      <c r="O21" s="54">
        <f t="shared" si="1"/>
        <v>912.05</v>
      </c>
    </row>
    <row r="22" spans="1:15" ht="15.75" customHeight="1" x14ac:dyDescent="0.25">
      <c r="A22" s="54"/>
      <c r="B22" s="54"/>
      <c r="C22" s="54"/>
      <c r="D22" s="157" t="s">
        <v>91</v>
      </c>
      <c r="E22" s="54">
        <v>3.8</v>
      </c>
      <c r="F22" s="54">
        <v>0</v>
      </c>
      <c r="G22" s="54">
        <v>0</v>
      </c>
      <c r="H22" s="54">
        <v>24.5</v>
      </c>
      <c r="I22" s="54">
        <v>2.5</v>
      </c>
      <c r="J22" s="54">
        <v>44</v>
      </c>
      <c r="K22" s="54">
        <v>3.8</v>
      </c>
      <c r="L22" s="54">
        <v>9</v>
      </c>
      <c r="M22" s="54">
        <v>8.5</v>
      </c>
      <c r="N22" s="54">
        <f t="shared" si="0"/>
        <v>10.677777777777777</v>
      </c>
      <c r="O22" s="54">
        <f t="shared" si="1"/>
        <v>96.1</v>
      </c>
    </row>
    <row r="23" spans="1:15" ht="15.75" customHeight="1" x14ac:dyDescent="0.25">
      <c r="A23" s="54"/>
      <c r="B23" s="54"/>
      <c r="C23" s="54"/>
      <c r="D23" s="157" t="s">
        <v>94</v>
      </c>
      <c r="E23" s="54">
        <v>89.08</v>
      </c>
      <c r="F23" s="54">
        <v>0</v>
      </c>
      <c r="G23" s="54">
        <v>6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f t="shared" si="0"/>
        <v>10.564444444444444</v>
      </c>
      <c r="O23" s="54">
        <f t="shared" si="1"/>
        <v>95.08</v>
      </c>
    </row>
    <row r="24" spans="1:15" ht="15.75" customHeight="1" x14ac:dyDescent="0.25">
      <c r="A24" s="54"/>
      <c r="B24" s="54"/>
      <c r="C24" s="54"/>
      <c r="D24" s="157" t="s">
        <v>34</v>
      </c>
      <c r="E24" s="54">
        <v>0</v>
      </c>
      <c r="F24" s="54">
        <v>0</v>
      </c>
      <c r="G24" s="54">
        <v>0</v>
      </c>
      <c r="H24" s="54">
        <v>5.1000000000000014</v>
      </c>
      <c r="I24" s="54">
        <v>0</v>
      </c>
      <c r="J24" s="54">
        <v>0</v>
      </c>
      <c r="K24" s="54">
        <v>0</v>
      </c>
      <c r="L24" s="54">
        <v>2.7</v>
      </c>
      <c r="M24" s="54">
        <v>0</v>
      </c>
      <c r="N24" s="54">
        <f t="shared" si="0"/>
        <v>0.86666666666666681</v>
      </c>
      <c r="O24" s="54">
        <f t="shared" si="1"/>
        <v>7.8000000000000016</v>
      </c>
    </row>
    <row r="25" spans="1:15" ht="15.75" customHeight="1" x14ac:dyDescent="0.25">
      <c r="A25" s="54"/>
      <c r="B25" s="54"/>
      <c r="C25" s="54"/>
      <c r="D25" s="157" t="s">
        <v>35</v>
      </c>
      <c r="E25" s="54">
        <v>0</v>
      </c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0</v>
      </c>
      <c r="M25" s="54">
        <v>3.05</v>
      </c>
      <c r="N25" s="54">
        <f t="shared" si="0"/>
        <v>0.33888888888888885</v>
      </c>
      <c r="O25" s="54">
        <f t="shared" si="1"/>
        <v>3.05</v>
      </c>
    </row>
    <row r="26" spans="1:15" ht="15.75" customHeight="1" x14ac:dyDescent="0.25">
      <c r="A26" s="54"/>
      <c r="B26" s="54"/>
      <c r="C26" s="54"/>
      <c r="D26" s="157" t="s">
        <v>36</v>
      </c>
      <c r="E26" s="54">
        <v>0</v>
      </c>
      <c r="F26" s="54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f t="shared" si="0"/>
        <v>0</v>
      </c>
      <c r="O26" s="54">
        <f t="shared" si="1"/>
        <v>0</v>
      </c>
    </row>
    <row r="27" spans="1:15" ht="15.75" customHeight="1" x14ac:dyDescent="0.2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</row>
    <row r="28" spans="1:15" ht="15.75" customHeight="1" x14ac:dyDescent="0.25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spans="1:15" ht="15.75" customHeight="1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</row>
    <row r="30" spans="1:15" ht="15.7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</row>
    <row r="31" spans="1:15" ht="15.75" customHeight="1" x14ac:dyDescent="0.25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</row>
    <row r="32" spans="1:15" ht="15.75" customHeight="1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spans="1:15" ht="15.75" customHeight="1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</row>
    <row r="34" spans="1:15" ht="15.75" customHeight="1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spans="1:15" ht="15.75" customHeight="1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</row>
    <row r="36" spans="1:15" ht="15.75" customHeight="1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spans="1:15" ht="15.75" customHeight="1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5.75" customHeight="1" x14ac:dyDescent="0.25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</row>
    <row r="39" spans="1:15" ht="15.75" customHeight="1" x14ac:dyDescent="0.25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</row>
    <row r="40" spans="1:15" ht="15.75" customHeight="1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</row>
    <row r="41" spans="1:15" ht="15.75" customHeight="1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ht="15.75" customHeight="1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15.75" customHeight="1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15.75" customHeight="1" x14ac:dyDescent="0.25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</row>
    <row r="45" spans="1:15" ht="15.75" customHeight="1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spans="1:15" ht="15.75" customHeight="1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</row>
    <row r="47" spans="1:15" ht="15.75" customHeight="1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</row>
    <row r="48" spans="1:15" ht="15.75" customHeight="1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</row>
    <row r="49" spans="1:15" ht="15.75" customHeight="1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</row>
    <row r="50" spans="1:15" ht="15.75" customHeight="1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</row>
    <row r="51" spans="1:15" ht="15.75" customHeight="1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</row>
    <row r="52" spans="1:15" ht="15.75" customHeight="1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</row>
    <row r="53" spans="1:15" ht="15.75" customHeight="1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</row>
    <row r="54" spans="1:15" ht="15.75" customHeight="1" x14ac:dyDescent="0.25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</row>
    <row r="55" spans="1:15" ht="15.75" customHeight="1" x14ac:dyDescent="0.2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</row>
    <row r="56" spans="1:15" ht="15.75" customHeight="1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spans="1:15" ht="15.75" customHeight="1" x14ac:dyDescent="0.25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spans="1:15" ht="15.75" customHeight="1" x14ac:dyDescent="0.25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</row>
    <row r="59" spans="1:15" ht="15.7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</row>
    <row r="60" spans="1:15" ht="15.75" customHeight="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spans="1:15" ht="15.75" customHeight="1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spans="1:15" ht="15.75" customHeight="1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</row>
    <row r="63" spans="1:15" ht="15.75" customHeight="1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</row>
    <row r="64" spans="1:15" ht="15.75" customHeight="1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</row>
    <row r="65" spans="1:15" ht="15.75" customHeight="1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</row>
    <row r="66" spans="1:15" ht="15.75" customHeight="1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</row>
    <row r="67" spans="1:15" ht="15.7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</row>
    <row r="68" spans="1:15" ht="15.75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</row>
    <row r="69" spans="1:15" ht="15.75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</row>
    <row r="70" spans="1:15" ht="15.75" customHeight="1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</row>
    <row r="71" spans="1:15" ht="15.75" customHeight="1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</row>
    <row r="72" spans="1:15" ht="15.75" customHeight="1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</row>
    <row r="73" spans="1:15" ht="15.75" customHeight="1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spans="1:15" ht="15.75" customHeight="1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</row>
    <row r="75" spans="1:15" ht="15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</row>
    <row r="76" spans="1:15" ht="15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</row>
    <row r="77" spans="1:15" ht="15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</row>
    <row r="78" spans="1:15" ht="15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</row>
    <row r="79" spans="1:15" ht="15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</row>
    <row r="80" spans="1:15" ht="15.75" customHeight="1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</row>
    <row r="81" spans="1:15" ht="15.75" customHeight="1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</row>
    <row r="82" spans="1:15" ht="15.75" customHeight="1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</row>
    <row r="83" spans="1:15" ht="15.75" customHeight="1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</row>
    <row r="84" spans="1:15" ht="15.75" customHeight="1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</row>
    <row r="85" spans="1:15" ht="15.75" customHeight="1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</row>
    <row r="86" spans="1:15" ht="15.75" customHeight="1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</row>
    <row r="87" spans="1:15" ht="15.75" customHeight="1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</row>
    <row r="88" spans="1:15" ht="15.75" customHeight="1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</row>
    <row r="89" spans="1:15" ht="15.75" customHeight="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</row>
    <row r="90" spans="1:15" ht="15.75" customHeight="1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</row>
    <row r="91" spans="1:15" ht="15.75" customHeight="1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</row>
    <row r="92" spans="1:15" ht="15.75" customHeight="1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</row>
    <row r="93" spans="1:15" ht="15.75" customHeight="1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</row>
    <row r="94" spans="1:15" ht="15.75" customHeight="1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</row>
    <row r="95" spans="1:15" ht="15.75" customHeight="1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</row>
    <row r="96" spans="1:15" ht="15.75" customHeight="1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</row>
    <row r="97" spans="1:15" ht="15.75" customHeight="1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</row>
    <row r="98" spans="1:15" ht="15.75" customHeight="1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</row>
    <row r="99" spans="1:15" ht="15.75" customHeight="1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</row>
    <row r="100" spans="1:15" ht="15.75" customHeight="1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</row>
    <row r="101" spans="1:15" ht="15.75" customHeight="1" x14ac:dyDescent="0.25"/>
    <row r="102" spans="1:15" ht="15.75" customHeight="1" x14ac:dyDescent="0.25"/>
    <row r="103" spans="1:15" ht="15.75" customHeight="1" x14ac:dyDescent="0.25"/>
    <row r="104" spans="1:15" ht="15.75" customHeight="1" x14ac:dyDescent="0.25"/>
    <row r="105" spans="1:15" ht="15.75" customHeight="1" x14ac:dyDescent="0.25"/>
    <row r="106" spans="1:15" ht="15.75" customHeight="1" x14ac:dyDescent="0.25"/>
    <row r="107" spans="1:15" ht="15.75" customHeight="1" x14ac:dyDescent="0.25"/>
    <row r="108" spans="1:15" ht="15.75" customHeight="1" x14ac:dyDescent="0.25"/>
    <row r="109" spans="1:15" ht="15.75" customHeight="1" x14ac:dyDescent="0.25"/>
    <row r="110" spans="1:15" ht="15.75" customHeight="1" x14ac:dyDescent="0.25"/>
    <row r="111" spans="1:15" ht="15.75" customHeight="1" x14ac:dyDescent="0.25"/>
    <row r="112" spans="1:1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D3:O26" xr:uid="{00000000-0009-0000-0000-000022000000}">
    <sortState xmlns:xlrd2="http://schemas.microsoft.com/office/spreadsheetml/2017/richdata2" ref="D3:O26">
      <sortCondition descending="1" ref="N3:N26"/>
    </sortState>
  </autoFilter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Dinâmica</vt:lpstr>
      <vt:lpstr>Nov2017</vt:lpstr>
      <vt:lpstr>Fev2018</vt:lpstr>
      <vt:lpstr>Mar2018</vt:lpstr>
      <vt:lpstr>Abr2018</vt:lpstr>
      <vt:lpstr>Maio2018</vt:lpstr>
      <vt:lpstr>Jun2018</vt:lpstr>
      <vt:lpstr>Jul2018</vt:lpstr>
      <vt:lpstr>Ago2018</vt:lpstr>
      <vt:lpstr>Set2018</vt:lpstr>
      <vt:lpstr>Out2018</vt:lpstr>
      <vt:lpstr>Nov2018</vt:lpstr>
      <vt:lpstr>Dez2018</vt:lpstr>
      <vt:lpstr>Jan2019</vt:lpstr>
      <vt:lpstr>Fev2019</vt:lpstr>
      <vt:lpstr>Mar2019</vt:lpstr>
      <vt:lpstr>Abril2019</vt:lpstr>
      <vt:lpstr>Maio2019</vt:lpstr>
      <vt:lpstr>Jun2019</vt:lpstr>
      <vt:lpstr>Jul2019</vt:lpstr>
      <vt:lpstr>Ago2019</vt:lpstr>
      <vt:lpstr>Set2019</vt:lpstr>
      <vt:lpstr>Out2019</vt:lpstr>
      <vt:lpstr>Nov2019</vt:lpstr>
      <vt:lpstr>Dez2019</vt:lpstr>
      <vt:lpstr>Decimo32019</vt:lpstr>
      <vt:lpstr>Jan2020</vt:lpstr>
      <vt:lpstr>Fev2020</vt:lpstr>
      <vt:lpstr>Mar2020</vt:lpstr>
      <vt:lpstr>Meses</vt:lpstr>
      <vt:lpstr>Essencial</vt:lpstr>
      <vt:lpstr>Exemplo</vt:lpstr>
      <vt:lpstr>BUeBOM</vt:lpstr>
      <vt:lpstr>TabelaDinâmica</vt:lpstr>
      <vt:lpstr>BaseDeDados</vt:lpstr>
      <vt:lpstr>Dinâmico</vt:lpstr>
      <vt:lpstr>Filtro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vitor</cp:lastModifiedBy>
  <dcterms:created xsi:type="dcterms:W3CDTF">2018-06-08T19:56:50Z</dcterms:created>
  <dcterms:modified xsi:type="dcterms:W3CDTF">2020-04-05T16:10:19Z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2ef85c17-7572-4458-a4a6-901a3b09088c</vt:lpwstr>
  </property>
</Properties>
</file>