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C7CEEE14-681F-4EE4-998A-48772EAC1F52}" xr6:coauthVersionLast="47" xr6:coauthVersionMax="47" xr10:uidLastSave="{00000000-0000-0000-0000-000000000000}"/>
  <bookViews>
    <workbookView xWindow="-108" yWindow="-108" windowWidth="23256" windowHeight="12456" firstSheet="6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Cfg_PlanoQC" sheetId="25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r:id="rId17"/>
    <sheet name="Estatística" sheetId="10" r:id="rId18"/>
    <sheet name="Usuarios" sheetId="11" r:id="rId19"/>
    <sheet name="Liberação" sheetId="12" r:id="rId20"/>
    <sheet name="LiberStore" sheetId="13" state="veryHidden" r:id="rId21"/>
    <sheet name="RegistrosStore" sheetId="14" state="veryHidden" r:id="rId22"/>
    <sheet name="Resultados" sheetId="16" r:id="rId23"/>
    <sheet name="Login" sheetId="15" state="veryHidden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5" l="1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B93" i="10" s="1"/>
  <c r="A92" i="10"/>
  <c r="AB92" i="10" s="1"/>
  <c r="A91" i="10"/>
  <c r="AB91" i="10" s="1"/>
  <c r="A90" i="10"/>
  <c r="AB90" i="10" s="1"/>
  <c r="A89" i="10"/>
  <c r="AB89" i="10" s="1"/>
  <c r="A88" i="10"/>
  <c r="AB88" i="10" s="1"/>
  <c r="A87" i="10"/>
  <c r="AB87" i="10" s="1"/>
  <c r="A86" i="10"/>
  <c r="AB86" i="10" s="1"/>
  <c r="A85" i="10"/>
  <c r="AB85" i="10" s="1"/>
  <c r="A84" i="10"/>
  <c r="AB84" i="10" s="1"/>
  <c r="A83" i="10"/>
  <c r="AB83" i="10" s="1"/>
  <c r="A82" i="10"/>
  <c r="AB82" i="10" s="1"/>
  <c r="A81" i="10"/>
  <c r="AB81" i="10" s="1"/>
  <c r="A80" i="10"/>
  <c r="AB80" i="10" s="1"/>
  <c r="A79" i="10"/>
  <c r="AB79" i="10" s="1"/>
  <c r="A78" i="10"/>
  <c r="AB78" i="10" s="1"/>
  <c r="A77" i="10"/>
  <c r="AB77" i="10" s="1"/>
  <c r="A76" i="10"/>
  <c r="AB76" i="10" s="1"/>
  <c r="A75" i="10"/>
  <c r="AB75" i="10" s="1"/>
  <c r="A74" i="10"/>
  <c r="AB74" i="10" s="1"/>
  <c r="A73" i="10"/>
  <c r="AB73" i="10" s="1"/>
  <c r="A72" i="10"/>
  <c r="AB72" i="10" s="1"/>
  <c r="A71" i="10"/>
  <c r="AB71" i="10" s="1"/>
  <c r="A70" i="10"/>
  <c r="AB70" i="10" s="1"/>
  <c r="A69" i="10"/>
  <c r="AB69" i="10" s="1"/>
  <c r="A68" i="10"/>
  <c r="AB68" i="10" s="1"/>
  <c r="A67" i="10"/>
  <c r="AB67" i="10" s="1"/>
  <c r="A66" i="10"/>
  <c r="AB66" i="10" s="1"/>
  <c r="A65" i="10"/>
  <c r="AB65" i="10" s="1"/>
  <c r="A64" i="10"/>
  <c r="AB64" i="10" s="1"/>
  <c r="A63" i="10"/>
  <c r="AB63" i="10" s="1"/>
  <c r="A62" i="10"/>
  <c r="AB62" i="10" s="1"/>
  <c r="A61" i="10"/>
  <c r="AB61" i="10" s="1"/>
  <c r="A60" i="10"/>
  <c r="AB60" i="10" s="1"/>
  <c r="A59" i="10"/>
  <c r="AB59" i="10" s="1"/>
  <c r="A58" i="10"/>
  <c r="AB58" i="10" s="1"/>
  <c r="A57" i="10"/>
  <c r="AB57" i="10" s="1"/>
  <c r="A56" i="10"/>
  <c r="AB56" i="10" s="1"/>
  <c r="A55" i="10"/>
  <c r="AB55" i="10" s="1"/>
  <c r="A54" i="10"/>
  <c r="AB54" i="10" s="1"/>
  <c r="A53" i="10"/>
  <c r="AB53" i="10" s="1"/>
  <c r="A52" i="10"/>
  <c r="AB52" i="10" s="1"/>
  <c r="A51" i="10"/>
  <c r="AB51" i="10" s="1"/>
  <c r="A50" i="10"/>
  <c r="AB50" i="10" s="1"/>
  <c r="A49" i="10"/>
  <c r="AB49" i="10" s="1"/>
  <c r="A48" i="10"/>
  <c r="AB48" i="10" s="1"/>
  <c r="A47" i="10"/>
  <c r="AB47" i="10" s="1"/>
  <c r="A46" i="10"/>
  <c r="AB46" i="10" s="1"/>
  <c r="A45" i="10"/>
  <c r="AB45" i="10" s="1"/>
  <c r="A44" i="10"/>
  <c r="AB44" i="10" s="1"/>
  <c r="A43" i="10"/>
  <c r="AB43" i="10" s="1"/>
  <c r="A42" i="10"/>
  <c r="AB42" i="10" s="1"/>
  <c r="A41" i="10"/>
  <c r="AB41" i="10" s="1"/>
  <c r="A40" i="10"/>
  <c r="AB40" i="10" s="1"/>
  <c r="A39" i="10"/>
  <c r="AB39" i="10" s="1"/>
  <c r="A38" i="10"/>
  <c r="AB38" i="10" s="1"/>
  <c r="A37" i="10"/>
  <c r="AB37" i="10" s="1"/>
  <c r="A36" i="10"/>
  <c r="AB36" i="10" s="1"/>
  <c r="A35" i="10"/>
  <c r="AB35" i="10" s="1"/>
  <c r="A34" i="10"/>
  <c r="AB34" i="10" s="1"/>
  <c r="A33" i="10"/>
  <c r="AB33" i="10" s="1"/>
  <c r="A32" i="10"/>
  <c r="AB32" i="10" s="1"/>
  <c r="A31" i="10"/>
  <c r="AB31" i="10" s="1"/>
  <c r="A30" i="10"/>
  <c r="AB30" i="10" s="1"/>
  <c r="A29" i="10"/>
  <c r="AB29" i="10" s="1"/>
  <c r="A28" i="10"/>
  <c r="AB28" i="10" s="1"/>
  <c r="A27" i="10"/>
  <c r="AB27" i="10" s="1"/>
  <c r="A26" i="10"/>
  <c r="AB26" i="10" s="1"/>
  <c r="A25" i="10"/>
  <c r="AB25" i="10" s="1"/>
  <c r="A24" i="10"/>
  <c r="AB24" i="10" s="1"/>
  <c r="A23" i="10"/>
  <c r="AB23" i="10" s="1"/>
  <c r="A22" i="10"/>
  <c r="AB22" i="10" s="1"/>
  <c r="A21" i="10"/>
  <c r="AB21" i="10" s="1"/>
  <c r="A20" i="10"/>
  <c r="AB20" i="10" s="1"/>
  <c r="A19" i="10"/>
  <c r="AB19" i="10" s="1"/>
  <c r="A18" i="10"/>
  <c r="AB18" i="10" s="1"/>
  <c r="A17" i="10"/>
  <c r="AB17" i="10" s="1"/>
  <c r="A16" i="10"/>
  <c r="AB16" i="10" s="1"/>
  <c r="A15" i="10"/>
  <c r="AB15" i="10" s="1"/>
  <c r="A14" i="10"/>
  <c r="AB14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O7" i="7" s="1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C13" i="19" l="1"/>
  <c r="T152" i="18"/>
  <c r="X2" i="21"/>
  <c r="J20" i="22" s="1"/>
  <c r="F13" i="22"/>
  <c r="J21" i="22"/>
  <c r="J19" i="22"/>
  <c r="E13" i="22"/>
  <c r="A72" i="22"/>
  <c r="A63" i="22"/>
  <c r="A60" i="22"/>
  <c r="A57" i="22"/>
  <c r="A54" i="22"/>
  <c r="A52" i="22"/>
  <c r="A49" i="22"/>
  <c r="A46" i="22"/>
  <c r="A44" i="22"/>
  <c r="A41" i="22"/>
  <c r="A39" i="22"/>
  <c r="A36" i="22"/>
  <c r="A35" i="22"/>
  <c r="A33" i="22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6" i="19"/>
  <c r="A5" i="19"/>
  <c r="J33" i="22"/>
  <c r="J35" i="22"/>
  <c r="J36" i="22"/>
  <c r="J39" i="22"/>
  <c r="J41" i="22"/>
  <c r="J44" i="22"/>
  <c r="J46" i="22"/>
  <c r="J49" i="22"/>
  <c r="J52" i="22"/>
  <c r="J54" i="22"/>
  <c r="J57" i="22"/>
  <c r="J60" i="22"/>
  <c r="J63" i="22"/>
  <c r="J72" i="22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U17" i="18" s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H67" i="22" l="1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T517" i="18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M20" i="10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K52" i="6" s="1"/>
  <c r="H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K70" i="6" s="1"/>
  <c r="H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G42" i="6" s="1"/>
  <c r="AD42" i="6"/>
  <c r="G42" i="6"/>
  <c r="K42" i="6" s="1"/>
  <c r="H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78" i="6" l="1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V21" i="10"/>
  <c r="AA21" i="10"/>
  <c r="X21" i="10"/>
  <c r="Z21" i="10"/>
  <c r="Y21" i="10"/>
  <c r="W20" i="10"/>
  <c r="V20" i="10"/>
  <c r="Y20" i="10"/>
  <c r="AA20" i="10"/>
  <c r="Z20" i="10"/>
  <c r="X20" i="10"/>
  <c r="AG24" i="6"/>
  <c r="M24" i="6"/>
  <c r="K107" i="6"/>
  <c r="M107" i="6"/>
  <c r="G8" i="19"/>
  <c r="O21" i="10"/>
  <c r="O20" i="10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8" i="7" l="1"/>
  <c r="G7" i="7"/>
  <c r="H7" i="7"/>
  <c r="H8" i="7"/>
  <c r="I8" i="7"/>
  <c r="K7" i="7"/>
  <c r="K8" i="7"/>
  <c r="J7" i="7"/>
  <c r="J8" i="7"/>
  <c r="I7" i="7"/>
  <c r="P21" i="10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M7" i="7" s="1"/>
  <c r="L8" i="7"/>
  <c r="M8" i="7" s="1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U11" i="7" l="1"/>
  <c r="T18" i="7"/>
  <c r="T17" i="7"/>
  <c r="U10" i="7"/>
  <c r="Z69" i="10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L67" i="10"/>
  <c r="V11" i="7" s="1"/>
  <c r="N66" i="10"/>
  <c r="L66" i="10"/>
  <c r="V10" i="7" s="1"/>
  <c r="B1" i="25" s="1"/>
  <c r="T32" i="3"/>
  <c r="V32" i="3"/>
  <c r="U32" i="3" s="1"/>
  <c r="S22" i="7" l="1"/>
  <c r="U22" i="7"/>
  <c r="V22" i="7"/>
  <c r="W22" i="7"/>
  <c r="X22" i="7"/>
  <c r="F10" i="7"/>
  <c r="D2" i="25"/>
  <c r="T22" i="7"/>
  <c r="S23" i="7"/>
  <c r="O67" i="10"/>
  <c r="U18" i="7"/>
  <c r="O66" i="10"/>
  <c r="U17" i="7"/>
  <c r="F13" i="7"/>
  <c r="F11" i="7"/>
  <c r="B2" i="25"/>
  <c r="Z73" i="10"/>
  <c r="W73" i="10"/>
  <c r="V73" i="10"/>
  <c r="AA73" i="10"/>
  <c r="X73" i="10"/>
  <c r="Y73" i="10"/>
  <c r="W72" i="10"/>
  <c r="V72" i="10"/>
  <c r="Y72" i="10"/>
  <c r="AA72" i="10"/>
  <c r="Z72" i="10"/>
  <c r="X72" i="10"/>
  <c r="W67" i="10"/>
  <c r="Y11" i="7" s="1"/>
  <c r="V67" i="10"/>
  <c r="X11" i="7" s="1"/>
  <c r="Z67" i="10"/>
  <c r="Y67" i="10"/>
  <c r="X67" i="10"/>
  <c r="AA67" i="10"/>
  <c r="W66" i="10"/>
  <c r="Y10" i="7" s="1"/>
  <c r="V66" i="10"/>
  <c r="X10" i="7" s="1"/>
  <c r="AA66" i="10"/>
  <c r="Z66" i="10"/>
  <c r="X66" i="10"/>
  <c r="Y66" i="10"/>
  <c r="M73" i="10"/>
  <c r="M72" i="10"/>
  <c r="M67" i="10"/>
  <c r="W11" i="7" s="1"/>
  <c r="M66" i="10"/>
  <c r="W10" i="7" s="1"/>
  <c r="K71" i="10"/>
  <c r="K70" i="10"/>
  <c r="J71" i="10"/>
  <c r="Q71" i="10" s="1"/>
  <c r="J70" i="10"/>
  <c r="Q70" i="10" s="1"/>
  <c r="V34" i="3"/>
  <c r="U34" i="3" s="1"/>
  <c r="T34" i="3"/>
  <c r="L10" i="25" l="1"/>
  <c r="M10" i="25"/>
  <c r="J10" i="25"/>
  <c r="N10" i="25"/>
  <c r="K10" i="25"/>
  <c r="V18" i="7"/>
  <c r="P67" i="10"/>
  <c r="V17" i="7"/>
  <c r="P66" i="10"/>
  <c r="N71" i="10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W17" i="7" l="1"/>
  <c r="U68" i="10"/>
  <c r="U66" i="10"/>
  <c r="U69" i="10"/>
  <c r="W18" i="7"/>
  <c r="U67" i="10"/>
  <c r="AA71" i="10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<sst xmlns="http://schemas.openxmlformats.org/spreadsheetml/2006/main" count="56125" uniqueCount="1169">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</sst>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4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9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72" fillId="13" borderId="0" xfId="0" applyFont="1" applyFill="1" applyAlignment="1">
      <alignment horizontal="center" wrapText="1"/>
    </xf>
    <xf numFmtId="2" fontId="7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70"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0.70555555555555549</c:v>
                </c:pt>
                <c:pt idx="1">
                  <c:v>0.70555555555555549</c:v>
                </c:pt>
                <c:pt idx="2">
                  <c:v>0.70555555555555549</c:v>
                </c:pt>
                <c:pt idx="3">
                  <c:v>0.70555555555555549</c:v>
                </c:pt>
                <c:pt idx="4">
                  <c:v>0.70555555555555549</c:v>
                </c:pt>
                <c:pt idx="5">
                  <c:v>0.70555555555555549</c:v>
                </c:pt>
                <c:pt idx="6">
                  <c:v>0.70555555555555549</c:v>
                </c:pt>
                <c:pt idx="7">
                  <c:v>0.70555555555555549</c:v>
                </c:pt>
                <c:pt idx="8">
                  <c:v>0.70555555555555549</c:v>
                </c:pt>
                <c:pt idx="9">
                  <c:v>0.70555555555555549</c:v>
                </c:pt>
                <c:pt idx="10">
                  <c:v>0.70555555555555549</c:v>
                </c:pt>
                <c:pt idx="11">
                  <c:v>0.70555555555555549</c:v>
                </c:pt>
                <c:pt idx="12">
                  <c:v>0.70555555555555549</c:v>
                </c:pt>
                <c:pt idx="13">
                  <c:v>0.70555555555555549</c:v>
                </c:pt>
                <c:pt idx="14">
                  <c:v>0.70555555555555549</c:v>
                </c:pt>
                <c:pt idx="15">
                  <c:v>0.70555555555555549</c:v>
                </c:pt>
                <c:pt idx="16">
                  <c:v>0.70555555555555549</c:v>
                </c:pt>
                <c:pt idx="17">
                  <c:v>0.70555555555555549</c:v>
                </c:pt>
                <c:pt idx="18">
                  <c:v>0.70555555555555549</c:v>
                </c:pt>
                <c:pt idx="19">
                  <c:v>0.70555555555555549</c:v>
                </c:pt>
                <c:pt idx="20">
                  <c:v>0.70555555555555549</c:v>
                </c:pt>
                <c:pt idx="21">
                  <c:v>0.70555555555555549</c:v>
                </c:pt>
                <c:pt idx="22">
                  <c:v>0.70555555555555549</c:v>
                </c:pt>
                <c:pt idx="23">
                  <c:v>0.70555555555555549</c:v>
                </c:pt>
                <c:pt idx="24">
                  <c:v>0.70555555555555549</c:v>
                </c:pt>
                <c:pt idx="25">
                  <c:v>0.70555555555555549</c:v>
                </c:pt>
                <c:pt idx="26">
                  <c:v>0.70555555555555549</c:v>
                </c:pt>
                <c:pt idx="27">
                  <c:v>0.70555555555555549</c:v>
                </c:pt>
                <c:pt idx="28">
                  <c:v>0.70555555555555549</c:v>
                </c:pt>
                <c:pt idx="29">
                  <c:v>0.70555555555555549</c:v>
                </c:pt>
                <c:pt idx="30">
                  <c:v>0.70555555555555549</c:v>
                </c:pt>
                <c:pt idx="31">
                  <c:v>0.70555555555555549</c:v>
                </c:pt>
                <c:pt idx="32">
                  <c:v>0.70555555555555549</c:v>
                </c:pt>
                <c:pt idx="33">
                  <c:v>0.70555555555555549</c:v>
                </c:pt>
                <c:pt idx="34">
                  <c:v>0.70555555555555549</c:v>
                </c:pt>
                <c:pt idx="35">
                  <c:v>0.70555555555555549</c:v>
                </c:pt>
                <c:pt idx="36">
                  <c:v>0.70555555555555549</c:v>
                </c:pt>
                <c:pt idx="37">
                  <c:v>0.70555555555555549</c:v>
                </c:pt>
                <c:pt idx="38">
                  <c:v>0.70555555555555549</c:v>
                </c:pt>
                <c:pt idx="39">
                  <c:v>0.70555555555555549</c:v>
                </c:pt>
                <c:pt idx="40">
                  <c:v>0.70555555555555549</c:v>
                </c:pt>
                <c:pt idx="41">
                  <c:v>0.70555555555555549</c:v>
                </c:pt>
                <c:pt idx="42">
                  <c:v>0.70555555555555549</c:v>
                </c:pt>
                <c:pt idx="43">
                  <c:v>0.70555555555555549</c:v>
                </c:pt>
                <c:pt idx="44">
                  <c:v>0.70555555555555549</c:v>
                </c:pt>
                <c:pt idx="45">
                  <c:v>0.70555555555555549</c:v>
                </c:pt>
                <c:pt idx="46">
                  <c:v>0.70555555555555549</c:v>
                </c:pt>
                <c:pt idx="47">
                  <c:v>0.70555555555555549</c:v>
                </c:pt>
                <c:pt idx="48">
                  <c:v>0.70555555555555549</c:v>
                </c:pt>
                <c:pt idx="49">
                  <c:v>0.70555555555555549</c:v>
                </c:pt>
                <c:pt idx="50">
                  <c:v>0.70555555555555549</c:v>
                </c:pt>
                <c:pt idx="51">
                  <c:v>0.70555555555555549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0.80555555555555558</c:v>
                </c:pt>
                <c:pt idx="1">
                  <c:v>0.80555555555555558</c:v>
                </c:pt>
                <c:pt idx="2">
                  <c:v>0.80555555555555558</c:v>
                </c:pt>
                <c:pt idx="3">
                  <c:v>0.80555555555555558</c:v>
                </c:pt>
                <c:pt idx="4">
                  <c:v>0.80555555555555558</c:v>
                </c:pt>
                <c:pt idx="5">
                  <c:v>0.80555555555555558</c:v>
                </c:pt>
                <c:pt idx="6">
                  <c:v>0.80555555555555558</c:v>
                </c:pt>
                <c:pt idx="7">
                  <c:v>0.80555555555555558</c:v>
                </c:pt>
                <c:pt idx="8">
                  <c:v>0.80555555555555558</c:v>
                </c:pt>
                <c:pt idx="9">
                  <c:v>0.80555555555555558</c:v>
                </c:pt>
                <c:pt idx="10">
                  <c:v>0.80555555555555558</c:v>
                </c:pt>
                <c:pt idx="11">
                  <c:v>0.80555555555555558</c:v>
                </c:pt>
                <c:pt idx="12">
                  <c:v>0.80555555555555558</c:v>
                </c:pt>
                <c:pt idx="13">
                  <c:v>0.80555555555555558</c:v>
                </c:pt>
                <c:pt idx="14">
                  <c:v>0.80555555555555558</c:v>
                </c:pt>
                <c:pt idx="15">
                  <c:v>0.80555555555555558</c:v>
                </c:pt>
                <c:pt idx="16">
                  <c:v>0.80555555555555558</c:v>
                </c:pt>
                <c:pt idx="17">
                  <c:v>0.80555555555555558</c:v>
                </c:pt>
                <c:pt idx="18">
                  <c:v>0.80555555555555558</c:v>
                </c:pt>
                <c:pt idx="19">
                  <c:v>0.80555555555555558</c:v>
                </c:pt>
                <c:pt idx="20">
                  <c:v>0.80555555555555558</c:v>
                </c:pt>
                <c:pt idx="21">
                  <c:v>0.80555555555555558</c:v>
                </c:pt>
                <c:pt idx="22">
                  <c:v>0.80555555555555558</c:v>
                </c:pt>
                <c:pt idx="23">
                  <c:v>0.80555555555555558</c:v>
                </c:pt>
                <c:pt idx="24">
                  <c:v>0.80555555555555558</c:v>
                </c:pt>
                <c:pt idx="25">
                  <c:v>0.80555555555555558</c:v>
                </c:pt>
                <c:pt idx="26">
                  <c:v>0.80555555555555558</c:v>
                </c:pt>
                <c:pt idx="27">
                  <c:v>0.80555555555555558</c:v>
                </c:pt>
                <c:pt idx="28">
                  <c:v>0.80555555555555558</c:v>
                </c:pt>
                <c:pt idx="29">
                  <c:v>0.80555555555555558</c:v>
                </c:pt>
                <c:pt idx="30">
                  <c:v>0.80555555555555558</c:v>
                </c:pt>
                <c:pt idx="31">
                  <c:v>0.80555555555555558</c:v>
                </c:pt>
                <c:pt idx="32">
                  <c:v>0.80555555555555558</c:v>
                </c:pt>
                <c:pt idx="33">
                  <c:v>0.80555555555555558</c:v>
                </c:pt>
                <c:pt idx="34">
                  <c:v>0.80555555555555558</c:v>
                </c:pt>
                <c:pt idx="35">
                  <c:v>0.80555555555555558</c:v>
                </c:pt>
                <c:pt idx="36">
                  <c:v>0.80555555555555558</c:v>
                </c:pt>
                <c:pt idx="37">
                  <c:v>0.80555555555555558</c:v>
                </c:pt>
                <c:pt idx="38">
                  <c:v>0.80555555555555558</c:v>
                </c:pt>
                <c:pt idx="39">
                  <c:v>0.80555555555555558</c:v>
                </c:pt>
                <c:pt idx="40">
                  <c:v>0.80555555555555558</c:v>
                </c:pt>
                <c:pt idx="41">
                  <c:v>0.80555555555555558</c:v>
                </c:pt>
                <c:pt idx="42">
                  <c:v>0.80555555555555558</c:v>
                </c:pt>
                <c:pt idx="43">
                  <c:v>0.80555555555555558</c:v>
                </c:pt>
                <c:pt idx="44">
                  <c:v>0.80555555555555558</c:v>
                </c:pt>
                <c:pt idx="45">
                  <c:v>0.80555555555555558</c:v>
                </c:pt>
                <c:pt idx="46">
                  <c:v>0.80555555555555558</c:v>
                </c:pt>
                <c:pt idx="47">
                  <c:v>0.80555555555555558</c:v>
                </c:pt>
                <c:pt idx="48">
                  <c:v>0.80555555555555558</c:v>
                </c:pt>
                <c:pt idx="49">
                  <c:v>0.80555555555555558</c:v>
                </c:pt>
                <c:pt idx="50">
                  <c:v>0.80555555555555558</c:v>
                </c:pt>
                <c:pt idx="51">
                  <c:v>0.80555555555555558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0.90555555555555556</c:v>
                </c:pt>
                <c:pt idx="1">
                  <c:v>0.90555555555555556</c:v>
                </c:pt>
                <c:pt idx="2">
                  <c:v>0.90555555555555556</c:v>
                </c:pt>
                <c:pt idx="3">
                  <c:v>0.90555555555555556</c:v>
                </c:pt>
                <c:pt idx="4">
                  <c:v>0.90555555555555556</c:v>
                </c:pt>
                <c:pt idx="5">
                  <c:v>0.90555555555555556</c:v>
                </c:pt>
                <c:pt idx="6">
                  <c:v>0.90555555555555556</c:v>
                </c:pt>
                <c:pt idx="7">
                  <c:v>0.90555555555555556</c:v>
                </c:pt>
                <c:pt idx="8">
                  <c:v>0.90555555555555556</c:v>
                </c:pt>
                <c:pt idx="9">
                  <c:v>0.90555555555555556</c:v>
                </c:pt>
                <c:pt idx="10">
                  <c:v>0.90555555555555556</c:v>
                </c:pt>
                <c:pt idx="11">
                  <c:v>0.90555555555555556</c:v>
                </c:pt>
                <c:pt idx="12">
                  <c:v>0.90555555555555556</c:v>
                </c:pt>
                <c:pt idx="13">
                  <c:v>0.90555555555555556</c:v>
                </c:pt>
                <c:pt idx="14">
                  <c:v>0.90555555555555556</c:v>
                </c:pt>
                <c:pt idx="15">
                  <c:v>0.90555555555555556</c:v>
                </c:pt>
                <c:pt idx="16">
                  <c:v>0.90555555555555556</c:v>
                </c:pt>
                <c:pt idx="17">
                  <c:v>0.90555555555555556</c:v>
                </c:pt>
                <c:pt idx="18">
                  <c:v>0.90555555555555556</c:v>
                </c:pt>
                <c:pt idx="19">
                  <c:v>0.90555555555555556</c:v>
                </c:pt>
                <c:pt idx="20">
                  <c:v>0.90555555555555556</c:v>
                </c:pt>
                <c:pt idx="21">
                  <c:v>0.90555555555555556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0.90555555555555556</c:v>
                </c:pt>
                <c:pt idx="25">
                  <c:v>0.90555555555555556</c:v>
                </c:pt>
                <c:pt idx="26">
                  <c:v>0.90555555555555556</c:v>
                </c:pt>
                <c:pt idx="27">
                  <c:v>0.90555555555555556</c:v>
                </c:pt>
                <c:pt idx="28">
                  <c:v>0.90555555555555556</c:v>
                </c:pt>
                <c:pt idx="29">
                  <c:v>0.90555555555555556</c:v>
                </c:pt>
                <c:pt idx="30">
                  <c:v>0.90555555555555556</c:v>
                </c:pt>
                <c:pt idx="31">
                  <c:v>0.90555555555555556</c:v>
                </c:pt>
                <c:pt idx="32">
                  <c:v>0.90555555555555556</c:v>
                </c:pt>
                <c:pt idx="33">
                  <c:v>0.90555555555555556</c:v>
                </c:pt>
                <c:pt idx="34">
                  <c:v>0.90555555555555556</c:v>
                </c:pt>
                <c:pt idx="35">
                  <c:v>0.90555555555555556</c:v>
                </c:pt>
                <c:pt idx="36">
                  <c:v>0.90555555555555556</c:v>
                </c:pt>
                <c:pt idx="37">
                  <c:v>0.90555555555555556</c:v>
                </c:pt>
                <c:pt idx="38">
                  <c:v>0.90555555555555556</c:v>
                </c:pt>
                <c:pt idx="39">
                  <c:v>0.90555555555555556</c:v>
                </c:pt>
                <c:pt idx="40">
                  <c:v>0.90555555555555556</c:v>
                </c:pt>
                <c:pt idx="41">
                  <c:v>0.90555555555555556</c:v>
                </c:pt>
                <c:pt idx="42">
                  <c:v>0.90555555555555556</c:v>
                </c:pt>
                <c:pt idx="43">
                  <c:v>0.90555555555555556</c:v>
                </c:pt>
                <c:pt idx="44">
                  <c:v>0.90555555555555556</c:v>
                </c:pt>
                <c:pt idx="45">
                  <c:v>0.90555555555555556</c:v>
                </c:pt>
                <c:pt idx="46">
                  <c:v>0.90555555555555556</c:v>
                </c:pt>
                <c:pt idx="47">
                  <c:v>0.90555555555555556</c:v>
                </c:pt>
                <c:pt idx="48">
                  <c:v>0.90555555555555556</c:v>
                </c:pt>
                <c:pt idx="49">
                  <c:v>0.90555555555555556</c:v>
                </c:pt>
                <c:pt idx="50">
                  <c:v>0.90555555555555556</c:v>
                </c:pt>
                <c:pt idx="51">
                  <c:v>0.90555555555555556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1.0055555555555555</c:v>
                </c:pt>
                <c:pt idx="1">
                  <c:v>1.0055555555555555</c:v>
                </c:pt>
                <c:pt idx="2">
                  <c:v>1.0055555555555555</c:v>
                </c:pt>
                <c:pt idx="3">
                  <c:v>1.0055555555555555</c:v>
                </c:pt>
                <c:pt idx="4">
                  <c:v>1.0055555555555555</c:v>
                </c:pt>
                <c:pt idx="5">
                  <c:v>1.0055555555555555</c:v>
                </c:pt>
                <c:pt idx="6">
                  <c:v>1.0055555555555555</c:v>
                </c:pt>
                <c:pt idx="7">
                  <c:v>1.0055555555555555</c:v>
                </c:pt>
                <c:pt idx="8">
                  <c:v>1.0055555555555555</c:v>
                </c:pt>
                <c:pt idx="9">
                  <c:v>1.0055555555555555</c:v>
                </c:pt>
                <c:pt idx="10">
                  <c:v>1.0055555555555555</c:v>
                </c:pt>
                <c:pt idx="11">
                  <c:v>1.0055555555555555</c:v>
                </c:pt>
                <c:pt idx="12">
                  <c:v>1.0055555555555555</c:v>
                </c:pt>
                <c:pt idx="13">
                  <c:v>1.0055555555555555</c:v>
                </c:pt>
                <c:pt idx="14">
                  <c:v>1.0055555555555555</c:v>
                </c:pt>
                <c:pt idx="15">
                  <c:v>1.0055555555555555</c:v>
                </c:pt>
                <c:pt idx="16">
                  <c:v>1.0055555555555555</c:v>
                </c:pt>
                <c:pt idx="17">
                  <c:v>1.0055555555555555</c:v>
                </c:pt>
                <c:pt idx="18">
                  <c:v>1.0055555555555555</c:v>
                </c:pt>
                <c:pt idx="19">
                  <c:v>1.0055555555555555</c:v>
                </c:pt>
                <c:pt idx="20">
                  <c:v>1.0055555555555555</c:v>
                </c:pt>
                <c:pt idx="21">
                  <c:v>1.0055555555555555</c:v>
                </c:pt>
                <c:pt idx="22">
                  <c:v>1.0055555555555555</c:v>
                </c:pt>
                <c:pt idx="23">
                  <c:v>1.0055555555555555</c:v>
                </c:pt>
                <c:pt idx="24">
                  <c:v>1.0055555555555555</c:v>
                </c:pt>
                <c:pt idx="25">
                  <c:v>1.0055555555555555</c:v>
                </c:pt>
                <c:pt idx="26">
                  <c:v>1.0055555555555555</c:v>
                </c:pt>
                <c:pt idx="27">
                  <c:v>1.0055555555555555</c:v>
                </c:pt>
                <c:pt idx="28">
                  <c:v>1.0055555555555555</c:v>
                </c:pt>
                <c:pt idx="29">
                  <c:v>1.0055555555555555</c:v>
                </c:pt>
                <c:pt idx="30">
                  <c:v>1.0055555555555555</c:v>
                </c:pt>
                <c:pt idx="31">
                  <c:v>1.0055555555555555</c:v>
                </c:pt>
                <c:pt idx="32">
                  <c:v>1.0055555555555555</c:v>
                </c:pt>
                <c:pt idx="33">
                  <c:v>1.0055555555555555</c:v>
                </c:pt>
                <c:pt idx="34">
                  <c:v>1.0055555555555555</c:v>
                </c:pt>
                <c:pt idx="35">
                  <c:v>1.0055555555555555</c:v>
                </c:pt>
                <c:pt idx="36">
                  <c:v>1.0055555555555555</c:v>
                </c:pt>
                <c:pt idx="37">
                  <c:v>1.0055555555555555</c:v>
                </c:pt>
                <c:pt idx="38">
                  <c:v>1.0055555555555555</c:v>
                </c:pt>
                <c:pt idx="39">
                  <c:v>1.0055555555555555</c:v>
                </c:pt>
                <c:pt idx="40">
                  <c:v>1.0055555555555555</c:v>
                </c:pt>
                <c:pt idx="41">
                  <c:v>1.0055555555555555</c:v>
                </c:pt>
                <c:pt idx="42">
                  <c:v>1.0055555555555555</c:v>
                </c:pt>
                <c:pt idx="43">
                  <c:v>1.0055555555555555</c:v>
                </c:pt>
                <c:pt idx="44">
                  <c:v>1.0055555555555555</c:v>
                </c:pt>
                <c:pt idx="45">
                  <c:v>1.0055555555555555</c:v>
                </c:pt>
                <c:pt idx="46">
                  <c:v>1.0055555555555555</c:v>
                </c:pt>
                <c:pt idx="47">
                  <c:v>1.0055555555555555</c:v>
                </c:pt>
                <c:pt idx="48">
                  <c:v>1.0055555555555555</c:v>
                </c:pt>
                <c:pt idx="49">
                  <c:v>1.0055555555555555</c:v>
                </c:pt>
                <c:pt idx="50">
                  <c:v>1.0055555555555555</c:v>
                </c:pt>
                <c:pt idx="51">
                  <c:v>1.0055555555555555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1.1055555555555556</c:v>
                </c:pt>
                <c:pt idx="1">
                  <c:v>1.1055555555555556</c:v>
                </c:pt>
                <c:pt idx="2">
                  <c:v>1.1055555555555556</c:v>
                </c:pt>
                <c:pt idx="3">
                  <c:v>1.1055555555555556</c:v>
                </c:pt>
                <c:pt idx="4">
                  <c:v>1.1055555555555556</c:v>
                </c:pt>
                <c:pt idx="5">
                  <c:v>1.1055555555555556</c:v>
                </c:pt>
                <c:pt idx="6">
                  <c:v>1.1055555555555556</c:v>
                </c:pt>
                <c:pt idx="7">
                  <c:v>1.1055555555555556</c:v>
                </c:pt>
                <c:pt idx="8">
                  <c:v>1.1055555555555556</c:v>
                </c:pt>
                <c:pt idx="9">
                  <c:v>1.1055555555555556</c:v>
                </c:pt>
                <c:pt idx="10">
                  <c:v>1.1055555555555556</c:v>
                </c:pt>
                <c:pt idx="11">
                  <c:v>1.1055555555555556</c:v>
                </c:pt>
                <c:pt idx="12">
                  <c:v>1.1055555555555556</c:v>
                </c:pt>
                <c:pt idx="13">
                  <c:v>1.1055555555555556</c:v>
                </c:pt>
                <c:pt idx="14">
                  <c:v>1.1055555555555556</c:v>
                </c:pt>
                <c:pt idx="15">
                  <c:v>1.1055555555555556</c:v>
                </c:pt>
                <c:pt idx="16">
                  <c:v>1.1055555555555556</c:v>
                </c:pt>
                <c:pt idx="17">
                  <c:v>1.1055555555555556</c:v>
                </c:pt>
                <c:pt idx="18">
                  <c:v>1.1055555555555556</c:v>
                </c:pt>
                <c:pt idx="19">
                  <c:v>1.1055555555555556</c:v>
                </c:pt>
                <c:pt idx="20">
                  <c:v>1.1055555555555556</c:v>
                </c:pt>
                <c:pt idx="21">
                  <c:v>1.1055555555555556</c:v>
                </c:pt>
                <c:pt idx="22">
                  <c:v>1.1055555555555556</c:v>
                </c:pt>
                <c:pt idx="23">
                  <c:v>1.1055555555555556</c:v>
                </c:pt>
                <c:pt idx="24">
                  <c:v>1.1055555555555556</c:v>
                </c:pt>
                <c:pt idx="25">
                  <c:v>1.1055555555555556</c:v>
                </c:pt>
                <c:pt idx="26">
                  <c:v>1.1055555555555556</c:v>
                </c:pt>
                <c:pt idx="27">
                  <c:v>1.1055555555555556</c:v>
                </c:pt>
                <c:pt idx="28">
                  <c:v>1.1055555555555556</c:v>
                </c:pt>
                <c:pt idx="29">
                  <c:v>1.1055555555555556</c:v>
                </c:pt>
                <c:pt idx="30">
                  <c:v>1.1055555555555556</c:v>
                </c:pt>
                <c:pt idx="31">
                  <c:v>1.1055555555555556</c:v>
                </c:pt>
                <c:pt idx="32">
                  <c:v>1.1055555555555556</c:v>
                </c:pt>
                <c:pt idx="33">
                  <c:v>1.1055555555555556</c:v>
                </c:pt>
                <c:pt idx="34">
                  <c:v>1.1055555555555556</c:v>
                </c:pt>
                <c:pt idx="35">
                  <c:v>1.1055555555555556</c:v>
                </c:pt>
                <c:pt idx="36">
                  <c:v>1.1055555555555556</c:v>
                </c:pt>
                <c:pt idx="37">
                  <c:v>1.1055555555555556</c:v>
                </c:pt>
                <c:pt idx="38">
                  <c:v>1.1055555555555556</c:v>
                </c:pt>
                <c:pt idx="39">
                  <c:v>1.1055555555555556</c:v>
                </c:pt>
                <c:pt idx="40">
                  <c:v>1.1055555555555556</c:v>
                </c:pt>
                <c:pt idx="41">
                  <c:v>1.1055555555555556</c:v>
                </c:pt>
                <c:pt idx="42">
                  <c:v>1.1055555555555556</c:v>
                </c:pt>
                <c:pt idx="43">
                  <c:v>1.1055555555555556</c:v>
                </c:pt>
                <c:pt idx="44">
                  <c:v>1.1055555555555556</c:v>
                </c:pt>
                <c:pt idx="45">
                  <c:v>1.1055555555555556</c:v>
                </c:pt>
                <c:pt idx="46">
                  <c:v>1.1055555555555556</c:v>
                </c:pt>
                <c:pt idx="47">
                  <c:v>1.1055555555555556</c:v>
                </c:pt>
                <c:pt idx="48">
                  <c:v>1.1055555555555556</c:v>
                </c:pt>
                <c:pt idx="49">
                  <c:v>1.1055555555555556</c:v>
                </c:pt>
                <c:pt idx="50">
                  <c:v>1.1055555555555556</c:v>
                </c:pt>
                <c:pt idx="51">
                  <c:v>1.1055555555555556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1.2055555555555555</c:v>
                </c:pt>
                <c:pt idx="1">
                  <c:v>1.2055555555555555</c:v>
                </c:pt>
                <c:pt idx="2">
                  <c:v>1.2055555555555555</c:v>
                </c:pt>
                <c:pt idx="3">
                  <c:v>1.2055555555555555</c:v>
                </c:pt>
                <c:pt idx="4">
                  <c:v>1.2055555555555555</c:v>
                </c:pt>
                <c:pt idx="5">
                  <c:v>1.2055555555555555</c:v>
                </c:pt>
                <c:pt idx="6">
                  <c:v>1.2055555555555555</c:v>
                </c:pt>
                <c:pt idx="7">
                  <c:v>1.2055555555555555</c:v>
                </c:pt>
                <c:pt idx="8">
                  <c:v>1.2055555555555555</c:v>
                </c:pt>
                <c:pt idx="9">
                  <c:v>1.2055555555555555</c:v>
                </c:pt>
                <c:pt idx="10">
                  <c:v>1.2055555555555555</c:v>
                </c:pt>
                <c:pt idx="11">
                  <c:v>1.2055555555555555</c:v>
                </c:pt>
                <c:pt idx="12">
                  <c:v>1.2055555555555555</c:v>
                </c:pt>
                <c:pt idx="13">
                  <c:v>1.2055555555555555</c:v>
                </c:pt>
                <c:pt idx="14">
                  <c:v>1.2055555555555555</c:v>
                </c:pt>
                <c:pt idx="15">
                  <c:v>1.2055555555555555</c:v>
                </c:pt>
                <c:pt idx="16">
                  <c:v>1.2055555555555555</c:v>
                </c:pt>
                <c:pt idx="17">
                  <c:v>1.2055555555555555</c:v>
                </c:pt>
                <c:pt idx="18">
                  <c:v>1.2055555555555555</c:v>
                </c:pt>
                <c:pt idx="19">
                  <c:v>1.2055555555555555</c:v>
                </c:pt>
                <c:pt idx="20">
                  <c:v>1.2055555555555555</c:v>
                </c:pt>
                <c:pt idx="21">
                  <c:v>1.2055555555555555</c:v>
                </c:pt>
                <c:pt idx="22">
                  <c:v>1.2055555555555555</c:v>
                </c:pt>
                <c:pt idx="23">
                  <c:v>1.2055555555555555</c:v>
                </c:pt>
                <c:pt idx="24">
                  <c:v>1.2055555555555555</c:v>
                </c:pt>
                <c:pt idx="25">
                  <c:v>1.2055555555555555</c:v>
                </c:pt>
                <c:pt idx="26">
                  <c:v>1.2055555555555555</c:v>
                </c:pt>
                <c:pt idx="27">
                  <c:v>1.2055555555555555</c:v>
                </c:pt>
                <c:pt idx="28">
                  <c:v>1.2055555555555555</c:v>
                </c:pt>
                <c:pt idx="29">
                  <c:v>1.2055555555555555</c:v>
                </c:pt>
                <c:pt idx="30">
                  <c:v>1.2055555555555555</c:v>
                </c:pt>
                <c:pt idx="31">
                  <c:v>1.2055555555555555</c:v>
                </c:pt>
                <c:pt idx="32">
                  <c:v>1.2055555555555555</c:v>
                </c:pt>
                <c:pt idx="33">
                  <c:v>1.2055555555555555</c:v>
                </c:pt>
                <c:pt idx="34">
                  <c:v>1.2055555555555555</c:v>
                </c:pt>
                <c:pt idx="35">
                  <c:v>1.2055555555555555</c:v>
                </c:pt>
                <c:pt idx="36">
                  <c:v>1.2055555555555555</c:v>
                </c:pt>
                <c:pt idx="37">
                  <c:v>1.2055555555555555</c:v>
                </c:pt>
                <c:pt idx="38">
                  <c:v>1.2055555555555555</c:v>
                </c:pt>
                <c:pt idx="39">
                  <c:v>1.2055555555555555</c:v>
                </c:pt>
                <c:pt idx="40">
                  <c:v>1.2055555555555555</c:v>
                </c:pt>
                <c:pt idx="41">
                  <c:v>1.2055555555555555</c:v>
                </c:pt>
                <c:pt idx="42">
                  <c:v>1.2055555555555555</c:v>
                </c:pt>
                <c:pt idx="43">
                  <c:v>1.2055555555555555</c:v>
                </c:pt>
                <c:pt idx="44">
                  <c:v>1.2055555555555555</c:v>
                </c:pt>
                <c:pt idx="45">
                  <c:v>1.2055555555555555</c:v>
                </c:pt>
                <c:pt idx="46">
                  <c:v>1.2055555555555555</c:v>
                </c:pt>
                <c:pt idx="47">
                  <c:v>1.2055555555555555</c:v>
                </c:pt>
                <c:pt idx="48">
                  <c:v>1.2055555555555555</c:v>
                </c:pt>
                <c:pt idx="49">
                  <c:v>1.2055555555555555</c:v>
                </c:pt>
                <c:pt idx="50">
                  <c:v>1.2055555555555555</c:v>
                </c:pt>
                <c:pt idx="51">
                  <c:v>1.2055555555555555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1.3055555555555556</c:v>
                </c:pt>
                <c:pt idx="1">
                  <c:v>1.3055555555555556</c:v>
                </c:pt>
                <c:pt idx="2">
                  <c:v>1.3055555555555556</c:v>
                </c:pt>
                <c:pt idx="3">
                  <c:v>1.3055555555555556</c:v>
                </c:pt>
                <c:pt idx="4">
                  <c:v>1.3055555555555556</c:v>
                </c:pt>
                <c:pt idx="5">
                  <c:v>1.3055555555555556</c:v>
                </c:pt>
                <c:pt idx="6">
                  <c:v>1.3055555555555556</c:v>
                </c:pt>
                <c:pt idx="7">
                  <c:v>1.3055555555555556</c:v>
                </c:pt>
                <c:pt idx="8">
                  <c:v>1.3055555555555556</c:v>
                </c:pt>
                <c:pt idx="9">
                  <c:v>1.3055555555555556</c:v>
                </c:pt>
                <c:pt idx="10">
                  <c:v>1.3055555555555556</c:v>
                </c:pt>
                <c:pt idx="11">
                  <c:v>1.3055555555555556</c:v>
                </c:pt>
                <c:pt idx="12">
                  <c:v>1.3055555555555556</c:v>
                </c:pt>
                <c:pt idx="13">
                  <c:v>1.3055555555555556</c:v>
                </c:pt>
                <c:pt idx="14">
                  <c:v>1.3055555555555556</c:v>
                </c:pt>
                <c:pt idx="15">
                  <c:v>1.3055555555555556</c:v>
                </c:pt>
                <c:pt idx="16">
                  <c:v>1.3055555555555556</c:v>
                </c:pt>
                <c:pt idx="17">
                  <c:v>1.3055555555555556</c:v>
                </c:pt>
                <c:pt idx="18">
                  <c:v>1.3055555555555556</c:v>
                </c:pt>
                <c:pt idx="19">
                  <c:v>1.3055555555555556</c:v>
                </c:pt>
                <c:pt idx="20">
                  <c:v>1.3055555555555556</c:v>
                </c:pt>
                <c:pt idx="21">
                  <c:v>1.3055555555555556</c:v>
                </c:pt>
                <c:pt idx="22">
                  <c:v>1.3055555555555556</c:v>
                </c:pt>
                <c:pt idx="23">
                  <c:v>1.3055555555555556</c:v>
                </c:pt>
                <c:pt idx="24">
                  <c:v>1.3055555555555556</c:v>
                </c:pt>
                <c:pt idx="25">
                  <c:v>1.3055555555555556</c:v>
                </c:pt>
                <c:pt idx="26">
                  <c:v>1.3055555555555556</c:v>
                </c:pt>
                <c:pt idx="27">
                  <c:v>1.3055555555555556</c:v>
                </c:pt>
                <c:pt idx="28">
                  <c:v>1.3055555555555556</c:v>
                </c:pt>
                <c:pt idx="29">
                  <c:v>1.3055555555555556</c:v>
                </c:pt>
                <c:pt idx="30">
                  <c:v>1.3055555555555556</c:v>
                </c:pt>
                <c:pt idx="31">
                  <c:v>1.3055555555555556</c:v>
                </c:pt>
                <c:pt idx="32">
                  <c:v>1.3055555555555556</c:v>
                </c:pt>
                <c:pt idx="33">
                  <c:v>1.3055555555555556</c:v>
                </c:pt>
                <c:pt idx="34">
                  <c:v>1.3055555555555556</c:v>
                </c:pt>
                <c:pt idx="35">
                  <c:v>1.3055555555555556</c:v>
                </c:pt>
                <c:pt idx="36">
                  <c:v>1.3055555555555556</c:v>
                </c:pt>
                <c:pt idx="37">
                  <c:v>1.3055555555555556</c:v>
                </c:pt>
                <c:pt idx="38">
                  <c:v>1.3055555555555556</c:v>
                </c:pt>
                <c:pt idx="39">
                  <c:v>1.3055555555555556</c:v>
                </c:pt>
                <c:pt idx="40">
                  <c:v>1.3055555555555556</c:v>
                </c:pt>
                <c:pt idx="41">
                  <c:v>1.3055555555555556</c:v>
                </c:pt>
                <c:pt idx="42">
                  <c:v>1.3055555555555556</c:v>
                </c:pt>
                <c:pt idx="43">
                  <c:v>1.3055555555555556</c:v>
                </c:pt>
                <c:pt idx="44">
                  <c:v>1.3055555555555556</c:v>
                </c:pt>
                <c:pt idx="45">
                  <c:v>1.3055555555555556</c:v>
                </c:pt>
                <c:pt idx="46">
                  <c:v>1.3055555555555556</c:v>
                </c:pt>
                <c:pt idx="47">
                  <c:v>1.3055555555555556</c:v>
                </c:pt>
                <c:pt idx="48">
                  <c:v>1.3055555555555556</c:v>
                </c:pt>
                <c:pt idx="49">
                  <c:v>1.3055555555555556</c:v>
                </c:pt>
                <c:pt idx="50">
                  <c:v>1.3055555555555556</c:v>
                </c:pt>
                <c:pt idx="51">
                  <c:v>1.3055555555555556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355555555555556"/>
          <c:min val="0.6755555555555554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3.3233333333333328</c:v>
                </c:pt>
                <c:pt idx="1">
                  <c:v>3.3233333333333328</c:v>
                </c:pt>
                <c:pt idx="2">
                  <c:v>3.3233333333333328</c:v>
                </c:pt>
                <c:pt idx="3">
                  <c:v>3.3233333333333328</c:v>
                </c:pt>
                <c:pt idx="4">
                  <c:v>3.3233333333333328</c:v>
                </c:pt>
                <c:pt idx="5">
                  <c:v>3.3233333333333328</c:v>
                </c:pt>
                <c:pt idx="6">
                  <c:v>3.3233333333333328</c:v>
                </c:pt>
                <c:pt idx="7">
                  <c:v>3.3233333333333328</c:v>
                </c:pt>
                <c:pt idx="8">
                  <c:v>3.3233333333333328</c:v>
                </c:pt>
                <c:pt idx="9">
                  <c:v>3.3233333333333328</c:v>
                </c:pt>
                <c:pt idx="10">
                  <c:v>3.3233333333333328</c:v>
                </c:pt>
                <c:pt idx="11">
                  <c:v>3.3233333333333328</c:v>
                </c:pt>
                <c:pt idx="12">
                  <c:v>3.3233333333333328</c:v>
                </c:pt>
                <c:pt idx="13">
                  <c:v>3.3233333333333328</c:v>
                </c:pt>
                <c:pt idx="14">
                  <c:v>3.3233333333333328</c:v>
                </c:pt>
                <c:pt idx="15">
                  <c:v>3.3233333333333328</c:v>
                </c:pt>
                <c:pt idx="16">
                  <c:v>3.3233333333333328</c:v>
                </c:pt>
                <c:pt idx="17">
                  <c:v>3.3233333333333328</c:v>
                </c:pt>
                <c:pt idx="18">
                  <c:v>3.3233333333333328</c:v>
                </c:pt>
                <c:pt idx="19">
                  <c:v>3.3233333333333328</c:v>
                </c:pt>
                <c:pt idx="20">
                  <c:v>3.3233333333333328</c:v>
                </c:pt>
                <c:pt idx="21">
                  <c:v>3.3233333333333328</c:v>
                </c:pt>
                <c:pt idx="22">
                  <c:v>3.3233333333333328</c:v>
                </c:pt>
                <c:pt idx="23">
                  <c:v>3.3233333333333328</c:v>
                </c:pt>
                <c:pt idx="24">
                  <c:v>3.3233333333333328</c:v>
                </c:pt>
                <c:pt idx="25">
                  <c:v>3.3233333333333328</c:v>
                </c:pt>
                <c:pt idx="26">
                  <c:v>3.3233333333333328</c:v>
                </c:pt>
                <c:pt idx="27">
                  <c:v>3.3233333333333328</c:v>
                </c:pt>
                <c:pt idx="28">
                  <c:v>3.3233333333333328</c:v>
                </c:pt>
                <c:pt idx="29">
                  <c:v>3.3233333333333328</c:v>
                </c:pt>
                <c:pt idx="30">
                  <c:v>3.3233333333333328</c:v>
                </c:pt>
                <c:pt idx="31">
                  <c:v>3.3233333333333328</c:v>
                </c:pt>
                <c:pt idx="32">
                  <c:v>3.3233333333333328</c:v>
                </c:pt>
                <c:pt idx="33">
                  <c:v>3.3233333333333328</c:v>
                </c:pt>
                <c:pt idx="34">
                  <c:v>3.3233333333333328</c:v>
                </c:pt>
                <c:pt idx="35">
                  <c:v>3.3233333333333328</c:v>
                </c:pt>
                <c:pt idx="36">
                  <c:v>3.3233333333333328</c:v>
                </c:pt>
                <c:pt idx="37">
                  <c:v>3.3233333333333328</c:v>
                </c:pt>
                <c:pt idx="38">
                  <c:v>3.3233333333333328</c:v>
                </c:pt>
                <c:pt idx="39">
                  <c:v>3.3233333333333328</c:v>
                </c:pt>
                <c:pt idx="40">
                  <c:v>3.3233333333333328</c:v>
                </c:pt>
                <c:pt idx="41">
                  <c:v>3.3233333333333328</c:v>
                </c:pt>
                <c:pt idx="42">
                  <c:v>3.3233333333333328</c:v>
                </c:pt>
                <c:pt idx="43">
                  <c:v>3.3233333333333328</c:v>
                </c:pt>
                <c:pt idx="44">
                  <c:v>3.3233333333333328</c:v>
                </c:pt>
                <c:pt idx="45">
                  <c:v>3.3233333333333328</c:v>
                </c:pt>
                <c:pt idx="46">
                  <c:v>3.3233333333333328</c:v>
                </c:pt>
                <c:pt idx="47">
                  <c:v>3.3233333333333328</c:v>
                </c:pt>
                <c:pt idx="48">
                  <c:v>3.3233333333333328</c:v>
                </c:pt>
                <c:pt idx="49">
                  <c:v>3.3233333333333328</c:v>
                </c:pt>
                <c:pt idx="50">
                  <c:v>3.3233333333333328</c:v>
                </c:pt>
                <c:pt idx="51">
                  <c:v>3.3233333333333328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3.503333333333333</c:v>
                </c:pt>
                <c:pt idx="1">
                  <c:v>3.503333333333333</c:v>
                </c:pt>
                <c:pt idx="2">
                  <c:v>3.503333333333333</c:v>
                </c:pt>
                <c:pt idx="3">
                  <c:v>3.503333333333333</c:v>
                </c:pt>
                <c:pt idx="4">
                  <c:v>3.503333333333333</c:v>
                </c:pt>
                <c:pt idx="5">
                  <c:v>3.503333333333333</c:v>
                </c:pt>
                <c:pt idx="6">
                  <c:v>3.503333333333333</c:v>
                </c:pt>
                <c:pt idx="7">
                  <c:v>3.503333333333333</c:v>
                </c:pt>
                <c:pt idx="8">
                  <c:v>3.503333333333333</c:v>
                </c:pt>
                <c:pt idx="9">
                  <c:v>3.503333333333333</c:v>
                </c:pt>
                <c:pt idx="10">
                  <c:v>3.503333333333333</c:v>
                </c:pt>
                <c:pt idx="11">
                  <c:v>3.503333333333333</c:v>
                </c:pt>
                <c:pt idx="12">
                  <c:v>3.503333333333333</c:v>
                </c:pt>
                <c:pt idx="13">
                  <c:v>3.503333333333333</c:v>
                </c:pt>
                <c:pt idx="14">
                  <c:v>3.503333333333333</c:v>
                </c:pt>
                <c:pt idx="15">
                  <c:v>3.503333333333333</c:v>
                </c:pt>
                <c:pt idx="16">
                  <c:v>3.503333333333333</c:v>
                </c:pt>
                <c:pt idx="17">
                  <c:v>3.503333333333333</c:v>
                </c:pt>
                <c:pt idx="18">
                  <c:v>3.503333333333333</c:v>
                </c:pt>
                <c:pt idx="19">
                  <c:v>3.503333333333333</c:v>
                </c:pt>
                <c:pt idx="20">
                  <c:v>3.503333333333333</c:v>
                </c:pt>
                <c:pt idx="21">
                  <c:v>3.503333333333333</c:v>
                </c:pt>
                <c:pt idx="22">
                  <c:v>3.503333333333333</c:v>
                </c:pt>
                <c:pt idx="23">
                  <c:v>3.503333333333333</c:v>
                </c:pt>
                <c:pt idx="24">
                  <c:v>3.503333333333333</c:v>
                </c:pt>
                <c:pt idx="25">
                  <c:v>3.503333333333333</c:v>
                </c:pt>
                <c:pt idx="26">
                  <c:v>3.503333333333333</c:v>
                </c:pt>
                <c:pt idx="27">
                  <c:v>3.503333333333333</c:v>
                </c:pt>
                <c:pt idx="28">
                  <c:v>3.503333333333333</c:v>
                </c:pt>
                <c:pt idx="29">
                  <c:v>3.503333333333333</c:v>
                </c:pt>
                <c:pt idx="30">
                  <c:v>3.503333333333333</c:v>
                </c:pt>
                <c:pt idx="31">
                  <c:v>3.503333333333333</c:v>
                </c:pt>
                <c:pt idx="32">
                  <c:v>3.503333333333333</c:v>
                </c:pt>
                <c:pt idx="33">
                  <c:v>3.503333333333333</c:v>
                </c:pt>
                <c:pt idx="34">
                  <c:v>3.503333333333333</c:v>
                </c:pt>
                <c:pt idx="35">
                  <c:v>3.503333333333333</c:v>
                </c:pt>
                <c:pt idx="36">
                  <c:v>3.503333333333333</c:v>
                </c:pt>
                <c:pt idx="37">
                  <c:v>3.503333333333333</c:v>
                </c:pt>
                <c:pt idx="38">
                  <c:v>3.503333333333333</c:v>
                </c:pt>
                <c:pt idx="39">
                  <c:v>3.503333333333333</c:v>
                </c:pt>
                <c:pt idx="40">
                  <c:v>3.503333333333333</c:v>
                </c:pt>
                <c:pt idx="41">
                  <c:v>3.503333333333333</c:v>
                </c:pt>
                <c:pt idx="42">
                  <c:v>3.503333333333333</c:v>
                </c:pt>
                <c:pt idx="43">
                  <c:v>3.503333333333333</c:v>
                </c:pt>
                <c:pt idx="44">
                  <c:v>3.503333333333333</c:v>
                </c:pt>
                <c:pt idx="45">
                  <c:v>3.503333333333333</c:v>
                </c:pt>
                <c:pt idx="46">
                  <c:v>3.503333333333333</c:v>
                </c:pt>
                <c:pt idx="47">
                  <c:v>3.503333333333333</c:v>
                </c:pt>
                <c:pt idx="48">
                  <c:v>3.503333333333333</c:v>
                </c:pt>
                <c:pt idx="49">
                  <c:v>3.503333333333333</c:v>
                </c:pt>
                <c:pt idx="50">
                  <c:v>3.503333333333333</c:v>
                </c:pt>
                <c:pt idx="51">
                  <c:v>3.503333333333333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3.6833333333333327</c:v>
                </c:pt>
                <c:pt idx="1">
                  <c:v>3.6833333333333327</c:v>
                </c:pt>
                <c:pt idx="2">
                  <c:v>3.6833333333333327</c:v>
                </c:pt>
                <c:pt idx="3">
                  <c:v>3.6833333333333327</c:v>
                </c:pt>
                <c:pt idx="4">
                  <c:v>3.6833333333333327</c:v>
                </c:pt>
                <c:pt idx="5">
                  <c:v>3.6833333333333327</c:v>
                </c:pt>
                <c:pt idx="6">
                  <c:v>3.6833333333333327</c:v>
                </c:pt>
                <c:pt idx="7">
                  <c:v>3.6833333333333327</c:v>
                </c:pt>
                <c:pt idx="8">
                  <c:v>3.6833333333333327</c:v>
                </c:pt>
                <c:pt idx="9">
                  <c:v>3.6833333333333327</c:v>
                </c:pt>
                <c:pt idx="10">
                  <c:v>3.6833333333333327</c:v>
                </c:pt>
                <c:pt idx="11">
                  <c:v>3.6833333333333327</c:v>
                </c:pt>
                <c:pt idx="12">
                  <c:v>3.6833333333333327</c:v>
                </c:pt>
                <c:pt idx="13">
                  <c:v>3.6833333333333327</c:v>
                </c:pt>
                <c:pt idx="14">
                  <c:v>3.6833333333333327</c:v>
                </c:pt>
                <c:pt idx="15">
                  <c:v>3.6833333333333327</c:v>
                </c:pt>
                <c:pt idx="16">
                  <c:v>3.6833333333333327</c:v>
                </c:pt>
                <c:pt idx="17">
                  <c:v>3.6833333333333327</c:v>
                </c:pt>
                <c:pt idx="18">
                  <c:v>3.6833333333333327</c:v>
                </c:pt>
                <c:pt idx="19">
                  <c:v>3.6833333333333327</c:v>
                </c:pt>
                <c:pt idx="20">
                  <c:v>3.6833333333333327</c:v>
                </c:pt>
                <c:pt idx="21">
                  <c:v>3.6833333333333327</c:v>
                </c:pt>
                <c:pt idx="22">
                  <c:v>3.6833333333333327</c:v>
                </c:pt>
                <c:pt idx="23">
                  <c:v>3.6833333333333327</c:v>
                </c:pt>
                <c:pt idx="24">
                  <c:v>3.6833333333333327</c:v>
                </c:pt>
                <c:pt idx="25">
                  <c:v>3.6833333333333327</c:v>
                </c:pt>
                <c:pt idx="26">
                  <c:v>3.6833333333333327</c:v>
                </c:pt>
                <c:pt idx="27">
                  <c:v>3.6833333333333327</c:v>
                </c:pt>
                <c:pt idx="28">
                  <c:v>3.6833333333333327</c:v>
                </c:pt>
                <c:pt idx="29">
                  <c:v>3.6833333333333327</c:v>
                </c:pt>
                <c:pt idx="30">
                  <c:v>3.6833333333333327</c:v>
                </c:pt>
                <c:pt idx="31">
                  <c:v>3.6833333333333327</c:v>
                </c:pt>
                <c:pt idx="32">
                  <c:v>3.6833333333333327</c:v>
                </c:pt>
                <c:pt idx="33">
                  <c:v>3.6833333333333327</c:v>
                </c:pt>
                <c:pt idx="34">
                  <c:v>3.6833333333333327</c:v>
                </c:pt>
                <c:pt idx="35">
                  <c:v>3.6833333333333327</c:v>
                </c:pt>
                <c:pt idx="36">
                  <c:v>3.6833333333333327</c:v>
                </c:pt>
                <c:pt idx="37">
                  <c:v>3.6833333333333327</c:v>
                </c:pt>
                <c:pt idx="38">
                  <c:v>3.6833333333333327</c:v>
                </c:pt>
                <c:pt idx="39">
                  <c:v>3.6833333333333327</c:v>
                </c:pt>
                <c:pt idx="40">
                  <c:v>3.6833333333333327</c:v>
                </c:pt>
                <c:pt idx="41">
                  <c:v>3.6833333333333327</c:v>
                </c:pt>
                <c:pt idx="42">
                  <c:v>3.6833333333333327</c:v>
                </c:pt>
                <c:pt idx="43">
                  <c:v>3.6833333333333327</c:v>
                </c:pt>
                <c:pt idx="44">
                  <c:v>3.6833333333333327</c:v>
                </c:pt>
                <c:pt idx="45">
                  <c:v>3.6833333333333327</c:v>
                </c:pt>
                <c:pt idx="46">
                  <c:v>3.6833333333333327</c:v>
                </c:pt>
                <c:pt idx="47">
                  <c:v>3.6833333333333327</c:v>
                </c:pt>
                <c:pt idx="48">
                  <c:v>3.6833333333333327</c:v>
                </c:pt>
                <c:pt idx="49">
                  <c:v>3.6833333333333327</c:v>
                </c:pt>
                <c:pt idx="50">
                  <c:v>3.6833333333333327</c:v>
                </c:pt>
                <c:pt idx="51">
                  <c:v>3.6833333333333327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3.8633333333333328</c:v>
                </c:pt>
                <c:pt idx="1">
                  <c:v>3.8633333333333328</c:v>
                </c:pt>
                <c:pt idx="2">
                  <c:v>3.8633333333333328</c:v>
                </c:pt>
                <c:pt idx="3">
                  <c:v>3.8633333333333328</c:v>
                </c:pt>
                <c:pt idx="4">
                  <c:v>3.8633333333333328</c:v>
                </c:pt>
                <c:pt idx="5">
                  <c:v>3.8633333333333328</c:v>
                </c:pt>
                <c:pt idx="6">
                  <c:v>3.8633333333333328</c:v>
                </c:pt>
                <c:pt idx="7">
                  <c:v>3.8633333333333328</c:v>
                </c:pt>
                <c:pt idx="8">
                  <c:v>3.8633333333333328</c:v>
                </c:pt>
                <c:pt idx="9">
                  <c:v>3.8633333333333328</c:v>
                </c:pt>
                <c:pt idx="10">
                  <c:v>3.8633333333333328</c:v>
                </c:pt>
                <c:pt idx="11">
                  <c:v>3.8633333333333328</c:v>
                </c:pt>
                <c:pt idx="12">
                  <c:v>3.8633333333333328</c:v>
                </c:pt>
                <c:pt idx="13">
                  <c:v>3.8633333333333328</c:v>
                </c:pt>
                <c:pt idx="14">
                  <c:v>3.8633333333333328</c:v>
                </c:pt>
                <c:pt idx="15">
                  <c:v>3.8633333333333328</c:v>
                </c:pt>
                <c:pt idx="16">
                  <c:v>3.8633333333333328</c:v>
                </c:pt>
                <c:pt idx="17">
                  <c:v>3.8633333333333328</c:v>
                </c:pt>
                <c:pt idx="18">
                  <c:v>3.8633333333333328</c:v>
                </c:pt>
                <c:pt idx="19">
                  <c:v>3.8633333333333328</c:v>
                </c:pt>
                <c:pt idx="20">
                  <c:v>3.8633333333333328</c:v>
                </c:pt>
                <c:pt idx="21">
                  <c:v>3.8633333333333328</c:v>
                </c:pt>
                <c:pt idx="22">
                  <c:v>3.8633333333333328</c:v>
                </c:pt>
                <c:pt idx="23">
                  <c:v>3.8633333333333328</c:v>
                </c:pt>
                <c:pt idx="24">
                  <c:v>3.8633333333333328</c:v>
                </c:pt>
                <c:pt idx="25">
                  <c:v>3.8633333333333328</c:v>
                </c:pt>
                <c:pt idx="26">
                  <c:v>3.8633333333333328</c:v>
                </c:pt>
                <c:pt idx="27">
                  <c:v>3.8633333333333328</c:v>
                </c:pt>
                <c:pt idx="28">
                  <c:v>3.8633333333333328</c:v>
                </c:pt>
                <c:pt idx="29">
                  <c:v>3.8633333333333328</c:v>
                </c:pt>
                <c:pt idx="30">
                  <c:v>3.8633333333333328</c:v>
                </c:pt>
                <c:pt idx="31">
                  <c:v>3.8633333333333328</c:v>
                </c:pt>
                <c:pt idx="32">
                  <c:v>3.8633333333333328</c:v>
                </c:pt>
                <c:pt idx="33">
                  <c:v>3.8633333333333328</c:v>
                </c:pt>
                <c:pt idx="34">
                  <c:v>3.8633333333333328</c:v>
                </c:pt>
                <c:pt idx="35">
                  <c:v>3.8633333333333328</c:v>
                </c:pt>
                <c:pt idx="36">
                  <c:v>3.8633333333333328</c:v>
                </c:pt>
                <c:pt idx="37">
                  <c:v>3.8633333333333328</c:v>
                </c:pt>
                <c:pt idx="38">
                  <c:v>3.8633333333333328</c:v>
                </c:pt>
                <c:pt idx="39">
                  <c:v>3.8633333333333328</c:v>
                </c:pt>
                <c:pt idx="40">
                  <c:v>3.8633333333333328</c:v>
                </c:pt>
                <c:pt idx="41">
                  <c:v>3.8633333333333328</c:v>
                </c:pt>
                <c:pt idx="42">
                  <c:v>3.8633333333333328</c:v>
                </c:pt>
                <c:pt idx="43">
                  <c:v>3.8633333333333328</c:v>
                </c:pt>
                <c:pt idx="44">
                  <c:v>3.8633333333333328</c:v>
                </c:pt>
                <c:pt idx="45">
                  <c:v>3.8633333333333328</c:v>
                </c:pt>
                <c:pt idx="46">
                  <c:v>3.8633333333333328</c:v>
                </c:pt>
                <c:pt idx="47">
                  <c:v>3.8633333333333328</c:v>
                </c:pt>
                <c:pt idx="48">
                  <c:v>3.8633333333333328</c:v>
                </c:pt>
                <c:pt idx="49">
                  <c:v>3.8633333333333328</c:v>
                </c:pt>
                <c:pt idx="50">
                  <c:v>3.8633333333333328</c:v>
                </c:pt>
                <c:pt idx="51">
                  <c:v>3.8633333333333328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4.043333333333333</c:v>
                </c:pt>
                <c:pt idx="1">
                  <c:v>4.043333333333333</c:v>
                </c:pt>
                <c:pt idx="2">
                  <c:v>4.043333333333333</c:v>
                </c:pt>
                <c:pt idx="3">
                  <c:v>4.043333333333333</c:v>
                </c:pt>
                <c:pt idx="4">
                  <c:v>4.043333333333333</c:v>
                </c:pt>
                <c:pt idx="5">
                  <c:v>4.043333333333333</c:v>
                </c:pt>
                <c:pt idx="6">
                  <c:v>4.043333333333333</c:v>
                </c:pt>
                <c:pt idx="7">
                  <c:v>4.043333333333333</c:v>
                </c:pt>
                <c:pt idx="8">
                  <c:v>4.043333333333333</c:v>
                </c:pt>
                <c:pt idx="9">
                  <c:v>4.043333333333333</c:v>
                </c:pt>
                <c:pt idx="10">
                  <c:v>4.043333333333333</c:v>
                </c:pt>
                <c:pt idx="11">
                  <c:v>4.043333333333333</c:v>
                </c:pt>
                <c:pt idx="12">
                  <c:v>4.043333333333333</c:v>
                </c:pt>
                <c:pt idx="13">
                  <c:v>4.043333333333333</c:v>
                </c:pt>
                <c:pt idx="14">
                  <c:v>4.043333333333333</c:v>
                </c:pt>
                <c:pt idx="15">
                  <c:v>4.043333333333333</c:v>
                </c:pt>
                <c:pt idx="16">
                  <c:v>4.043333333333333</c:v>
                </c:pt>
                <c:pt idx="17">
                  <c:v>4.043333333333333</c:v>
                </c:pt>
                <c:pt idx="18">
                  <c:v>4.043333333333333</c:v>
                </c:pt>
                <c:pt idx="19">
                  <c:v>4.043333333333333</c:v>
                </c:pt>
                <c:pt idx="20">
                  <c:v>4.043333333333333</c:v>
                </c:pt>
                <c:pt idx="21">
                  <c:v>4.043333333333333</c:v>
                </c:pt>
                <c:pt idx="22">
                  <c:v>4.043333333333333</c:v>
                </c:pt>
                <c:pt idx="23">
                  <c:v>4.043333333333333</c:v>
                </c:pt>
                <c:pt idx="24">
                  <c:v>4.043333333333333</c:v>
                </c:pt>
                <c:pt idx="25">
                  <c:v>4.043333333333333</c:v>
                </c:pt>
                <c:pt idx="26">
                  <c:v>4.043333333333333</c:v>
                </c:pt>
                <c:pt idx="27">
                  <c:v>4.043333333333333</c:v>
                </c:pt>
                <c:pt idx="28">
                  <c:v>4.043333333333333</c:v>
                </c:pt>
                <c:pt idx="29">
                  <c:v>4.043333333333333</c:v>
                </c:pt>
                <c:pt idx="30">
                  <c:v>4.043333333333333</c:v>
                </c:pt>
                <c:pt idx="31">
                  <c:v>4.043333333333333</c:v>
                </c:pt>
                <c:pt idx="32">
                  <c:v>4.043333333333333</c:v>
                </c:pt>
                <c:pt idx="33">
                  <c:v>4.043333333333333</c:v>
                </c:pt>
                <c:pt idx="34">
                  <c:v>4.043333333333333</c:v>
                </c:pt>
                <c:pt idx="35">
                  <c:v>4.043333333333333</c:v>
                </c:pt>
                <c:pt idx="36">
                  <c:v>4.043333333333333</c:v>
                </c:pt>
                <c:pt idx="37">
                  <c:v>4.043333333333333</c:v>
                </c:pt>
                <c:pt idx="38">
                  <c:v>4.043333333333333</c:v>
                </c:pt>
                <c:pt idx="39">
                  <c:v>4.043333333333333</c:v>
                </c:pt>
                <c:pt idx="40">
                  <c:v>4.043333333333333</c:v>
                </c:pt>
                <c:pt idx="41">
                  <c:v>4.043333333333333</c:v>
                </c:pt>
                <c:pt idx="42">
                  <c:v>4.043333333333333</c:v>
                </c:pt>
                <c:pt idx="43">
                  <c:v>4.043333333333333</c:v>
                </c:pt>
                <c:pt idx="44">
                  <c:v>4.043333333333333</c:v>
                </c:pt>
                <c:pt idx="45">
                  <c:v>4.043333333333333</c:v>
                </c:pt>
                <c:pt idx="46">
                  <c:v>4.043333333333333</c:v>
                </c:pt>
                <c:pt idx="47">
                  <c:v>4.043333333333333</c:v>
                </c:pt>
                <c:pt idx="48">
                  <c:v>4.043333333333333</c:v>
                </c:pt>
                <c:pt idx="49">
                  <c:v>4.043333333333333</c:v>
                </c:pt>
                <c:pt idx="50">
                  <c:v>4.043333333333333</c:v>
                </c:pt>
                <c:pt idx="51">
                  <c:v>4.043333333333333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4.2233333333333327</c:v>
                </c:pt>
                <c:pt idx="1">
                  <c:v>4.2233333333333327</c:v>
                </c:pt>
                <c:pt idx="2">
                  <c:v>4.2233333333333327</c:v>
                </c:pt>
                <c:pt idx="3">
                  <c:v>4.2233333333333327</c:v>
                </c:pt>
                <c:pt idx="4">
                  <c:v>4.2233333333333327</c:v>
                </c:pt>
                <c:pt idx="5">
                  <c:v>4.2233333333333327</c:v>
                </c:pt>
                <c:pt idx="6">
                  <c:v>4.2233333333333327</c:v>
                </c:pt>
                <c:pt idx="7">
                  <c:v>4.2233333333333327</c:v>
                </c:pt>
                <c:pt idx="8">
                  <c:v>4.2233333333333327</c:v>
                </c:pt>
                <c:pt idx="9">
                  <c:v>4.2233333333333327</c:v>
                </c:pt>
                <c:pt idx="10">
                  <c:v>4.2233333333333327</c:v>
                </c:pt>
                <c:pt idx="11">
                  <c:v>4.2233333333333327</c:v>
                </c:pt>
                <c:pt idx="12">
                  <c:v>4.2233333333333327</c:v>
                </c:pt>
                <c:pt idx="13">
                  <c:v>4.2233333333333327</c:v>
                </c:pt>
                <c:pt idx="14">
                  <c:v>4.2233333333333327</c:v>
                </c:pt>
                <c:pt idx="15">
                  <c:v>4.2233333333333327</c:v>
                </c:pt>
                <c:pt idx="16">
                  <c:v>4.2233333333333327</c:v>
                </c:pt>
                <c:pt idx="17">
                  <c:v>4.2233333333333327</c:v>
                </c:pt>
                <c:pt idx="18">
                  <c:v>4.2233333333333327</c:v>
                </c:pt>
                <c:pt idx="19">
                  <c:v>4.2233333333333327</c:v>
                </c:pt>
                <c:pt idx="20">
                  <c:v>4.2233333333333327</c:v>
                </c:pt>
                <c:pt idx="21">
                  <c:v>4.2233333333333327</c:v>
                </c:pt>
                <c:pt idx="22">
                  <c:v>4.2233333333333327</c:v>
                </c:pt>
                <c:pt idx="23">
                  <c:v>4.2233333333333327</c:v>
                </c:pt>
                <c:pt idx="24">
                  <c:v>4.2233333333333327</c:v>
                </c:pt>
                <c:pt idx="25">
                  <c:v>4.2233333333333327</c:v>
                </c:pt>
                <c:pt idx="26">
                  <c:v>4.2233333333333327</c:v>
                </c:pt>
                <c:pt idx="27">
                  <c:v>4.2233333333333327</c:v>
                </c:pt>
                <c:pt idx="28">
                  <c:v>4.2233333333333327</c:v>
                </c:pt>
                <c:pt idx="29">
                  <c:v>4.2233333333333327</c:v>
                </c:pt>
                <c:pt idx="30">
                  <c:v>4.2233333333333327</c:v>
                </c:pt>
                <c:pt idx="31">
                  <c:v>4.2233333333333327</c:v>
                </c:pt>
                <c:pt idx="32">
                  <c:v>4.2233333333333327</c:v>
                </c:pt>
                <c:pt idx="33">
                  <c:v>4.2233333333333327</c:v>
                </c:pt>
                <c:pt idx="34">
                  <c:v>4.2233333333333327</c:v>
                </c:pt>
                <c:pt idx="35">
                  <c:v>4.2233333333333327</c:v>
                </c:pt>
                <c:pt idx="36">
                  <c:v>4.2233333333333327</c:v>
                </c:pt>
                <c:pt idx="37">
                  <c:v>4.2233333333333327</c:v>
                </c:pt>
                <c:pt idx="38">
                  <c:v>4.2233333333333327</c:v>
                </c:pt>
                <c:pt idx="39">
                  <c:v>4.2233333333333327</c:v>
                </c:pt>
                <c:pt idx="40">
                  <c:v>4.2233333333333327</c:v>
                </c:pt>
                <c:pt idx="41">
                  <c:v>4.2233333333333327</c:v>
                </c:pt>
                <c:pt idx="42">
                  <c:v>4.2233333333333327</c:v>
                </c:pt>
                <c:pt idx="43">
                  <c:v>4.2233333333333327</c:v>
                </c:pt>
                <c:pt idx="44">
                  <c:v>4.2233333333333327</c:v>
                </c:pt>
                <c:pt idx="45">
                  <c:v>4.2233333333333327</c:v>
                </c:pt>
                <c:pt idx="46">
                  <c:v>4.2233333333333327</c:v>
                </c:pt>
                <c:pt idx="47">
                  <c:v>4.2233333333333327</c:v>
                </c:pt>
                <c:pt idx="48">
                  <c:v>4.2233333333333327</c:v>
                </c:pt>
                <c:pt idx="49">
                  <c:v>4.2233333333333327</c:v>
                </c:pt>
                <c:pt idx="50">
                  <c:v>4.2233333333333327</c:v>
                </c:pt>
                <c:pt idx="51">
                  <c:v>4.2233333333333327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4.4033333333333324</c:v>
                </c:pt>
                <c:pt idx="1">
                  <c:v>4.4033333333333324</c:v>
                </c:pt>
                <c:pt idx="2">
                  <c:v>4.4033333333333324</c:v>
                </c:pt>
                <c:pt idx="3">
                  <c:v>4.4033333333333324</c:v>
                </c:pt>
                <c:pt idx="4">
                  <c:v>4.4033333333333324</c:v>
                </c:pt>
                <c:pt idx="5">
                  <c:v>4.4033333333333324</c:v>
                </c:pt>
                <c:pt idx="6">
                  <c:v>4.4033333333333324</c:v>
                </c:pt>
                <c:pt idx="7">
                  <c:v>4.4033333333333324</c:v>
                </c:pt>
                <c:pt idx="8">
                  <c:v>4.4033333333333324</c:v>
                </c:pt>
                <c:pt idx="9">
                  <c:v>4.4033333333333324</c:v>
                </c:pt>
                <c:pt idx="10">
                  <c:v>4.4033333333333324</c:v>
                </c:pt>
                <c:pt idx="11">
                  <c:v>4.4033333333333324</c:v>
                </c:pt>
                <c:pt idx="12">
                  <c:v>4.4033333333333324</c:v>
                </c:pt>
                <c:pt idx="13">
                  <c:v>4.4033333333333324</c:v>
                </c:pt>
                <c:pt idx="14">
                  <c:v>4.4033333333333324</c:v>
                </c:pt>
                <c:pt idx="15">
                  <c:v>4.4033333333333324</c:v>
                </c:pt>
                <c:pt idx="16">
                  <c:v>4.4033333333333324</c:v>
                </c:pt>
                <c:pt idx="17">
                  <c:v>4.4033333333333324</c:v>
                </c:pt>
                <c:pt idx="18">
                  <c:v>4.4033333333333324</c:v>
                </c:pt>
                <c:pt idx="19">
                  <c:v>4.4033333333333324</c:v>
                </c:pt>
                <c:pt idx="20">
                  <c:v>4.4033333333333324</c:v>
                </c:pt>
                <c:pt idx="21">
                  <c:v>4.4033333333333324</c:v>
                </c:pt>
                <c:pt idx="22">
                  <c:v>4.4033333333333324</c:v>
                </c:pt>
                <c:pt idx="23">
                  <c:v>4.4033333333333324</c:v>
                </c:pt>
                <c:pt idx="24">
                  <c:v>4.4033333333333324</c:v>
                </c:pt>
                <c:pt idx="25">
                  <c:v>4.4033333333333324</c:v>
                </c:pt>
                <c:pt idx="26">
                  <c:v>4.4033333333333324</c:v>
                </c:pt>
                <c:pt idx="27">
                  <c:v>4.4033333333333324</c:v>
                </c:pt>
                <c:pt idx="28">
                  <c:v>4.4033333333333324</c:v>
                </c:pt>
                <c:pt idx="29">
                  <c:v>4.4033333333333324</c:v>
                </c:pt>
                <c:pt idx="30">
                  <c:v>4.4033333333333324</c:v>
                </c:pt>
                <c:pt idx="31">
                  <c:v>4.4033333333333324</c:v>
                </c:pt>
                <c:pt idx="32">
                  <c:v>4.4033333333333324</c:v>
                </c:pt>
                <c:pt idx="33">
                  <c:v>4.4033333333333324</c:v>
                </c:pt>
                <c:pt idx="34">
                  <c:v>4.4033333333333324</c:v>
                </c:pt>
                <c:pt idx="35">
                  <c:v>4.4033333333333324</c:v>
                </c:pt>
                <c:pt idx="36">
                  <c:v>4.4033333333333324</c:v>
                </c:pt>
                <c:pt idx="37">
                  <c:v>4.4033333333333324</c:v>
                </c:pt>
                <c:pt idx="38">
                  <c:v>4.4033333333333324</c:v>
                </c:pt>
                <c:pt idx="39">
                  <c:v>4.4033333333333324</c:v>
                </c:pt>
                <c:pt idx="40">
                  <c:v>4.4033333333333324</c:v>
                </c:pt>
                <c:pt idx="41">
                  <c:v>4.4033333333333324</c:v>
                </c:pt>
                <c:pt idx="42">
                  <c:v>4.4033333333333324</c:v>
                </c:pt>
                <c:pt idx="43">
                  <c:v>4.4033333333333324</c:v>
                </c:pt>
                <c:pt idx="44">
                  <c:v>4.4033333333333324</c:v>
                </c:pt>
                <c:pt idx="45">
                  <c:v>4.4033333333333324</c:v>
                </c:pt>
                <c:pt idx="46">
                  <c:v>4.4033333333333324</c:v>
                </c:pt>
                <c:pt idx="47">
                  <c:v>4.4033333333333324</c:v>
                </c:pt>
                <c:pt idx="48">
                  <c:v>4.4033333333333324</c:v>
                </c:pt>
                <c:pt idx="49">
                  <c:v>4.4033333333333324</c:v>
                </c:pt>
                <c:pt idx="50">
                  <c:v>4.4033333333333324</c:v>
                </c:pt>
                <c:pt idx="51">
                  <c:v>4.4033333333333324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573333333333327"/>
          <c:min val="3.26933333333333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27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49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46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45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44"/>
    <tableColumn id="7" xr3:uid="{B5443819-85E6-4D9F-B28C-935FC48DAD5E}" name="Média / Valor-alvo" dataDxfId="43"/>
    <tableColumn id="8" xr3:uid="{A6657194-F7CC-47EF-BC27-6C810F51CE65}" name="SD" dataDxfId="42"/>
    <tableColumn id="9" xr3:uid="{596AC75B-FAA7-46B5-B380-4365E70629C5}" name="SDI" dataDxfId="41"/>
    <tableColumn id="10" xr3:uid="{D66143EA-F447-4DBF-8E14-D30D7DC3B35C}" name="Limite Inferior" dataDxfId="40"/>
    <tableColumn id="11" xr3:uid="{A96D81ED-0348-439D-9FBC-98833CACCE16}" name="Limite Superior" dataDxfId="39"/>
    <tableColumn id="12" xr3:uid="{0D7A1913-E4C7-4AD8-8FDD-DC9572F7B7AC}" name="Avaliação"/>
    <tableColumn id="13" xr3:uid="{C367B19C-616C-432B-BCC0-5CD1B6C7BCEE}" name="Nº Laboratórios" dataDxfId="38"/>
    <tableColumn id="14" xr3:uid="{5368E93D-B01E-43D5-BB94-7340E32432EB}" name="Unidade"/>
    <tableColumn id="15" xr3:uid="{6F736B7C-9DAC-4450-A419-D23D096B1CD3}" name="Bias (%)" dataDxfId="37">
      <calculatedColumnFormula>IFERROR((F2-G2)/G2*100,"")</calculatedColumnFormula>
    </tableColumn>
    <tableColumn id="16" xr3:uid="{C42F9D4F-FA86-4FF6-B997-10830806330E}" name="|Bias| (%)" dataDxfId="36">
      <calculatedColumnFormula>IF(O2="","",ABS(O2))</calculatedColumnFormula>
    </tableColumn>
    <tableColumn id="17" xr3:uid="{D51016CD-DF40-4804-915D-A18AD886C48B}" name="Página Fonte" dataDxfId="35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32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31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30"/>
    <tableColumn id="7" xr3:uid="{5646589E-35F3-4695-B39F-D54CB9E2265E}" name="Média / Valor-alvo" dataDxfId="29"/>
    <tableColumn id="8" xr3:uid="{AA9C7866-86E3-4B46-BCEB-0F69172D03FE}" name="SD" dataDxfId="28"/>
    <tableColumn id="9" xr3:uid="{0D364887-E614-4989-BA78-BCA0A0CAA0D2}" name="SDI" dataDxfId="27"/>
    <tableColumn id="10" xr3:uid="{7ABDA41F-CD92-40B4-B9F7-A19ADBEC6A16}" name="Limite Inferior" dataDxfId="26"/>
    <tableColumn id="11" xr3:uid="{47F9F0B3-FAC3-473F-982C-EDF9CD5991FE}" name="Limite Superior" dataDxfId="25"/>
    <tableColumn id="12" xr3:uid="{A9B5C076-DEDE-427F-B7D1-A72717ABA563}" name="Avaliação"/>
    <tableColumn id="13" xr3:uid="{B519E452-BBD1-4EA1-9351-9E39849AAFD2}" name="Nº Laboratórios" dataDxfId="24"/>
    <tableColumn id="14" xr3:uid="{3AF4133D-AD01-44C0-9BA4-77423A2E45A8}" name="Unidade"/>
    <tableColumn id="15" xr3:uid="{F0AF0F60-BDC3-4CF3-BCA2-1B9F4E133EB7}" name="Bias (%)" dataDxfId="23">
      <calculatedColumnFormula>IFERROR((F2-G2)/G2*100,"")</calculatedColumnFormula>
    </tableColumn>
    <tableColumn id="16" xr3:uid="{69F336E6-2757-4EAD-8B27-DBC84D2B0550}" name="|Bias| (%)" dataDxfId="22">
      <calculatedColumnFormula>IF(O2="","",ABS(O2))</calculatedColumnFormula>
    </tableColumn>
    <tableColumn id="17" xr3:uid="{8C852A12-82F1-4436-A6C6-CFA816B1B248}" name="Página Fonte" dataDxfId="21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20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19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18"/>
    <tableColumn id="8" xr3:uid="{95229B7F-9466-459D-A79E-30A7437163BC}" name="Valor_Alvo" dataDxfId="17"/>
    <tableColumn id="9" xr3:uid="{388D6F10-F2AA-4CA3-929D-48DE0733EBE5}" name="SD" dataDxfId="16"/>
    <tableColumn id="10" xr3:uid="{3226F260-EBC6-4654-AA42-3C83FFB66D78}" name="SDI" dataDxfId="15"/>
    <tableColumn id="11" xr3:uid="{25D00A69-7389-41C6-BBAF-060326AE20B2}" name="Limite_Inferior" dataDxfId="14"/>
    <tableColumn id="12" xr3:uid="{9E2C7B37-3DF0-45D2-8F47-426A909EB9E6}" name="Limite_Superior" dataDxfId="13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12"/>
    <tableColumn id="17" xr3:uid="{CC0CE357-ABDE-41A8-9832-5182273C89C9}" name="Bias_Abs" dataDxfId="11"/>
    <tableColumn id="18" xr3:uid="{EBBC2C36-0907-4180-96B7-8A4DA52FA03F}" name="Pagina_Fonte" dataDxfId="10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07" t="s">
        <v>0</v>
      </c>
      <c r="B1" s="203"/>
      <c r="C1" s="203"/>
      <c r="D1" s="203"/>
      <c r="E1" s="203"/>
      <c r="F1" s="203"/>
      <c r="G1" s="203"/>
      <c r="H1" s="203"/>
    </row>
    <row r="2" spans="1:8" ht="19.95" customHeight="1" x14ac:dyDescent="0.3">
      <c r="A2" s="208" t="s">
        <v>1</v>
      </c>
      <c r="B2" s="203"/>
      <c r="C2" s="203"/>
      <c r="D2" s="203"/>
      <c r="E2" s="203"/>
      <c r="F2" s="203"/>
      <c r="G2" s="203"/>
      <c r="H2" s="203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204" t="s">
        <v>15</v>
      </c>
      <c r="D12" s="205"/>
      <c r="E12" s="205"/>
      <c r="F12" s="205"/>
      <c r="G12" s="206"/>
    </row>
    <row r="13" spans="1:8" x14ac:dyDescent="0.3">
      <c r="B13" s="47" t="s">
        <v>16</v>
      </c>
      <c r="C13" s="204" t="s">
        <v>17</v>
      </c>
      <c r="D13" s="205"/>
      <c r="E13" s="205"/>
      <c r="F13" s="205"/>
      <c r="G13" s="206"/>
    </row>
    <row r="14" spans="1:8" x14ac:dyDescent="0.3">
      <c r="B14" s="47" t="s">
        <v>18</v>
      </c>
      <c r="C14" s="204" t="s">
        <v>19</v>
      </c>
      <c r="D14" s="205"/>
      <c r="E14" s="205"/>
      <c r="F14" s="205"/>
      <c r="G14" s="206"/>
    </row>
    <row r="15" spans="1:8" x14ac:dyDescent="0.3">
      <c r="B15" s="47" t="s">
        <v>20</v>
      </c>
      <c r="C15" s="204" t="s">
        <v>21</v>
      </c>
      <c r="D15" s="205"/>
      <c r="E15" s="205"/>
      <c r="F15" s="205"/>
      <c r="G15" s="206"/>
    </row>
    <row r="16" spans="1:8" x14ac:dyDescent="0.3">
      <c r="B16" s="47" t="s">
        <v>22</v>
      </c>
      <c r="C16" s="204" t="s">
        <v>23</v>
      </c>
      <c r="D16" s="205"/>
      <c r="E16" s="205"/>
      <c r="F16" s="205"/>
      <c r="G16" s="206"/>
    </row>
    <row r="17" spans="2:7" x14ac:dyDescent="0.3">
      <c r="B17" s="47" t="s">
        <v>24</v>
      </c>
      <c r="C17" s="204" t="s">
        <v>25</v>
      </c>
      <c r="D17" s="205"/>
      <c r="E17" s="205"/>
      <c r="F17" s="205"/>
      <c r="G17" s="206"/>
    </row>
    <row r="18" spans="2:7" x14ac:dyDescent="0.3">
      <c r="B18" s="47" t="s">
        <v>26</v>
      </c>
      <c r="C18" s="204" t="s">
        <v>27</v>
      </c>
      <c r="D18" s="205"/>
      <c r="E18" s="205"/>
      <c r="F18" s="205"/>
      <c r="G18" s="206"/>
    </row>
    <row r="19" spans="2:7" x14ac:dyDescent="0.3">
      <c r="B19" s="47" t="s">
        <v>28</v>
      </c>
      <c r="C19" s="204" t="s">
        <v>29</v>
      </c>
      <c r="D19" s="205"/>
      <c r="E19" s="205"/>
      <c r="F19" s="205"/>
      <c r="G19" s="206"/>
    </row>
    <row r="20" spans="2:7" x14ac:dyDescent="0.3">
      <c r="B20" s="47" t="s">
        <v>30</v>
      </c>
      <c r="C20" s="204" t="s">
        <v>31</v>
      </c>
      <c r="D20" s="205"/>
      <c r="E20" s="205"/>
      <c r="F20" s="205"/>
      <c r="G20" s="206"/>
    </row>
    <row r="22" spans="2:7" ht="15.6" x14ac:dyDescent="0.3">
      <c r="B22" s="44" t="s">
        <v>32</v>
      </c>
    </row>
    <row r="23" spans="2:7" x14ac:dyDescent="0.3">
      <c r="B23" s="202" t="s">
        <v>33</v>
      </c>
      <c r="C23" s="203"/>
      <c r="D23" s="203"/>
      <c r="E23" s="203"/>
      <c r="F23" s="203"/>
      <c r="G23" s="203"/>
    </row>
    <row r="24" spans="2:7" x14ac:dyDescent="0.3">
      <c r="B24" s="202" t="s">
        <v>34</v>
      </c>
      <c r="C24" s="203"/>
      <c r="D24" s="203"/>
      <c r="E24" s="203"/>
      <c r="F24" s="203"/>
      <c r="G24" s="203"/>
    </row>
    <row r="25" spans="2:7" x14ac:dyDescent="0.3">
      <c r="B25" s="202" t="s">
        <v>35</v>
      </c>
      <c r="C25" s="203"/>
      <c r="D25" s="203"/>
      <c r="E25" s="203"/>
      <c r="F25" s="203"/>
      <c r="G25" s="203"/>
    </row>
    <row r="26" spans="2:7" x14ac:dyDescent="0.3">
      <c r="B26" s="202" t="s">
        <v>36</v>
      </c>
      <c r="C26" s="203"/>
      <c r="D26" s="203"/>
      <c r="E26" s="203"/>
      <c r="F26" s="203"/>
      <c r="G26" s="2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07" t="s">
        <v>37</v>
      </c>
      <c r="B1" s="203"/>
      <c r="C1" s="203"/>
      <c r="D1" s="203"/>
      <c r="E1" s="203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209" t="s">
        <v>53</v>
      </c>
      <c r="C19" s="203"/>
      <c r="D19" s="203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209" t="s">
        <v>57</v>
      </c>
      <c r="C24" s="203"/>
      <c r="D24" s="203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07" t="s">
        <v>85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</row>
    <row r="2" spans="1:34" ht="19.95" customHeight="1" x14ac:dyDescent="0.3">
      <c r="A2" s="21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12" t="s">
        <v>152</v>
      </c>
      <c r="B1" s="212"/>
      <c r="C1" s="212"/>
      <c r="D1" s="212"/>
      <c r="E1" s="212"/>
      <c r="F1" s="212"/>
      <c r="G1" s="212"/>
      <c r="H1" s="71"/>
      <c r="BD1" s="72" t="s">
        <v>153</v>
      </c>
    </row>
    <row r="2" spans="1:56" ht="19.95" customHeight="1" x14ac:dyDescent="0.3">
      <c r="A2" s="213" t="s">
        <v>154</v>
      </c>
      <c r="B2" s="213"/>
      <c r="C2" s="213"/>
      <c r="D2" s="213"/>
      <c r="E2" s="213"/>
      <c r="F2" s="213"/>
      <c r="G2" s="213"/>
      <c r="H2" s="211" t="s">
        <v>155</v>
      </c>
      <c r="I2" s="203"/>
      <c r="J2" s="203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1.0055555555555555</v>
      </c>
      <c r="AY1" s="69">
        <f>IFERROR(INDEX(Analitos!$F$4:$F$43,MATCH(selAnalito,Analitos!$A$4:$A$43,0)),"")</f>
        <v>0.1</v>
      </c>
      <c r="AZ1" s="69">
        <f>IFERROR(INDEX(Analitos!$G$4:$G$43,MATCH(selAnalito,Analitos!$A$4:$A$43,0)),"")</f>
        <v>3.8633333333333328</v>
      </c>
      <c r="BA1" s="69">
        <f>IFERROR(INDEX(Analitos!$H$4:$H$43,MATCH(selAnalito,Analitos!$A$4:$A$43,0)),"")</f>
        <v>0.18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0.67555555555555546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1.3355555555555556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3.269333333333333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4.4573333333333327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1.05</v>
      </c>
      <c r="G3" s="69">
        <f t="shared" ref="G3:G34" si="5">IF(OR($F3="",$AY$1=""),"",($F3-$AX$1)/$AY$1)</f>
        <v>0.44444444444444509</v>
      </c>
      <c r="H3" s="69">
        <f t="shared" ref="H3:H34" si="6">IF(AND($F3&lt;&gt;"",$D3=1),$F3,NA())</f>
        <v>1.05</v>
      </c>
      <c r="I3" s="69">
        <f t="shared" ref="I3:I34" si="7">IF(AND($F3&lt;&gt;"",$D3=1,$P3="OK"),$F3,NA())</f>
        <v>1.05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0.70555555555555549</v>
      </c>
      <c r="R3" s="69">
        <f t="shared" ref="R3:R34" si="13">IF(AND($D3=1,$AX$1&lt;&gt;""),$AX$1+(-2)*$AY$1,NA())</f>
        <v>0.80555555555555558</v>
      </c>
      <c r="S3" s="69">
        <f t="shared" ref="S3:S34" si="14">IF(AND($D3=1,$AX$1&lt;&gt;""),$AX$1+(-1)*$AY$1,NA())</f>
        <v>0.90555555555555556</v>
      </c>
      <c r="T3" s="69">
        <f t="shared" ref="T3:T34" si="15">IF(AND($D3=1,$AX$1&lt;&gt;""),$AX$1,NA())</f>
        <v>1.0055555555555555</v>
      </c>
      <c r="U3" s="69">
        <f t="shared" ref="U3:U34" si="16">IF(AND($D3=1,$AX$1&lt;&gt;""),$AX$1+(1)*$AY$1,NA())</f>
        <v>1.1055555555555556</v>
      </c>
      <c r="V3" s="69">
        <f t="shared" ref="V3:V34" si="17">IF(AND($D3=1,$AX$1&lt;&gt;""),$AX$1+(2)*$AY$1,NA())</f>
        <v>1.2055555555555555</v>
      </c>
      <c r="W3" s="69">
        <f t="shared" ref="W3:W34" si="18">IF(AND($D3=1,$AX$1&lt;&gt;""),$AX$1+(3)*$AY$1,NA())</f>
        <v>1.3055555555555556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3.85</v>
      </c>
      <c r="AC3" s="69">
        <f t="shared" ref="AC3:AC34" si="24">IF(OR($AB3="",$BA$1=""),"",($AB3-$AZ$1)/$BA$1)</f>
        <v>-7.407407407407085E-2</v>
      </c>
      <c r="AD3" s="69">
        <f t="shared" ref="AD3:AD34" si="25">IF(AND($AB3&lt;&gt;"",$D3=1),$AB3,NA())</f>
        <v>3.85</v>
      </c>
      <c r="AE3" s="69">
        <f t="shared" ref="AE3:AE34" si="26">IF(AND($AB3&lt;&gt;"",$D3=1,$AL3="OK"),$AB3,NA())</f>
        <v>3.85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3.3233333333333328</v>
      </c>
      <c r="AN3" s="69">
        <f t="shared" ref="AN3:AN34" si="32">IF(AND($D3=1,$AZ$1&lt;&gt;""),$AZ$1+(-2)*$BA$1,NA())</f>
        <v>3.503333333333333</v>
      </c>
      <c r="AO3" s="69">
        <f t="shared" ref="AO3:AO34" si="33">IF(AND($D3=1,$AZ$1&lt;&gt;""),$AZ$1+(-1)*$BA$1,NA())</f>
        <v>3.6833333333333327</v>
      </c>
      <c r="AP3" s="69">
        <f t="shared" ref="AP3:AP34" si="34">IF(AND($D3=1,$AZ$1&lt;&gt;""),$AZ$1,NA())</f>
        <v>3.8633333333333328</v>
      </c>
      <c r="AQ3" s="69">
        <f t="shared" ref="AQ3:AQ34" si="35">IF(AND($D3=1,$AZ$1&lt;&gt;""),$AZ$1+(1)*$BA$1,NA())</f>
        <v>4.043333333333333</v>
      </c>
      <c r="AR3" s="69">
        <f t="shared" ref="AR3:AR34" si="36">IF(AND($D3=1,$AZ$1&lt;&gt;""),$AZ$1+(2)*$BA$1,NA())</f>
        <v>4.2233333333333327</v>
      </c>
      <c r="AS3" s="69">
        <f t="shared" ref="AS3:AS34" si="37">IF(AND($D3=1,$AZ$1&lt;&gt;""),$AZ$1+(3)*$BA$1,NA())</f>
        <v>4.4033333333333324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0.96</v>
      </c>
      <c r="G4" s="69">
        <f t="shared" si="5"/>
        <v>-0.45555555555555571</v>
      </c>
      <c r="H4" s="69">
        <f t="shared" si="6"/>
        <v>0.96</v>
      </c>
      <c r="I4" s="69">
        <f t="shared" si="7"/>
        <v>0.96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0.70555555555555549</v>
      </c>
      <c r="R4" s="69">
        <f t="shared" si="13"/>
        <v>0.80555555555555558</v>
      </c>
      <c r="S4" s="69">
        <f t="shared" si="14"/>
        <v>0.90555555555555556</v>
      </c>
      <c r="T4" s="69">
        <f t="shared" si="15"/>
        <v>1.0055555555555555</v>
      </c>
      <c r="U4" s="69">
        <f t="shared" si="16"/>
        <v>1.1055555555555556</v>
      </c>
      <c r="V4" s="69">
        <f t="shared" si="17"/>
        <v>1.2055555555555555</v>
      </c>
      <c r="W4" s="69">
        <f t="shared" si="18"/>
        <v>1.3055555555555556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3.51</v>
      </c>
      <c r="AC4" s="69">
        <f t="shared" si="24"/>
        <v>-1.9629629629629615</v>
      </c>
      <c r="AD4" s="69">
        <f t="shared" si="25"/>
        <v>3.51</v>
      </c>
      <c r="AE4" s="69">
        <f t="shared" si="26"/>
        <v>3.51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3.3233333333333328</v>
      </c>
      <c r="AN4" s="69">
        <f t="shared" si="32"/>
        <v>3.503333333333333</v>
      </c>
      <c r="AO4" s="69">
        <f t="shared" si="33"/>
        <v>3.6833333333333327</v>
      </c>
      <c r="AP4" s="69">
        <f t="shared" si="34"/>
        <v>3.8633333333333328</v>
      </c>
      <c r="AQ4" s="69">
        <f t="shared" si="35"/>
        <v>4.043333333333333</v>
      </c>
      <c r="AR4" s="69">
        <f t="shared" si="36"/>
        <v>4.2233333333333327</v>
      </c>
      <c r="AS4" s="69">
        <f t="shared" si="37"/>
        <v>4.4033333333333324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0.98</v>
      </c>
      <c r="G5" s="69">
        <f t="shared" si="5"/>
        <v>-0.25555555555555554</v>
      </c>
      <c r="H5" s="69">
        <f t="shared" si="6"/>
        <v>0.98</v>
      </c>
      <c r="I5" s="69">
        <f t="shared" si="7"/>
        <v>0.98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0.70555555555555549</v>
      </c>
      <c r="R5" s="69">
        <f t="shared" si="13"/>
        <v>0.80555555555555558</v>
      </c>
      <c r="S5" s="69">
        <f t="shared" si="14"/>
        <v>0.90555555555555556</v>
      </c>
      <c r="T5" s="69">
        <f t="shared" si="15"/>
        <v>1.0055555555555555</v>
      </c>
      <c r="U5" s="69">
        <f t="shared" si="16"/>
        <v>1.1055555555555556</v>
      </c>
      <c r="V5" s="69">
        <f t="shared" si="17"/>
        <v>1.2055555555555555</v>
      </c>
      <c r="W5" s="69">
        <f t="shared" si="18"/>
        <v>1.3055555555555556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3.41</v>
      </c>
      <c r="AC5" s="69">
        <f t="shared" si="24"/>
        <v>-2.518518518518515</v>
      </c>
      <c r="AD5" s="69">
        <f t="shared" si="25"/>
        <v>3.41</v>
      </c>
      <c r="AE5" s="69">
        <f t="shared" si="26"/>
        <v>3.41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3.3233333333333328</v>
      </c>
      <c r="AN5" s="69">
        <f t="shared" si="32"/>
        <v>3.503333333333333</v>
      </c>
      <c r="AO5" s="69">
        <f t="shared" si="33"/>
        <v>3.6833333333333327</v>
      </c>
      <c r="AP5" s="69">
        <f t="shared" si="34"/>
        <v>3.8633333333333328</v>
      </c>
      <c r="AQ5" s="69">
        <f t="shared" si="35"/>
        <v>4.043333333333333</v>
      </c>
      <c r="AR5" s="69">
        <f t="shared" si="36"/>
        <v>4.2233333333333327</v>
      </c>
      <c r="AS5" s="69">
        <f t="shared" si="37"/>
        <v>4.4033333333333324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0.99</v>
      </c>
      <c r="G6" s="69">
        <f t="shared" si="5"/>
        <v>-0.15555555555555545</v>
      </c>
      <c r="H6" s="69">
        <f t="shared" si="6"/>
        <v>0.99</v>
      </c>
      <c r="I6" s="69">
        <f t="shared" si="7"/>
        <v>0.99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0.70555555555555549</v>
      </c>
      <c r="R6" s="69">
        <f t="shared" si="13"/>
        <v>0.80555555555555558</v>
      </c>
      <c r="S6" s="69">
        <f t="shared" si="14"/>
        <v>0.90555555555555556</v>
      </c>
      <c r="T6" s="69">
        <f t="shared" si="15"/>
        <v>1.0055555555555555</v>
      </c>
      <c r="U6" s="69">
        <f t="shared" si="16"/>
        <v>1.1055555555555556</v>
      </c>
      <c r="V6" s="69">
        <f t="shared" si="17"/>
        <v>1.2055555555555555</v>
      </c>
      <c r="W6" s="69">
        <f t="shared" si="18"/>
        <v>1.3055555555555556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3.91</v>
      </c>
      <c r="AC6" s="69">
        <f t="shared" si="24"/>
        <v>0.2592592592592628</v>
      </c>
      <c r="AD6" s="69">
        <f t="shared" si="25"/>
        <v>3.91</v>
      </c>
      <c r="AE6" s="69">
        <f t="shared" si="26"/>
        <v>3.91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3.3233333333333328</v>
      </c>
      <c r="AN6" s="69">
        <f t="shared" si="32"/>
        <v>3.503333333333333</v>
      </c>
      <c r="AO6" s="69">
        <f t="shared" si="33"/>
        <v>3.6833333333333327</v>
      </c>
      <c r="AP6" s="69">
        <f t="shared" si="34"/>
        <v>3.8633333333333328</v>
      </c>
      <c r="AQ6" s="69">
        <f t="shared" si="35"/>
        <v>4.043333333333333</v>
      </c>
      <c r="AR6" s="69">
        <f t="shared" si="36"/>
        <v>4.2233333333333327</v>
      </c>
      <c r="AS6" s="69">
        <f t="shared" si="37"/>
        <v>4.4033333333333324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0.96</v>
      </c>
      <c r="G7" s="69">
        <f t="shared" si="5"/>
        <v>-0.45555555555555571</v>
      </c>
      <c r="H7" s="69">
        <f t="shared" si="6"/>
        <v>0.96</v>
      </c>
      <c r="I7" s="69">
        <f t="shared" si="7"/>
        <v>0.96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0.70555555555555549</v>
      </c>
      <c r="R7" s="69">
        <f t="shared" si="13"/>
        <v>0.80555555555555558</v>
      </c>
      <c r="S7" s="69">
        <f t="shared" si="14"/>
        <v>0.90555555555555556</v>
      </c>
      <c r="T7" s="69">
        <f t="shared" si="15"/>
        <v>1.0055555555555555</v>
      </c>
      <c r="U7" s="69">
        <f t="shared" si="16"/>
        <v>1.1055555555555556</v>
      </c>
      <c r="V7" s="69">
        <f t="shared" si="17"/>
        <v>1.2055555555555555</v>
      </c>
      <c r="W7" s="69">
        <f t="shared" si="18"/>
        <v>1.3055555555555556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3.53</v>
      </c>
      <c r="AC7" s="69">
        <f t="shared" si="24"/>
        <v>-1.8518518518518503</v>
      </c>
      <c r="AD7" s="69">
        <f t="shared" si="25"/>
        <v>3.53</v>
      </c>
      <c r="AE7" s="69">
        <f t="shared" si="26"/>
        <v>3.53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3.3233333333333328</v>
      </c>
      <c r="AN7" s="69">
        <f t="shared" si="32"/>
        <v>3.503333333333333</v>
      </c>
      <c r="AO7" s="69">
        <f t="shared" si="33"/>
        <v>3.6833333333333327</v>
      </c>
      <c r="AP7" s="69">
        <f t="shared" si="34"/>
        <v>3.8633333333333328</v>
      </c>
      <c r="AQ7" s="69">
        <f t="shared" si="35"/>
        <v>4.043333333333333</v>
      </c>
      <c r="AR7" s="69">
        <f t="shared" si="36"/>
        <v>4.2233333333333327</v>
      </c>
      <c r="AS7" s="69">
        <f t="shared" si="37"/>
        <v>4.4033333333333324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1.06</v>
      </c>
      <c r="G8" s="69">
        <f t="shared" si="5"/>
        <v>0.54444444444444517</v>
      </c>
      <c r="H8" s="69">
        <f t="shared" si="6"/>
        <v>1.06</v>
      </c>
      <c r="I8" s="69">
        <f t="shared" si="7"/>
        <v>1.06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0.70555555555555549</v>
      </c>
      <c r="R8" s="69">
        <f t="shared" si="13"/>
        <v>0.80555555555555558</v>
      </c>
      <c r="S8" s="69">
        <f t="shared" si="14"/>
        <v>0.90555555555555556</v>
      </c>
      <c r="T8" s="69">
        <f t="shared" si="15"/>
        <v>1.0055555555555555</v>
      </c>
      <c r="U8" s="69">
        <f t="shared" si="16"/>
        <v>1.1055555555555556</v>
      </c>
      <c r="V8" s="69">
        <f t="shared" si="17"/>
        <v>1.2055555555555555</v>
      </c>
      <c r="W8" s="69">
        <f t="shared" si="18"/>
        <v>1.3055555555555556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3.65</v>
      </c>
      <c r="AC8" s="69">
        <f t="shared" si="24"/>
        <v>-1.1851851851851829</v>
      </c>
      <c r="AD8" s="69">
        <f t="shared" si="25"/>
        <v>3.65</v>
      </c>
      <c r="AE8" s="69">
        <f t="shared" si="26"/>
        <v>3.65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3.3233333333333328</v>
      </c>
      <c r="AN8" s="69">
        <f t="shared" si="32"/>
        <v>3.503333333333333</v>
      </c>
      <c r="AO8" s="69">
        <f t="shared" si="33"/>
        <v>3.6833333333333327</v>
      </c>
      <c r="AP8" s="69">
        <f t="shared" si="34"/>
        <v>3.8633333333333328</v>
      </c>
      <c r="AQ8" s="69">
        <f t="shared" si="35"/>
        <v>4.043333333333333</v>
      </c>
      <c r="AR8" s="69">
        <f t="shared" si="36"/>
        <v>4.2233333333333327</v>
      </c>
      <c r="AS8" s="69">
        <f t="shared" si="37"/>
        <v>4.4033333333333324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1.05</v>
      </c>
      <c r="G9" s="69">
        <f t="shared" si="5"/>
        <v>0.44444444444444509</v>
      </c>
      <c r="H9" s="69">
        <f t="shared" si="6"/>
        <v>1.05</v>
      </c>
      <c r="I9" s="69">
        <f t="shared" si="7"/>
        <v>1.05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0.70555555555555549</v>
      </c>
      <c r="R9" s="69">
        <f t="shared" si="13"/>
        <v>0.80555555555555558</v>
      </c>
      <c r="S9" s="69">
        <f t="shared" si="14"/>
        <v>0.90555555555555556</v>
      </c>
      <c r="T9" s="69">
        <f t="shared" si="15"/>
        <v>1.0055555555555555</v>
      </c>
      <c r="U9" s="69">
        <f t="shared" si="16"/>
        <v>1.1055555555555556</v>
      </c>
      <c r="V9" s="69">
        <f t="shared" si="17"/>
        <v>1.2055555555555555</v>
      </c>
      <c r="W9" s="69">
        <f t="shared" si="18"/>
        <v>1.3055555555555556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3.7</v>
      </c>
      <c r="AC9" s="69">
        <f t="shared" si="24"/>
        <v>-0.90740740740740378</v>
      </c>
      <c r="AD9" s="69">
        <f t="shared" si="25"/>
        <v>3.7</v>
      </c>
      <c r="AE9" s="69">
        <f t="shared" si="26"/>
        <v>3.7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3.3233333333333328</v>
      </c>
      <c r="AN9" s="69">
        <f t="shared" si="32"/>
        <v>3.503333333333333</v>
      </c>
      <c r="AO9" s="69">
        <f t="shared" si="33"/>
        <v>3.6833333333333327</v>
      </c>
      <c r="AP9" s="69">
        <f t="shared" si="34"/>
        <v>3.8633333333333328</v>
      </c>
      <c r="AQ9" s="69">
        <f t="shared" si="35"/>
        <v>4.043333333333333</v>
      </c>
      <c r="AR9" s="69">
        <f t="shared" si="36"/>
        <v>4.2233333333333327</v>
      </c>
      <c r="AS9" s="69">
        <f t="shared" si="37"/>
        <v>4.4033333333333324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1.05</v>
      </c>
      <c r="G10" s="69">
        <f t="shared" si="5"/>
        <v>0.44444444444444509</v>
      </c>
      <c r="H10" s="69">
        <f t="shared" si="6"/>
        <v>1.05</v>
      </c>
      <c r="I10" s="69">
        <f t="shared" si="7"/>
        <v>1.05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0.70555555555555549</v>
      </c>
      <c r="R10" s="69">
        <f t="shared" si="13"/>
        <v>0.80555555555555558</v>
      </c>
      <c r="S10" s="69">
        <f t="shared" si="14"/>
        <v>0.90555555555555556</v>
      </c>
      <c r="T10" s="69">
        <f t="shared" si="15"/>
        <v>1.0055555555555555</v>
      </c>
      <c r="U10" s="69">
        <f t="shared" si="16"/>
        <v>1.1055555555555556</v>
      </c>
      <c r="V10" s="69">
        <f t="shared" si="17"/>
        <v>1.2055555555555555</v>
      </c>
      <c r="W10" s="69">
        <f t="shared" si="18"/>
        <v>1.3055555555555556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3.8</v>
      </c>
      <c r="AC10" s="69">
        <f t="shared" si="24"/>
        <v>-0.35185185185185014</v>
      </c>
      <c r="AD10" s="69">
        <f t="shared" si="25"/>
        <v>3.8</v>
      </c>
      <c r="AE10" s="69">
        <f t="shared" si="26"/>
        <v>3.8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3.3233333333333328</v>
      </c>
      <c r="AN10" s="69">
        <f t="shared" si="32"/>
        <v>3.503333333333333</v>
      </c>
      <c r="AO10" s="69">
        <f t="shared" si="33"/>
        <v>3.6833333333333327</v>
      </c>
      <c r="AP10" s="69">
        <f t="shared" si="34"/>
        <v>3.8633333333333328</v>
      </c>
      <c r="AQ10" s="69">
        <f t="shared" si="35"/>
        <v>4.043333333333333</v>
      </c>
      <c r="AR10" s="69">
        <f t="shared" si="36"/>
        <v>4.2233333333333327</v>
      </c>
      <c r="AS10" s="69">
        <f t="shared" si="37"/>
        <v>4.4033333333333324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1.01</v>
      </c>
      <c r="G11" s="69">
        <f t="shared" si="5"/>
        <v>4.4444444444444731E-2</v>
      </c>
      <c r="H11" s="69">
        <f t="shared" si="6"/>
        <v>1.01</v>
      </c>
      <c r="I11" s="69">
        <f t="shared" si="7"/>
        <v>1.01</v>
      </c>
      <c r="J11" s="69" t="e">
        <f t="shared" si="8"/>
        <v>#N/A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0</v>
      </c>
      <c r="P11" s="69" t="str">
        <f t="shared" si="11"/>
        <v>OK</v>
      </c>
      <c r="Q11" s="69">
        <f t="shared" si="12"/>
        <v>0.70555555555555549</v>
      </c>
      <c r="R11" s="69">
        <f t="shared" si="13"/>
        <v>0.80555555555555558</v>
      </c>
      <c r="S11" s="69">
        <f t="shared" si="14"/>
        <v>0.90555555555555556</v>
      </c>
      <c r="T11" s="69">
        <f t="shared" si="15"/>
        <v>1.0055555555555555</v>
      </c>
      <c r="U11" s="69">
        <f t="shared" si="16"/>
        <v>1.1055555555555556</v>
      </c>
      <c r="V11" s="69">
        <f t="shared" si="17"/>
        <v>1.2055555555555555</v>
      </c>
      <c r="W11" s="69">
        <f t="shared" si="18"/>
        <v>1.3055555555555556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3.84</v>
      </c>
      <c r="AC11" s="69">
        <f t="shared" si="24"/>
        <v>-0.12962962962962771</v>
      </c>
      <c r="AD11" s="69">
        <f t="shared" si="25"/>
        <v>3.84</v>
      </c>
      <c r="AE11" s="69">
        <f t="shared" si="26"/>
        <v>3.84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3.3233333333333328</v>
      </c>
      <c r="AN11" s="69">
        <f t="shared" si="32"/>
        <v>3.503333333333333</v>
      </c>
      <c r="AO11" s="69">
        <f t="shared" si="33"/>
        <v>3.6833333333333327</v>
      </c>
      <c r="AP11" s="69">
        <f t="shared" si="34"/>
        <v>3.8633333333333328</v>
      </c>
      <c r="AQ11" s="69">
        <f t="shared" si="35"/>
        <v>4.043333333333333</v>
      </c>
      <c r="AR11" s="69">
        <f t="shared" si="36"/>
        <v>4.2233333333333327</v>
      </c>
      <c r="AS11" s="69">
        <f t="shared" si="37"/>
        <v>4.4033333333333324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1</v>
      </c>
      <c r="G12" s="69">
        <f t="shared" si="5"/>
        <v>-5.5555555555555358E-2</v>
      </c>
      <c r="H12" s="69">
        <f t="shared" si="6"/>
        <v>1</v>
      </c>
      <c r="I12" s="69">
        <f t="shared" si="7"/>
        <v>1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0.70555555555555549</v>
      </c>
      <c r="R12" s="69">
        <f t="shared" si="13"/>
        <v>0.80555555555555558</v>
      </c>
      <c r="S12" s="69">
        <f t="shared" si="14"/>
        <v>0.90555555555555556</v>
      </c>
      <c r="T12" s="69">
        <f t="shared" si="15"/>
        <v>1.0055555555555555</v>
      </c>
      <c r="U12" s="69">
        <f t="shared" si="16"/>
        <v>1.1055555555555556</v>
      </c>
      <c r="V12" s="69">
        <f t="shared" si="17"/>
        <v>1.2055555555555555</v>
      </c>
      <c r="W12" s="69">
        <f t="shared" si="18"/>
        <v>1.3055555555555556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3.64</v>
      </c>
      <c r="AC12" s="69">
        <f t="shared" si="24"/>
        <v>-1.2407407407407374</v>
      </c>
      <c r="AD12" s="69">
        <f t="shared" si="25"/>
        <v>3.64</v>
      </c>
      <c r="AE12" s="69">
        <f t="shared" si="26"/>
        <v>3.64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3.3233333333333328</v>
      </c>
      <c r="AN12" s="69">
        <f t="shared" si="32"/>
        <v>3.503333333333333</v>
      </c>
      <c r="AO12" s="69">
        <f t="shared" si="33"/>
        <v>3.6833333333333327</v>
      </c>
      <c r="AP12" s="69">
        <f t="shared" si="34"/>
        <v>3.8633333333333328</v>
      </c>
      <c r="AQ12" s="69">
        <f t="shared" si="35"/>
        <v>4.043333333333333</v>
      </c>
      <c r="AR12" s="69">
        <f t="shared" si="36"/>
        <v>4.2233333333333327</v>
      </c>
      <c r="AS12" s="69">
        <f t="shared" si="37"/>
        <v>4.4033333333333324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1</v>
      </c>
      <c r="G13" s="69">
        <f t="shared" si="5"/>
        <v>-5.5555555555555358E-2</v>
      </c>
      <c r="H13" s="69">
        <f t="shared" si="6"/>
        <v>1</v>
      </c>
      <c r="I13" s="69">
        <f t="shared" si="7"/>
        <v>1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0.70555555555555549</v>
      </c>
      <c r="R13" s="69">
        <f t="shared" si="13"/>
        <v>0.80555555555555558</v>
      </c>
      <c r="S13" s="69">
        <f t="shared" si="14"/>
        <v>0.90555555555555556</v>
      </c>
      <c r="T13" s="69">
        <f t="shared" si="15"/>
        <v>1.0055555555555555</v>
      </c>
      <c r="U13" s="69">
        <f t="shared" si="16"/>
        <v>1.1055555555555556</v>
      </c>
      <c r="V13" s="69">
        <f t="shared" si="17"/>
        <v>1.2055555555555555</v>
      </c>
      <c r="W13" s="69">
        <f t="shared" si="18"/>
        <v>1.3055555555555556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3.67</v>
      </c>
      <c r="AC13" s="69">
        <f t="shared" si="24"/>
        <v>-1.0740740740740717</v>
      </c>
      <c r="AD13" s="69">
        <f t="shared" si="25"/>
        <v>3.67</v>
      </c>
      <c r="AE13" s="69">
        <f t="shared" si="26"/>
        <v>3.67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3.3233333333333328</v>
      </c>
      <c r="AN13" s="69">
        <f t="shared" si="32"/>
        <v>3.503333333333333</v>
      </c>
      <c r="AO13" s="69">
        <f t="shared" si="33"/>
        <v>3.6833333333333327</v>
      </c>
      <c r="AP13" s="69">
        <f t="shared" si="34"/>
        <v>3.8633333333333328</v>
      </c>
      <c r="AQ13" s="69">
        <f t="shared" si="35"/>
        <v>4.043333333333333</v>
      </c>
      <c r="AR13" s="69">
        <f t="shared" si="36"/>
        <v>4.2233333333333327</v>
      </c>
      <c r="AS13" s="69">
        <f t="shared" si="37"/>
        <v>4.4033333333333324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1</v>
      </c>
      <c r="G14" s="69">
        <f t="shared" si="5"/>
        <v>-5.5555555555555358E-2</v>
      </c>
      <c r="H14" s="69">
        <f t="shared" si="6"/>
        <v>1</v>
      </c>
      <c r="I14" s="69">
        <f t="shared" si="7"/>
        <v>1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0.70555555555555549</v>
      </c>
      <c r="R14" s="69">
        <f t="shared" si="13"/>
        <v>0.80555555555555558</v>
      </c>
      <c r="S14" s="69">
        <f t="shared" si="14"/>
        <v>0.90555555555555556</v>
      </c>
      <c r="T14" s="69">
        <f t="shared" si="15"/>
        <v>1.0055555555555555</v>
      </c>
      <c r="U14" s="69">
        <f t="shared" si="16"/>
        <v>1.1055555555555556</v>
      </c>
      <c r="V14" s="69">
        <f t="shared" si="17"/>
        <v>1.2055555555555555</v>
      </c>
      <c r="W14" s="69">
        <f t="shared" si="18"/>
        <v>1.3055555555555556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3.58</v>
      </c>
      <c r="AC14" s="69">
        <f t="shared" si="24"/>
        <v>-1.5740740740740711</v>
      </c>
      <c r="AD14" s="69">
        <f t="shared" si="25"/>
        <v>3.58</v>
      </c>
      <c r="AE14" s="69" t="e">
        <f t="shared" si="26"/>
        <v>#N/A</v>
      </c>
      <c r="AF14" s="69">
        <f t="shared" si="27"/>
        <v>3.58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1</v>
      </c>
      <c r="AL14" s="69" t="str">
        <f t="shared" si="30"/>
        <v>REJEITADO</v>
      </c>
      <c r="AM14" s="69">
        <f t="shared" si="31"/>
        <v>3.3233333333333328</v>
      </c>
      <c r="AN14" s="69">
        <f t="shared" si="32"/>
        <v>3.503333333333333</v>
      </c>
      <c r="AO14" s="69">
        <f t="shared" si="33"/>
        <v>3.6833333333333327</v>
      </c>
      <c r="AP14" s="69">
        <f t="shared" si="34"/>
        <v>3.8633333333333328</v>
      </c>
      <c r="AQ14" s="69">
        <f t="shared" si="35"/>
        <v>4.043333333333333</v>
      </c>
      <c r="AR14" s="69">
        <f t="shared" si="36"/>
        <v>4.2233333333333327</v>
      </c>
      <c r="AS14" s="69">
        <f t="shared" si="37"/>
        <v>4.4033333333333324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0.98</v>
      </c>
      <c r="G15" s="69">
        <f t="shared" si="5"/>
        <v>-0.25555555555555554</v>
      </c>
      <c r="H15" s="69">
        <f t="shared" si="6"/>
        <v>0.98</v>
      </c>
      <c r="I15" s="69" t="e">
        <f t="shared" si="7"/>
        <v>#N/A</v>
      </c>
      <c r="J15" s="69">
        <f t="shared" si="8"/>
        <v>0.98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0.70555555555555549</v>
      </c>
      <c r="R15" s="69">
        <f t="shared" si="13"/>
        <v>0.80555555555555558</v>
      </c>
      <c r="S15" s="69">
        <f t="shared" si="14"/>
        <v>0.90555555555555556</v>
      </c>
      <c r="T15" s="69">
        <f t="shared" si="15"/>
        <v>1.0055555555555555</v>
      </c>
      <c r="U15" s="69">
        <f t="shared" si="16"/>
        <v>1.1055555555555556</v>
      </c>
      <c r="V15" s="69">
        <f t="shared" si="17"/>
        <v>1.2055555555555555</v>
      </c>
      <c r="W15" s="69">
        <f t="shared" si="18"/>
        <v>1.3055555555555556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3.56</v>
      </c>
      <c r="AC15" s="69">
        <f t="shared" si="24"/>
        <v>-1.6851851851851822</v>
      </c>
      <c r="AD15" s="69">
        <f t="shared" si="25"/>
        <v>3.56</v>
      </c>
      <c r="AE15" s="69" t="e">
        <f t="shared" si="26"/>
        <v>#N/A</v>
      </c>
      <c r="AF15" s="69">
        <f t="shared" si="27"/>
        <v>3.56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1</v>
      </c>
      <c r="AK15" s="69">
        <f t="shared" si="47"/>
        <v>1</v>
      </c>
      <c r="AL15" s="69" t="str">
        <f t="shared" si="30"/>
        <v>REJEITADO</v>
      </c>
      <c r="AM15" s="69">
        <f t="shared" si="31"/>
        <v>3.3233333333333328</v>
      </c>
      <c r="AN15" s="69">
        <f t="shared" si="32"/>
        <v>3.503333333333333</v>
      </c>
      <c r="AO15" s="69">
        <f t="shared" si="33"/>
        <v>3.6833333333333327</v>
      </c>
      <c r="AP15" s="69">
        <f t="shared" si="34"/>
        <v>3.8633333333333328</v>
      </c>
      <c r="AQ15" s="69">
        <f t="shared" si="35"/>
        <v>4.043333333333333</v>
      </c>
      <c r="AR15" s="69">
        <f t="shared" si="36"/>
        <v>4.2233333333333327</v>
      </c>
      <c r="AS15" s="69">
        <f t="shared" si="37"/>
        <v>4.4033333333333324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0.98</v>
      </c>
      <c r="G16" s="69">
        <f t="shared" si="5"/>
        <v>-0.25555555555555554</v>
      </c>
      <c r="H16" s="69">
        <f t="shared" si="6"/>
        <v>0.98</v>
      </c>
      <c r="I16" s="69" t="e">
        <f t="shared" si="7"/>
        <v>#N/A</v>
      </c>
      <c r="J16" s="69">
        <f t="shared" si="8"/>
        <v>0.98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0.70555555555555549</v>
      </c>
      <c r="R16" s="69">
        <f t="shared" si="13"/>
        <v>0.80555555555555558</v>
      </c>
      <c r="S16" s="69">
        <f t="shared" si="14"/>
        <v>0.90555555555555556</v>
      </c>
      <c r="T16" s="69">
        <f t="shared" si="15"/>
        <v>1.0055555555555555</v>
      </c>
      <c r="U16" s="69">
        <f t="shared" si="16"/>
        <v>1.1055555555555556</v>
      </c>
      <c r="V16" s="69">
        <f t="shared" si="17"/>
        <v>1.2055555555555555</v>
      </c>
      <c r="W16" s="69">
        <f t="shared" si="18"/>
        <v>1.3055555555555556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3.62</v>
      </c>
      <c r="AC16" s="69">
        <f t="shared" si="24"/>
        <v>-1.3518518518518485</v>
      </c>
      <c r="AD16" s="69">
        <f t="shared" si="25"/>
        <v>3.62</v>
      </c>
      <c r="AE16" s="69" t="e">
        <f t="shared" si="26"/>
        <v>#N/A</v>
      </c>
      <c r="AF16" s="69">
        <f t="shared" si="27"/>
        <v>3.62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1</v>
      </c>
      <c r="AK16" s="69">
        <f t="shared" si="47"/>
        <v>1</v>
      </c>
      <c r="AL16" s="69" t="str">
        <f t="shared" si="30"/>
        <v>REJEITADO</v>
      </c>
      <c r="AM16" s="69">
        <f t="shared" si="31"/>
        <v>3.3233333333333328</v>
      </c>
      <c r="AN16" s="69">
        <f t="shared" si="32"/>
        <v>3.503333333333333</v>
      </c>
      <c r="AO16" s="69">
        <f t="shared" si="33"/>
        <v>3.6833333333333327</v>
      </c>
      <c r="AP16" s="69">
        <f t="shared" si="34"/>
        <v>3.8633333333333328</v>
      </c>
      <c r="AQ16" s="69">
        <f t="shared" si="35"/>
        <v>4.043333333333333</v>
      </c>
      <c r="AR16" s="69">
        <f t="shared" si="36"/>
        <v>4.2233333333333327</v>
      </c>
      <c r="AS16" s="69">
        <f t="shared" si="37"/>
        <v>4.4033333333333324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0.99</v>
      </c>
      <c r="G17" s="69">
        <f t="shared" si="5"/>
        <v>-0.15555555555555545</v>
      </c>
      <c r="H17" s="69">
        <f t="shared" si="6"/>
        <v>0.99</v>
      </c>
      <c r="I17" s="69" t="e">
        <f t="shared" si="7"/>
        <v>#N/A</v>
      </c>
      <c r="J17" s="69">
        <f t="shared" si="8"/>
        <v>0.99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0.70555555555555549</v>
      </c>
      <c r="R17" s="69">
        <f t="shared" si="13"/>
        <v>0.80555555555555558</v>
      </c>
      <c r="S17" s="69">
        <f t="shared" si="14"/>
        <v>0.90555555555555556</v>
      </c>
      <c r="T17" s="69">
        <f t="shared" si="15"/>
        <v>1.0055555555555555</v>
      </c>
      <c r="U17" s="69">
        <f t="shared" si="16"/>
        <v>1.1055555555555556</v>
      </c>
      <c r="V17" s="69">
        <f t="shared" si="17"/>
        <v>1.2055555555555555</v>
      </c>
      <c r="W17" s="69">
        <f t="shared" si="18"/>
        <v>1.3055555555555556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3.65</v>
      </c>
      <c r="AC17" s="69">
        <f t="shared" si="24"/>
        <v>-1.1851851851851829</v>
      </c>
      <c r="AD17" s="69">
        <f t="shared" si="25"/>
        <v>3.65</v>
      </c>
      <c r="AE17" s="69" t="e">
        <f t="shared" si="26"/>
        <v>#N/A</v>
      </c>
      <c r="AF17" s="69">
        <f t="shared" si="27"/>
        <v>3.65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1</v>
      </c>
      <c r="AK17" s="69">
        <f t="shared" si="47"/>
        <v>1</v>
      </c>
      <c r="AL17" s="69" t="str">
        <f t="shared" si="30"/>
        <v>REJEITADO</v>
      </c>
      <c r="AM17" s="69">
        <f t="shared" si="31"/>
        <v>3.3233333333333328</v>
      </c>
      <c r="AN17" s="69">
        <f t="shared" si="32"/>
        <v>3.503333333333333</v>
      </c>
      <c r="AO17" s="69">
        <f t="shared" si="33"/>
        <v>3.6833333333333327</v>
      </c>
      <c r="AP17" s="69">
        <f t="shared" si="34"/>
        <v>3.8633333333333328</v>
      </c>
      <c r="AQ17" s="69">
        <f t="shared" si="35"/>
        <v>4.043333333333333</v>
      </c>
      <c r="AR17" s="69">
        <f t="shared" si="36"/>
        <v>4.2233333333333327</v>
      </c>
      <c r="AS17" s="69">
        <f t="shared" si="37"/>
        <v>4.4033333333333324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1.02</v>
      </c>
      <c r="G18" s="69">
        <f t="shared" si="5"/>
        <v>0.14444444444444482</v>
      </c>
      <c r="H18" s="69">
        <f t="shared" si="6"/>
        <v>1.02</v>
      </c>
      <c r="I18" s="69">
        <f t="shared" si="7"/>
        <v>1.02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0.70555555555555549</v>
      </c>
      <c r="R18" s="69">
        <f t="shared" si="13"/>
        <v>0.80555555555555558</v>
      </c>
      <c r="S18" s="69">
        <f t="shared" si="14"/>
        <v>0.90555555555555556</v>
      </c>
      <c r="T18" s="69">
        <f t="shared" si="15"/>
        <v>1.0055555555555555</v>
      </c>
      <c r="U18" s="69">
        <f t="shared" si="16"/>
        <v>1.1055555555555556</v>
      </c>
      <c r="V18" s="69">
        <f t="shared" si="17"/>
        <v>1.2055555555555555</v>
      </c>
      <c r="W18" s="69">
        <f t="shared" si="18"/>
        <v>1.3055555555555556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3.57</v>
      </c>
      <c r="AC18" s="69">
        <f t="shared" si="24"/>
        <v>-1.6296296296296278</v>
      </c>
      <c r="AD18" s="69">
        <f t="shared" si="25"/>
        <v>3.57</v>
      </c>
      <c r="AE18" s="69" t="e">
        <f t="shared" si="26"/>
        <v>#N/A</v>
      </c>
      <c r="AF18" s="69">
        <f t="shared" si="27"/>
        <v>3.57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3.3233333333333328</v>
      </c>
      <c r="AN18" s="69">
        <f t="shared" si="32"/>
        <v>3.503333333333333</v>
      </c>
      <c r="AO18" s="69">
        <f t="shared" si="33"/>
        <v>3.6833333333333327</v>
      </c>
      <c r="AP18" s="69">
        <f t="shared" si="34"/>
        <v>3.8633333333333328</v>
      </c>
      <c r="AQ18" s="69">
        <f t="shared" si="35"/>
        <v>4.043333333333333</v>
      </c>
      <c r="AR18" s="69">
        <f t="shared" si="36"/>
        <v>4.2233333333333327</v>
      </c>
      <c r="AS18" s="69">
        <f t="shared" si="37"/>
        <v>4.4033333333333324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1.1200000000000001</v>
      </c>
      <c r="G19" s="69">
        <f t="shared" si="5"/>
        <v>1.1444444444444457</v>
      </c>
      <c r="H19" s="69">
        <f t="shared" si="6"/>
        <v>1.1200000000000001</v>
      </c>
      <c r="I19" s="69">
        <f t="shared" si="7"/>
        <v>1.1200000000000001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0.70555555555555549</v>
      </c>
      <c r="R19" s="69">
        <f t="shared" si="13"/>
        <v>0.80555555555555558</v>
      </c>
      <c r="S19" s="69">
        <f t="shared" si="14"/>
        <v>0.90555555555555556</v>
      </c>
      <c r="T19" s="69">
        <f t="shared" si="15"/>
        <v>1.0055555555555555</v>
      </c>
      <c r="U19" s="69">
        <f t="shared" si="16"/>
        <v>1.1055555555555556</v>
      </c>
      <c r="V19" s="69">
        <f t="shared" si="17"/>
        <v>1.2055555555555555</v>
      </c>
      <c r="W19" s="69">
        <f t="shared" si="18"/>
        <v>1.3055555555555556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3.58</v>
      </c>
      <c r="AC19" s="69">
        <f t="shared" si="24"/>
        <v>-1.5740740740740711</v>
      </c>
      <c r="AD19" s="69">
        <f t="shared" si="25"/>
        <v>3.58</v>
      </c>
      <c r="AE19" s="69" t="e">
        <f t="shared" si="26"/>
        <v>#N/A</v>
      </c>
      <c r="AF19" s="69">
        <f t="shared" si="27"/>
        <v>3.58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3.3233333333333328</v>
      </c>
      <c r="AN19" s="69">
        <f t="shared" si="32"/>
        <v>3.503333333333333</v>
      </c>
      <c r="AO19" s="69">
        <f t="shared" si="33"/>
        <v>3.6833333333333327</v>
      </c>
      <c r="AP19" s="69">
        <f t="shared" si="34"/>
        <v>3.8633333333333328</v>
      </c>
      <c r="AQ19" s="69">
        <f t="shared" si="35"/>
        <v>4.043333333333333</v>
      </c>
      <c r="AR19" s="69">
        <f t="shared" si="36"/>
        <v>4.2233333333333327</v>
      </c>
      <c r="AS19" s="69">
        <f t="shared" si="37"/>
        <v>4.4033333333333324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1.02</v>
      </c>
      <c r="G20" s="69">
        <f t="shared" si="5"/>
        <v>0.14444444444444482</v>
      </c>
      <c r="H20" s="69">
        <f t="shared" si="6"/>
        <v>1.02</v>
      </c>
      <c r="I20" s="69">
        <f t="shared" si="7"/>
        <v>1.02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0.70555555555555549</v>
      </c>
      <c r="R20" s="69">
        <f t="shared" si="13"/>
        <v>0.80555555555555558</v>
      </c>
      <c r="S20" s="69">
        <f t="shared" si="14"/>
        <v>0.90555555555555556</v>
      </c>
      <c r="T20" s="69">
        <f t="shared" si="15"/>
        <v>1.0055555555555555</v>
      </c>
      <c r="U20" s="69">
        <f t="shared" si="16"/>
        <v>1.1055555555555556</v>
      </c>
      <c r="V20" s="69">
        <f t="shared" si="17"/>
        <v>1.2055555555555555</v>
      </c>
      <c r="W20" s="69">
        <f t="shared" si="18"/>
        <v>1.3055555555555556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3.6</v>
      </c>
      <c r="AC20" s="69">
        <f t="shared" si="24"/>
        <v>-1.4629629629629597</v>
      </c>
      <c r="AD20" s="69">
        <f t="shared" si="25"/>
        <v>3.6</v>
      </c>
      <c r="AE20" s="69" t="e">
        <f t="shared" si="26"/>
        <v>#N/A</v>
      </c>
      <c r="AF20" s="69">
        <f t="shared" si="27"/>
        <v>3.6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3.3233333333333328</v>
      </c>
      <c r="AN20" s="69">
        <f t="shared" si="32"/>
        <v>3.503333333333333</v>
      </c>
      <c r="AO20" s="69">
        <f t="shared" si="33"/>
        <v>3.6833333333333327</v>
      </c>
      <c r="AP20" s="69">
        <f t="shared" si="34"/>
        <v>3.8633333333333328</v>
      </c>
      <c r="AQ20" s="69">
        <f t="shared" si="35"/>
        <v>4.043333333333333</v>
      </c>
      <c r="AR20" s="69">
        <f t="shared" si="36"/>
        <v>4.2233333333333327</v>
      </c>
      <c r="AS20" s="69">
        <f t="shared" si="37"/>
        <v>4.4033333333333324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1.1000000000000001</v>
      </c>
      <c r="G21" s="69">
        <f t="shared" si="5"/>
        <v>0.94444444444444553</v>
      </c>
      <c r="H21" s="69">
        <f t="shared" si="6"/>
        <v>1.1000000000000001</v>
      </c>
      <c r="I21" s="69">
        <f t="shared" si="7"/>
        <v>1.1000000000000001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0.70555555555555549</v>
      </c>
      <c r="R21" s="69">
        <f t="shared" si="13"/>
        <v>0.80555555555555558</v>
      </c>
      <c r="S21" s="69">
        <f t="shared" si="14"/>
        <v>0.90555555555555556</v>
      </c>
      <c r="T21" s="69">
        <f t="shared" si="15"/>
        <v>1.0055555555555555</v>
      </c>
      <c r="U21" s="69">
        <f t="shared" si="16"/>
        <v>1.1055555555555556</v>
      </c>
      <c r="V21" s="69">
        <f t="shared" si="17"/>
        <v>1.2055555555555555</v>
      </c>
      <c r="W21" s="69">
        <f t="shared" si="18"/>
        <v>1.3055555555555556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3.61</v>
      </c>
      <c r="AC21" s="69">
        <f t="shared" si="24"/>
        <v>-1.4074074074074054</v>
      </c>
      <c r="AD21" s="69">
        <f t="shared" si="25"/>
        <v>3.61</v>
      </c>
      <c r="AE21" s="69" t="e">
        <f t="shared" si="26"/>
        <v>#N/A</v>
      </c>
      <c r="AF21" s="69">
        <f t="shared" si="27"/>
        <v>3.61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3.3233333333333328</v>
      </c>
      <c r="AN21" s="69">
        <f t="shared" si="32"/>
        <v>3.503333333333333</v>
      </c>
      <c r="AO21" s="69">
        <f t="shared" si="33"/>
        <v>3.6833333333333327</v>
      </c>
      <c r="AP21" s="69">
        <f t="shared" si="34"/>
        <v>3.8633333333333328</v>
      </c>
      <c r="AQ21" s="69">
        <f t="shared" si="35"/>
        <v>4.043333333333333</v>
      </c>
      <c r="AR21" s="69">
        <f t="shared" si="36"/>
        <v>4.2233333333333327</v>
      </c>
      <c r="AS21" s="69">
        <f t="shared" si="37"/>
        <v>4.4033333333333324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0.96</v>
      </c>
      <c r="G22" s="69">
        <f t="shared" si="5"/>
        <v>-0.45555555555555571</v>
      </c>
      <c r="H22" s="69">
        <f t="shared" si="6"/>
        <v>0.96</v>
      </c>
      <c r="I22" s="69">
        <f t="shared" si="7"/>
        <v>0.96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0.70555555555555549</v>
      </c>
      <c r="R22" s="69">
        <f t="shared" si="13"/>
        <v>0.80555555555555558</v>
      </c>
      <c r="S22" s="69">
        <f t="shared" si="14"/>
        <v>0.90555555555555556</v>
      </c>
      <c r="T22" s="69">
        <f t="shared" si="15"/>
        <v>1.0055555555555555</v>
      </c>
      <c r="U22" s="69">
        <f t="shared" si="16"/>
        <v>1.1055555555555556</v>
      </c>
      <c r="V22" s="69">
        <f t="shared" si="17"/>
        <v>1.2055555555555555</v>
      </c>
      <c r="W22" s="69">
        <f t="shared" si="18"/>
        <v>1.3055555555555556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3.56</v>
      </c>
      <c r="AC22" s="69">
        <f t="shared" si="24"/>
        <v>-1.6851851851851822</v>
      </c>
      <c r="AD22" s="69">
        <f t="shared" si="25"/>
        <v>3.56</v>
      </c>
      <c r="AE22" s="69" t="e">
        <f t="shared" si="26"/>
        <v>#N/A</v>
      </c>
      <c r="AF22" s="69">
        <f t="shared" si="27"/>
        <v>3.56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3.3233333333333328</v>
      </c>
      <c r="AN22" s="69">
        <f t="shared" si="32"/>
        <v>3.503333333333333</v>
      </c>
      <c r="AO22" s="69">
        <f t="shared" si="33"/>
        <v>3.6833333333333327</v>
      </c>
      <c r="AP22" s="69">
        <f t="shared" si="34"/>
        <v>3.8633333333333328</v>
      </c>
      <c r="AQ22" s="69">
        <f t="shared" si="35"/>
        <v>4.043333333333333</v>
      </c>
      <c r="AR22" s="69">
        <f t="shared" si="36"/>
        <v>4.2233333333333327</v>
      </c>
      <c r="AS22" s="69">
        <f t="shared" si="37"/>
        <v>4.4033333333333324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0.99</v>
      </c>
      <c r="G23" s="69">
        <f t="shared" si="5"/>
        <v>-0.15555555555555545</v>
      </c>
      <c r="H23" s="69">
        <f t="shared" si="6"/>
        <v>0.99</v>
      </c>
      <c r="I23" s="69">
        <f t="shared" si="7"/>
        <v>0.99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0.70555555555555549</v>
      </c>
      <c r="R23" s="69">
        <f t="shared" si="13"/>
        <v>0.80555555555555558</v>
      </c>
      <c r="S23" s="69">
        <f t="shared" si="14"/>
        <v>0.90555555555555556</v>
      </c>
      <c r="T23" s="69">
        <f t="shared" si="15"/>
        <v>1.0055555555555555</v>
      </c>
      <c r="U23" s="69">
        <f t="shared" si="16"/>
        <v>1.1055555555555556</v>
      </c>
      <c r="V23" s="69">
        <f t="shared" si="17"/>
        <v>1.2055555555555555</v>
      </c>
      <c r="W23" s="69">
        <f t="shared" si="18"/>
        <v>1.3055555555555556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3.5</v>
      </c>
      <c r="AC23" s="69">
        <f t="shared" si="24"/>
        <v>-2.0185185185185159</v>
      </c>
      <c r="AD23" s="69">
        <f t="shared" si="25"/>
        <v>3.5</v>
      </c>
      <c r="AE23" s="69" t="e">
        <f t="shared" si="26"/>
        <v>#N/A</v>
      </c>
      <c r="AF23" s="69">
        <f t="shared" si="27"/>
        <v>3.5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3.3233333333333328</v>
      </c>
      <c r="AN23" s="69">
        <f t="shared" si="32"/>
        <v>3.503333333333333</v>
      </c>
      <c r="AO23" s="69">
        <f t="shared" si="33"/>
        <v>3.6833333333333327</v>
      </c>
      <c r="AP23" s="69">
        <f t="shared" si="34"/>
        <v>3.8633333333333328</v>
      </c>
      <c r="AQ23" s="69">
        <f t="shared" si="35"/>
        <v>4.043333333333333</v>
      </c>
      <c r="AR23" s="69">
        <f t="shared" si="36"/>
        <v>4.2233333333333327</v>
      </c>
      <c r="AS23" s="69">
        <f t="shared" si="37"/>
        <v>4.4033333333333324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0.97</v>
      </c>
      <c r="G24" s="69">
        <f t="shared" si="5"/>
        <v>-0.35555555555555562</v>
      </c>
      <c r="H24" s="69">
        <f t="shared" si="6"/>
        <v>0.97</v>
      </c>
      <c r="I24" s="69">
        <f t="shared" si="7"/>
        <v>0.97</v>
      </c>
      <c r="J24" s="69" t="e">
        <f t="shared" si="8"/>
        <v>#N/A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0</v>
      </c>
      <c r="P24" s="69" t="str">
        <f t="shared" si="11"/>
        <v>OK</v>
      </c>
      <c r="Q24" s="69">
        <f t="shared" si="12"/>
        <v>0.70555555555555549</v>
      </c>
      <c r="R24" s="69">
        <f t="shared" si="13"/>
        <v>0.80555555555555558</v>
      </c>
      <c r="S24" s="69">
        <f t="shared" si="14"/>
        <v>0.90555555555555556</v>
      </c>
      <c r="T24" s="69">
        <f t="shared" si="15"/>
        <v>1.0055555555555555</v>
      </c>
      <c r="U24" s="69">
        <f t="shared" si="16"/>
        <v>1.1055555555555556</v>
      </c>
      <c r="V24" s="69">
        <f t="shared" si="17"/>
        <v>1.2055555555555555</v>
      </c>
      <c r="W24" s="69">
        <f t="shared" si="18"/>
        <v>1.3055555555555556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3.47</v>
      </c>
      <c r="AC24" s="69">
        <f t="shared" si="24"/>
        <v>-2.1851851851851816</v>
      </c>
      <c r="AD24" s="69">
        <f t="shared" si="25"/>
        <v>3.47</v>
      </c>
      <c r="AE24" s="69" t="e">
        <f t="shared" si="26"/>
        <v>#N/A</v>
      </c>
      <c r="AF24" s="69">
        <f t="shared" si="27"/>
        <v>3.47</v>
      </c>
      <c r="AG24" s="69">
        <f t="shared" si="28"/>
        <v>0</v>
      </c>
      <c r="AH24" s="69">
        <f t="shared" si="43"/>
        <v>1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3.3233333333333328</v>
      </c>
      <c r="AN24" s="69">
        <f t="shared" si="32"/>
        <v>3.503333333333333</v>
      </c>
      <c r="AO24" s="69">
        <f t="shared" si="33"/>
        <v>3.6833333333333327</v>
      </c>
      <c r="AP24" s="69">
        <f t="shared" si="34"/>
        <v>3.8633333333333328</v>
      </c>
      <c r="AQ24" s="69">
        <f t="shared" si="35"/>
        <v>4.043333333333333</v>
      </c>
      <c r="AR24" s="69">
        <f t="shared" si="36"/>
        <v>4.2233333333333327</v>
      </c>
      <c r="AS24" s="69">
        <f t="shared" si="37"/>
        <v>4.4033333333333324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1.01</v>
      </c>
      <c r="G25" s="69">
        <f t="shared" si="5"/>
        <v>4.4444444444444731E-2</v>
      </c>
      <c r="H25" s="69">
        <f t="shared" si="6"/>
        <v>1.01</v>
      </c>
      <c r="I25" s="69">
        <f t="shared" si="7"/>
        <v>1.01</v>
      </c>
      <c r="J25" s="69" t="e">
        <f t="shared" si="8"/>
        <v>#N/A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0</v>
      </c>
      <c r="P25" s="69" t="str">
        <f t="shared" si="11"/>
        <v>OK</v>
      </c>
      <c r="Q25" s="69">
        <f t="shared" si="12"/>
        <v>0.70555555555555549</v>
      </c>
      <c r="R25" s="69">
        <f t="shared" si="13"/>
        <v>0.80555555555555558</v>
      </c>
      <c r="S25" s="69">
        <f t="shared" si="14"/>
        <v>0.90555555555555556</v>
      </c>
      <c r="T25" s="69">
        <f t="shared" si="15"/>
        <v>1.0055555555555555</v>
      </c>
      <c r="U25" s="69">
        <f t="shared" si="16"/>
        <v>1.1055555555555556</v>
      </c>
      <c r="V25" s="69">
        <f t="shared" si="17"/>
        <v>1.2055555555555555</v>
      </c>
      <c r="W25" s="69">
        <f t="shared" si="18"/>
        <v>1.3055555555555556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3.56</v>
      </c>
      <c r="AC25" s="69">
        <f t="shared" si="24"/>
        <v>-1.6851851851851822</v>
      </c>
      <c r="AD25" s="69">
        <f t="shared" si="25"/>
        <v>3.56</v>
      </c>
      <c r="AE25" s="69" t="e">
        <f t="shared" si="26"/>
        <v>#N/A</v>
      </c>
      <c r="AF25" s="69">
        <f t="shared" si="27"/>
        <v>3.56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3.3233333333333328</v>
      </c>
      <c r="AN25" s="69">
        <f t="shared" si="32"/>
        <v>3.503333333333333</v>
      </c>
      <c r="AO25" s="69">
        <f t="shared" si="33"/>
        <v>3.6833333333333327</v>
      </c>
      <c r="AP25" s="69">
        <f t="shared" si="34"/>
        <v>3.8633333333333328</v>
      </c>
      <c r="AQ25" s="69">
        <f t="shared" si="35"/>
        <v>4.043333333333333</v>
      </c>
      <c r="AR25" s="69">
        <f t="shared" si="36"/>
        <v>4.2233333333333327</v>
      </c>
      <c r="AS25" s="69">
        <f t="shared" si="37"/>
        <v>4.4033333333333324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1.1100000000000001</v>
      </c>
      <c r="G26" s="69">
        <f t="shared" si="5"/>
        <v>1.0444444444444456</v>
      </c>
      <c r="H26" s="69">
        <f t="shared" si="6"/>
        <v>1.1100000000000001</v>
      </c>
      <c r="I26" s="69">
        <f t="shared" si="7"/>
        <v>1.1100000000000001</v>
      </c>
      <c r="J26" s="69" t="e">
        <f t="shared" si="8"/>
        <v>#N/A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0</v>
      </c>
      <c r="P26" s="69" t="str">
        <f t="shared" si="11"/>
        <v>OK</v>
      </c>
      <c r="Q26" s="69">
        <f t="shared" si="12"/>
        <v>0.70555555555555549</v>
      </c>
      <c r="R26" s="69">
        <f t="shared" si="13"/>
        <v>0.80555555555555558</v>
      </c>
      <c r="S26" s="69">
        <f t="shared" si="14"/>
        <v>0.90555555555555556</v>
      </c>
      <c r="T26" s="69">
        <f t="shared" si="15"/>
        <v>1.0055555555555555</v>
      </c>
      <c r="U26" s="69">
        <f t="shared" si="16"/>
        <v>1.1055555555555556</v>
      </c>
      <c r="V26" s="69">
        <f t="shared" si="17"/>
        <v>1.2055555555555555</v>
      </c>
      <c r="W26" s="69">
        <f t="shared" si="18"/>
        <v>1.3055555555555556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3.6</v>
      </c>
      <c r="AC26" s="69">
        <f t="shared" si="24"/>
        <v>-1.4629629629629597</v>
      </c>
      <c r="AD26" s="69">
        <f t="shared" si="25"/>
        <v>3.6</v>
      </c>
      <c r="AE26" s="69" t="e">
        <f t="shared" si="26"/>
        <v>#N/A</v>
      </c>
      <c r="AF26" s="69">
        <f t="shared" si="27"/>
        <v>3.6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3.3233333333333328</v>
      </c>
      <c r="AN26" s="69">
        <f t="shared" si="32"/>
        <v>3.503333333333333</v>
      </c>
      <c r="AO26" s="69">
        <f t="shared" si="33"/>
        <v>3.6833333333333327</v>
      </c>
      <c r="AP26" s="69">
        <f t="shared" si="34"/>
        <v>3.8633333333333328</v>
      </c>
      <c r="AQ26" s="69">
        <f t="shared" si="35"/>
        <v>4.043333333333333</v>
      </c>
      <c r="AR26" s="69">
        <f t="shared" si="36"/>
        <v>4.2233333333333327</v>
      </c>
      <c r="AS26" s="69">
        <f t="shared" si="37"/>
        <v>4.4033333333333324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1.05</v>
      </c>
      <c r="G27" s="69">
        <f t="shared" si="5"/>
        <v>0.44444444444444509</v>
      </c>
      <c r="H27" s="69">
        <f t="shared" si="6"/>
        <v>1.05</v>
      </c>
      <c r="I27" s="69">
        <f t="shared" si="7"/>
        <v>1.05</v>
      </c>
      <c r="J27" s="69" t="e">
        <f t="shared" si="8"/>
        <v>#N/A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0</v>
      </c>
      <c r="P27" s="69" t="str">
        <f t="shared" si="11"/>
        <v>OK</v>
      </c>
      <c r="Q27" s="69">
        <f t="shared" si="12"/>
        <v>0.70555555555555549</v>
      </c>
      <c r="R27" s="69">
        <f t="shared" si="13"/>
        <v>0.80555555555555558</v>
      </c>
      <c r="S27" s="69">
        <f t="shared" si="14"/>
        <v>0.90555555555555556</v>
      </c>
      <c r="T27" s="69">
        <f t="shared" si="15"/>
        <v>1.0055555555555555</v>
      </c>
      <c r="U27" s="69">
        <f t="shared" si="16"/>
        <v>1.1055555555555556</v>
      </c>
      <c r="V27" s="69">
        <f t="shared" si="17"/>
        <v>1.2055555555555555</v>
      </c>
      <c r="W27" s="69">
        <f t="shared" si="18"/>
        <v>1.3055555555555556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3.59</v>
      </c>
      <c r="AC27" s="69">
        <f t="shared" si="24"/>
        <v>-1.5185185185185166</v>
      </c>
      <c r="AD27" s="69">
        <f t="shared" si="25"/>
        <v>3.59</v>
      </c>
      <c r="AE27" s="69" t="e">
        <f t="shared" si="26"/>
        <v>#N/A</v>
      </c>
      <c r="AF27" s="69">
        <f t="shared" si="27"/>
        <v>3.59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3.3233333333333328</v>
      </c>
      <c r="AN27" s="69">
        <f t="shared" si="32"/>
        <v>3.503333333333333</v>
      </c>
      <c r="AO27" s="69">
        <f t="shared" si="33"/>
        <v>3.6833333333333327</v>
      </c>
      <c r="AP27" s="69">
        <f t="shared" si="34"/>
        <v>3.8633333333333328</v>
      </c>
      <c r="AQ27" s="69">
        <f t="shared" si="35"/>
        <v>4.043333333333333</v>
      </c>
      <c r="AR27" s="69">
        <f t="shared" si="36"/>
        <v>4.2233333333333327</v>
      </c>
      <c r="AS27" s="69">
        <f t="shared" si="37"/>
        <v>4.4033333333333324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0.99</v>
      </c>
      <c r="G28" s="69">
        <f t="shared" si="5"/>
        <v>-0.15555555555555545</v>
      </c>
      <c r="H28" s="69">
        <f t="shared" si="6"/>
        <v>0.99</v>
      </c>
      <c r="I28" s="69">
        <f t="shared" si="7"/>
        <v>0.99</v>
      </c>
      <c r="J28" s="69" t="e">
        <f t="shared" si="8"/>
        <v>#N/A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0</v>
      </c>
      <c r="P28" s="69" t="str">
        <f t="shared" si="11"/>
        <v>OK</v>
      </c>
      <c r="Q28" s="69">
        <f t="shared" si="12"/>
        <v>0.70555555555555549</v>
      </c>
      <c r="R28" s="69">
        <f t="shared" si="13"/>
        <v>0.80555555555555558</v>
      </c>
      <c r="S28" s="69">
        <f t="shared" si="14"/>
        <v>0.90555555555555556</v>
      </c>
      <c r="T28" s="69">
        <f t="shared" si="15"/>
        <v>1.0055555555555555</v>
      </c>
      <c r="U28" s="69">
        <f t="shared" si="16"/>
        <v>1.1055555555555556</v>
      </c>
      <c r="V28" s="69">
        <f t="shared" si="17"/>
        <v>1.2055555555555555</v>
      </c>
      <c r="W28" s="69">
        <f t="shared" si="18"/>
        <v>1.3055555555555556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3.59</v>
      </c>
      <c r="AC28" s="69">
        <f t="shared" si="24"/>
        <v>-1.5185185185185166</v>
      </c>
      <c r="AD28" s="69">
        <f t="shared" si="25"/>
        <v>3.59</v>
      </c>
      <c r="AE28" s="69" t="e">
        <f t="shared" si="26"/>
        <v>#N/A</v>
      </c>
      <c r="AF28" s="69">
        <f t="shared" si="27"/>
        <v>3.59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3.3233333333333328</v>
      </c>
      <c r="AN28" s="69">
        <f t="shared" si="32"/>
        <v>3.503333333333333</v>
      </c>
      <c r="AO28" s="69">
        <f t="shared" si="33"/>
        <v>3.6833333333333327</v>
      </c>
      <c r="AP28" s="69">
        <f t="shared" si="34"/>
        <v>3.8633333333333328</v>
      </c>
      <c r="AQ28" s="69">
        <f t="shared" si="35"/>
        <v>4.043333333333333</v>
      </c>
      <c r="AR28" s="69">
        <f t="shared" si="36"/>
        <v>4.2233333333333327</v>
      </c>
      <c r="AS28" s="69">
        <f t="shared" si="37"/>
        <v>4.4033333333333324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0.95</v>
      </c>
      <c r="G29" s="69">
        <f t="shared" si="5"/>
        <v>-0.5555555555555558</v>
      </c>
      <c r="H29" s="69">
        <f t="shared" si="6"/>
        <v>0.95</v>
      </c>
      <c r="I29" s="69">
        <f t="shared" si="7"/>
        <v>0.95</v>
      </c>
      <c r="J29" s="69" t="e">
        <f t="shared" si="8"/>
        <v>#N/A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0</v>
      </c>
      <c r="P29" s="69" t="str">
        <f t="shared" si="11"/>
        <v>OK</v>
      </c>
      <c r="Q29" s="69">
        <f t="shared" si="12"/>
        <v>0.70555555555555549</v>
      </c>
      <c r="R29" s="69">
        <f t="shared" si="13"/>
        <v>0.80555555555555558</v>
      </c>
      <c r="S29" s="69">
        <f t="shared" si="14"/>
        <v>0.90555555555555556</v>
      </c>
      <c r="T29" s="69">
        <f t="shared" si="15"/>
        <v>1.0055555555555555</v>
      </c>
      <c r="U29" s="69">
        <f t="shared" si="16"/>
        <v>1.1055555555555556</v>
      </c>
      <c r="V29" s="69">
        <f t="shared" si="17"/>
        <v>1.2055555555555555</v>
      </c>
      <c r="W29" s="69">
        <f t="shared" si="18"/>
        <v>1.3055555555555556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3.65</v>
      </c>
      <c r="AC29" s="69">
        <f t="shared" si="24"/>
        <v>-1.1851851851851829</v>
      </c>
      <c r="AD29" s="69">
        <f t="shared" si="25"/>
        <v>3.65</v>
      </c>
      <c r="AE29" s="69" t="e">
        <f t="shared" si="26"/>
        <v>#N/A</v>
      </c>
      <c r="AF29" s="69">
        <f t="shared" si="27"/>
        <v>3.65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3.3233333333333328</v>
      </c>
      <c r="AN29" s="69">
        <f t="shared" si="32"/>
        <v>3.503333333333333</v>
      </c>
      <c r="AO29" s="69">
        <f t="shared" si="33"/>
        <v>3.6833333333333327</v>
      </c>
      <c r="AP29" s="69">
        <f t="shared" si="34"/>
        <v>3.8633333333333328</v>
      </c>
      <c r="AQ29" s="69">
        <f t="shared" si="35"/>
        <v>4.043333333333333</v>
      </c>
      <c r="AR29" s="69">
        <f t="shared" si="36"/>
        <v>4.2233333333333327</v>
      </c>
      <c r="AS29" s="69">
        <f t="shared" si="37"/>
        <v>4.4033333333333324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0.97</v>
      </c>
      <c r="G30" s="69">
        <f t="shared" si="5"/>
        <v>-0.35555555555555562</v>
      </c>
      <c r="H30" s="69">
        <f t="shared" si="6"/>
        <v>0.97</v>
      </c>
      <c r="I30" s="69">
        <f t="shared" si="7"/>
        <v>0.97</v>
      </c>
      <c r="J30" s="69" t="e">
        <f t="shared" si="8"/>
        <v>#N/A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0</v>
      </c>
      <c r="P30" s="69" t="str">
        <f t="shared" si="11"/>
        <v>OK</v>
      </c>
      <c r="Q30" s="69">
        <f t="shared" si="12"/>
        <v>0.70555555555555549</v>
      </c>
      <c r="R30" s="69">
        <f t="shared" si="13"/>
        <v>0.80555555555555558</v>
      </c>
      <c r="S30" s="69">
        <f t="shared" si="14"/>
        <v>0.90555555555555556</v>
      </c>
      <c r="T30" s="69">
        <f t="shared" si="15"/>
        <v>1.0055555555555555</v>
      </c>
      <c r="U30" s="69">
        <f t="shared" si="16"/>
        <v>1.1055555555555556</v>
      </c>
      <c r="V30" s="69">
        <f t="shared" si="17"/>
        <v>1.2055555555555555</v>
      </c>
      <c r="W30" s="69">
        <f t="shared" si="18"/>
        <v>1.3055555555555556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3.61</v>
      </c>
      <c r="AC30" s="69">
        <f t="shared" si="24"/>
        <v>-1.4074074074074054</v>
      </c>
      <c r="AD30" s="69">
        <f t="shared" si="25"/>
        <v>3.61</v>
      </c>
      <c r="AE30" s="69" t="e">
        <f t="shared" si="26"/>
        <v>#N/A</v>
      </c>
      <c r="AF30" s="69">
        <f t="shared" si="27"/>
        <v>3.61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3.3233333333333328</v>
      </c>
      <c r="AN30" s="69">
        <f t="shared" si="32"/>
        <v>3.503333333333333</v>
      </c>
      <c r="AO30" s="69">
        <f t="shared" si="33"/>
        <v>3.6833333333333327</v>
      </c>
      <c r="AP30" s="69">
        <f t="shared" si="34"/>
        <v>3.8633333333333328</v>
      </c>
      <c r="AQ30" s="69">
        <f t="shared" si="35"/>
        <v>4.043333333333333</v>
      </c>
      <c r="AR30" s="69">
        <f t="shared" si="36"/>
        <v>4.2233333333333327</v>
      </c>
      <c r="AS30" s="69">
        <f t="shared" si="37"/>
        <v>4.4033333333333324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0.98</v>
      </c>
      <c r="G31" s="69">
        <f t="shared" si="5"/>
        <v>-0.25555555555555554</v>
      </c>
      <c r="H31" s="69">
        <f t="shared" si="6"/>
        <v>0.98</v>
      </c>
      <c r="I31" s="69" t="e">
        <f t="shared" si="7"/>
        <v>#N/A</v>
      </c>
      <c r="J31" s="69">
        <f t="shared" si="8"/>
        <v>0.98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0.70555555555555549</v>
      </c>
      <c r="R31" s="69">
        <f t="shared" si="13"/>
        <v>0.80555555555555558</v>
      </c>
      <c r="S31" s="69">
        <f t="shared" si="14"/>
        <v>0.90555555555555556</v>
      </c>
      <c r="T31" s="69">
        <f t="shared" si="15"/>
        <v>1.0055555555555555</v>
      </c>
      <c r="U31" s="69">
        <f t="shared" si="16"/>
        <v>1.1055555555555556</v>
      </c>
      <c r="V31" s="69">
        <f t="shared" si="17"/>
        <v>1.2055555555555555</v>
      </c>
      <c r="W31" s="69">
        <f t="shared" si="18"/>
        <v>1.3055555555555556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3.56</v>
      </c>
      <c r="AC31" s="69">
        <f t="shared" si="24"/>
        <v>-1.6851851851851822</v>
      </c>
      <c r="AD31" s="69">
        <f t="shared" si="25"/>
        <v>3.56</v>
      </c>
      <c r="AE31" s="69" t="e">
        <f t="shared" si="26"/>
        <v>#N/A</v>
      </c>
      <c r="AF31" s="69">
        <f t="shared" si="27"/>
        <v>3.56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3.3233333333333328</v>
      </c>
      <c r="AN31" s="69">
        <f t="shared" si="32"/>
        <v>3.503333333333333</v>
      </c>
      <c r="AO31" s="69">
        <f t="shared" si="33"/>
        <v>3.6833333333333327</v>
      </c>
      <c r="AP31" s="69">
        <f t="shared" si="34"/>
        <v>3.8633333333333328</v>
      </c>
      <c r="AQ31" s="69">
        <f t="shared" si="35"/>
        <v>4.043333333333333</v>
      </c>
      <c r="AR31" s="69">
        <f t="shared" si="36"/>
        <v>4.2233333333333327</v>
      </c>
      <c r="AS31" s="69">
        <f t="shared" si="37"/>
        <v>4.4033333333333324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0.95</v>
      </c>
      <c r="G32" s="69">
        <f t="shared" si="5"/>
        <v>-0.5555555555555558</v>
      </c>
      <c r="H32" s="69">
        <f t="shared" si="6"/>
        <v>0.95</v>
      </c>
      <c r="I32" s="69" t="e">
        <f t="shared" si="7"/>
        <v>#N/A</v>
      </c>
      <c r="J32" s="69">
        <f t="shared" si="8"/>
        <v>0.95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0.70555555555555549</v>
      </c>
      <c r="R32" s="69">
        <f t="shared" si="13"/>
        <v>0.80555555555555558</v>
      </c>
      <c r="S32" s="69">
        <f t="shared" si="14"/>
        <v>0.90555555555555556</v>
      </c>
      <c r="T32" s="69">
        <f t="shared" si="15"/>
        <v>1.0055555555555555</v>
      </c>
      <c r="U32" s="69">
        <f t="shared" si="16"/>
        <v>1.1055555555555556</v>
      </c>
      <c r="V32" s="69">
        <f t="shared" si="17"/>
        <v>1.2055555555555555</v>
      </c>
      <c r="W32" s="69">
        <f t="shared" si="18"/>
        <v>1.3055555555555556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3.6</v>
      </c>
      <c r="AC32" s="69">
        <f t="shared" si="24"/>
        <v>-1.4629629629629597</v>
      </c>
      <c r="AD32" s="69">
        <f t="shared" si="25"/>
        <v>3.6</v>
      </c>
      <c r="AE32" s="69" t="e">
        <f t="shared" si="26"/>
        <v>#N/A</v>
      </c>
      <c r="AF32" s="69">
        <f t="shared" si="27"/>
        <v>3.6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3.3233333333333328</v>
      </c>
      <c r="AN32" s="69">
        <f t="shared" si="32"/>
        <v>3.503333333333333</v>
      </c>
      <c r="AO32" s="69">
        <f t="shared" si="33"/>
        <v>3.6833333333333327</v>
      </c>
      <c r="AP32" s="69">
        <f t="shared" si="34"/>
        <v>3.8633333333333328</v>
      </c>
      <c r="AQ32" s="69">
        <f t="shared" si="35"/>
        <v>4.043333333333333</v>
      </c>
      <c r="AR32" s="69">
        <f t="shared" si="36"/>
        <v>4.2233333333333327</v>
      </c>
      <c r="AS32" s="69">
        <f t="shared" si="37"/>
        <v>4.4033333333333324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0.97</v>
      </c>
      <c r="G33" s="69">
        <f t="shared" si="5"/>
        <v>-0.35555555555555562</v>
      </c>
      <c r="H33" s="69">
        <f t="shared" si="6"/>
        <v>0.97</v>
      </c>
      <c r="I33" s="69" t="e">
        <f t="shared" si="7"/>
        <v>#N/A</v>
      </c>
      <c r="J33" s="69">
        <f t="shared" si="8"/>
        <v>0.97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0.70555555555555549</v>
      </c>
      <c r="R33" s="69">
        <f t="shared" si="13"/>
        <v>0.80555555555555558</v>
      </c>
      <c r="S33" s="69">
        <f t="shared" si="14"/>
        <v>0.90555555555555556</v>
      </c>
      <c r="T33" s="69">
        <f t="shared" si="15"/>
        <v>1.0055555555555555</v>
      </c>
      <c r="U33" s="69">
        <f t="shared" si="16"/>
        <v>1.1055555555555556</v>
      </c>
      <c r="V33" s="69">
        <f t="shared" si="17"/>
        <v>1.2055555555555555</v>
      </c>
      <c r="W33" s="69">
        <f t="shared" si="18"/>
        <v>1.3055555555555556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3.6</v>
      </c>
      <c r="AC33" s="69">
        <f t="shared" si="24"/>
        <v>-1.4629629629629597</v>
      </c>
      <c r="AD33" s="69">
        <f t="shared" si="25"/>
        <v>3.6</v>
      </c>
      <c r="AE33" s="69" t="e">
        <f t="shared" si="26"/>
        <v>#N/A</v>
      </c>
      <c r="AF33" s="69">
        <f t="shared" si="27"/>
        <v>3.6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3.3233333333333328</v>
      </c>
      <c r="AN33" s="69">
        <f t="shared" si="32"/>
        <v>3.503333333333333</v>
      </c>
      <c r="AO33" s="69">
        <f t="shared" si="33"/>
        <v>3.6833333333333327</v>
      </c>
      <c r="AP33" s="69">
        <f t="shared" si="34"/>
        <v>3.8633333333333328</v>
      </c>
      <c r="AQ33" s="69">
        <f t="shared" si="35"/>
        <v>4.043333333333333</v>
      </c>
      <c r="AR33" s="69">
        <f t="shared" si="36"/>
        <v>4.2233333333333327</v>
      </c>
      <c r="AS33" s="69">
        <f t="shared" si="37"/>
        <v>4.4033333333333324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1</v>
      </c>
      <c r="G34" s="69">
        <f t="shared" si="5"/>
        <v>-5.5555555555555358E-2</v>
      </c>
      <c r="H34" s="69">
        <f t="shared" si="6"/>
        <v>1</v>
      </c>
      <c r="I34" s="69" t="e">
        <f t="shared" si="7"/>
        <v>#N/A</v>
      </c>
      <c r="J34" s="69">
        <f t="shared" si="8"/>
        <v>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0.70555555555555549</v>
      </c>
      <c r="R34" s="69">
        <f t="shared" si="13"/>
        <v>0.80555555555555558</v>
      </c>
      <c r="S34" s="69">
        <f t="shared" si="14"/>
        <v>0.90555555555555556</v>
      </c>
      <c r="T34" s="69">
        <f t="shared" si="15"/>
        <v>1.0055555555555555</v>
      </c>
      <c r="U34" s="69">
        <f t="shared" si="16"/>
        <v>1.1055555555555556</v>
      </c>
      <c r="V34" s="69">
        <f t="shared" si="17"/>
        <v>1.2055555555555555</v>
      </c>
      <c r="W34" s="69">
        <f t="shared" si="18"/>
        <v>1.3055555555555556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3.56</v>
      </c>
      <c r="AC34" s="69">
        <f t="shared" si="24"/>
        <v>-1.6851851851851822</v>
      </c>
      <c r="AD34" s="69">
        <f t="shared" si="25"/>
        <v>3.56</v>
      </c>
      <c r="AE34" s="69" t="e">
        <f t="shared" si="26"/>
        <v>#N/A</v>
      </c>
      <c r="AF34" s="69">
        <f t="shared" si="27"/>
        <v>3.56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3.3233333333333328</v>
      </c>
      <c r="AN34" s="69">
        <f t="shared" si="32"/>
        <v>3.503333333333333</v>
      </c>
      <c r="AO34" s="69">
        <f t="shared" si="33"/>
        <v>3.6833333333333327</v>
      </c>
      <c r="AP34" s="69">
        <f t="shared" si="34"/>
        <v>3.8633333333333328</v>
      </c>
      <c r="AQ34" s="69">
        <f t="shared" si="35"/>
        <v>4.043333333333333</v>
      </c>
      <c r="AR34" s="69">
        <f t="shared" si="36"/>
        <v>4.2233333333333327</v>
      </c>
      <c r="AS34" s="69">
        <f t="shared" si="37"/>
        <v>4.4033333333333324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0.98</v>
      </c>
      <c r="G35" s="69">
        <f t="shared" ref="G35:G66" si="53">IF(OR($F35="",$AY$1=""),"",($F35-$AX$1)/$AY$1)</f>
        <v>-0.25555555555555554</v>
      </c>
      <c r="H35" s="69">
        <f t="shared" ref="H35:H66" si="54">IF(AND($F35&lt;&gt;"",$D35=1),$F35,NA())</f>
        <v>0.98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0.70555555555555549</v>
      </c>
      <c r="R35" s="69">
        <f t="shared" ref="R35:R66" si="61">IF(AND($D35=1,$AX$1&lt;&gt;""),$AX$1+(-2)*$AY$1,NA())</f>
        <v>0.80555555555555558</v>
      </c>
      <c r="S35" s="69">
        <f t="shared" ref="S35:S66" si="62">IF(AND($D35=1,$AX$1&lt;&gt;""),$AX$1+(-1)*$AY$1,NA())</f>
        <v>0.90555555555555556</v>
      </c>
      <c r="T35" s="69">
        <f t="shared" ref="T35:T66" si="63">IF(AND($D35=1,$AX$1&lt;&gt;""),$AX$1,NA())</f>
        <v>1.0055555555555555</v>
      </c>
      <c r="U35" s="69">
        <f t="shared" ref="U35:U66" si="64">IF(AND($D35=1,$AX$1&lt;&gt;""),$AX$1+(1)*$AY$1,NA())</f>
        <v>1.1055555555555556</v>
      </c>
      <c r="V35" s="69">
        <f t="shared" ref="V35:V66" si="65">IF(AND($D35=1,$AX$1&lt;&gt;""),$AX$1+(2)*$AY$1,NA())</f>
        <v>1.2055555555555555</v>
      </c>
      <c r="W35" s="69">
        <f t="shared" ref="W35:W66" si="66">IF(AND($D35=1,$AX$1&lt;&gt;""),$AX$1+(3)*$AY$1,NA())</f>
        <v>1.3055555555555556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3.63</v>
      </c>
      <c r="AC35" s="69">
        <f t="shared" ref="AC35:AC66" si="72">IF(OR($AB35="",$BA$1=""),"",($AB35-$AZ$1)/$BA$1)</f>
        <v>-1.2962962962962943</v>
      </c>
      <c r="AD35" s="69">
        <f t="shared" ref="AD35:AD66" si="73">IF(AND($AB35&lt;&gt;"",$D35=1),$AB35,NA())</f>
        <v>3.63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3.63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3.3233333333333328</v>
      </c>
      <c r="AN35" s="69">
        <f t="shared" ref="AN35:AN66" si="80">IF(AND($D35=1,$AZ$1&lt;&gt;""),$AZ$1+(-2)*$BA$1,NA())</f>
        <v>3.503333333333333</v>
      </c>
      <c r="AO35" s="69">
        <f t="shared" ref="AO35:AO66" si="81">IF(AND($D35=1,$AZ$1&lt;&gt;""),$AZ$1+(-1)*$BA$1,NA())</f>
        <v>3.6833333333333327</v>
      </c>
      <c r="AP35" s="69">
        <f t="shared" ref="AP35:AP66" si="82">IF(AND($D35=1,$AZ$1&lt;&gt;""),$AZ$1,NA())</f>
        <v>3.8633333333333328</v>
      </c>
      <c r="AQ35" s="69">
        <f t="shared" ref="AQ35:AQ66" si="83">IF(AND($D35=1,$AZ$1&lt;&gt;""),$AZ$1+(1)*$BA$1,NA())</f>
        <v>4.043333333333333</v>
      </c>
      <c r="AR35" s="69">
        <f t="shared" ref="AR35:AR66" si="84">IF(AND($D35=1,$AZ$1&lt;&gt;""),$AZ$1+(2)*$BA$1,NA())</f>
        <v>4.2233333333333327</v>
      </c>
      <c r="AS35" s="69">
        <f t="shared" ref="AS35:AS66" si="85">IF(AND($D35=1,$AZ$1&lt;&gt;""),$AZ$1+(3)*$BA$1,NA())</f>
        <v>4.4033333333333324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0.99</v>
      </c>
      <c r="G36" s="69">
        <f t="shared" si="53"/>
        <v>-0.15555555555555545</v>
      </c>
      <c r="H36" s="69">
        <f t="shared" si="54"/>
        <v>0.99</v>
      </c>
      <c r="I36" s="69" t="e">
        <f t="shared" si="55"/>
        <v>#N/A</v>
      </c>
      <c r="J36" s="69">
        <f t="shared" si="56"/>
        <v>0.99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0.70555555555555549</v>
      </c>
      <c r="R36" s="69">
        <f t="shared" si="61"/>
        <v>0.80555555555555558</v>
      </c>
      <c r="S36" s="69">
        <f t="shared" si="62"/>
        <v>0.90555555555555556</v>
      </c>
      <c r="T36" s="69">
        <f t="shared" si="63"/>
        <v>1.0055555555555555</v>
      </c>
      <c r="U36" s="69">
        <f t="shared" si="64"/>
        <v>1.1055555555555556</v>
      </c>
      <c r="V36" s="69">
        <f t="shared" si="65"/>
        <v>1.2055555555555555</v>
      </c>
      <c r="W36" s="69">
        <f t="shared" si="66"/>
        <v>1.3055555555555556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3.65</v>
      </c>
      <c r="AC36" s="69">
        <f t="shared" si="72"/>
        <v>-1.1851851851851829</v>
      </c>
      <c r="AD36" s="69">
        <f t="shared" si="73"/>
        <v>3.65</v>
      </c>
      <c r="AE36" s="69" t="e">
        <f t="shared" si="74"/>
        <v>#N/A</v>
      </c>
      <c r="AF36" s="69">
        <f t="shared" si="75"/>
        <v>3.65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1</v>
      </c>
      <c r="AK36" s="69">
        <f t="shared" si="47"/>
        <v>1</v>
      </c>
      <c r="AL36" s="69" t="str">
        <f t="shared" si="78"/>
        <v>REJEITADO</v>
      </c>
      <c r="AM36" s="69">
        <f t="shared" si="79"/>
        <v>3.3233333333333328</v>
      </c>
      <c r="AN36" s="69">
        <f t="shared" si="80"/>
        <v>3.503333333333333</v>
      </c>
      <c r="AO36" s="69">
        <f t="shared" si="81"/>
        <v>3.6833333333333327</v>
      </c>
      <c r="AP36" s="69">
        <f t="shared" si="82"/>
        <v>3.8633333333333328</v>
      </c>
      <c r="AQ36" s="69">
        <f t="shared" si="83"/>
        <v>4.043333333333333</v>
      </c>
      <c r="AR36" s="69">
        <f t="shared" si="84"/>
        <v>4.2233333333333327</v>
      </c>
      <c r="AS36" s="69">
        <f t="shared" si="85"/>
        <v>4.4033333333333324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0.98</v>
      </c>
      <c r="G37" s="69">
        <f t="shared" si="53"/>
        <v>-0.25555555555555554</v>
      </c>
      <c r="H37" s="69">
        <f t="shared" si="54"/>
        <v>0.98</v>
      </c>
      <c r="I37" s="69" t="e">
        <f t="shared" si="55"/>
        <v>#N/A</v>
      </c>
      <c r="J37" s="69">
        <f t="shared" si="56"/>
        <v>0.98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0.70555555555555549</v>
      </c>
      <c r="R37" s="69">
        <f t="shared" si="61"/>
        <v>0.80555555555555558</v>
      </c>
      <c r="S37" s="69">
        <f t="shared" si="62"/>
        <v>0.90555555555555556</v>
      </c>
      <c r="T37" s="69">
        <f t="shared" si="63"/>
        <v>1.0055555555555555</v>
      </c>
      <c r="U37" s="69">
        <f t="shared" si="64"/>
        <v>1.1055555555555556</v>
      </c>
      <c r="V37" s="69">
        <f t="shared" si="65"/>
        <v>1.2055555555555555</v>
      </c>
      <c r="W37" s="69">
        <f t="shared" si="66"/>
        <v>1.3055555555555556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3.57</v>
      </c>
      <c r="AC37" s="69">
        <f t="shared" si="72"/>
        <v>-1.6296296296296278</v>
      </c>
      <c r="AD37" s="69">
        <f t="shared" si="73"/>
        <v>3.57</v>
      </c>
      <c r="AE37" s="69" t="e">
        <f t="shared" si="74"/>
        <v>#N/A</v>
      </c>
      <c r="AF37" s="69">
        <f t="shared" si="75"/>
        <v>3.57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1</v>
      </c>
      <c r="AK37" s="69">
        <f t="shared" si="47"/>
        <v>1</v>
      </c>
      <c r="AL37" s="69" t="str">
        <f t="shared" si="78"/>
        <v>REJEITADO</v>
      </c>
      <c r="AM37" s="69">
        <f t="shared" si="79"/>
        <v>3.3233333333333328</v>
      </c>
      <c r="AN37" s="69">
        <f t="shared" si="80"/>
        <v>3.503333333333333</v>
      </c>
      <c r="AO37" s="69">
        <f t="shared" si="81"/>
        <v>3.6833333333333327</v>
      </c>
      <c r="AP37" s="69">
        <f t="shared" si="82"/>
        <v>3.8633333333333328</v>
      </c>
      <c r="AQ37" s="69">
        <f t="shared" si="83"/>
        <v>4.043333333333333</v>
      </c>
      <c r="AR37" s="69">
        <f t="shared" si="84"/>
        <v>4.2233333333333327</v>
      </c>
      <c r="AS37" s="69">
        <f t="shared" si="85"/>
        <v>4.4033333333333324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1.01</v>
      </c>
      <c r="G38" s="69">
        <f t="shared" si="53"/>
        <v>4.4444444444444731E-2</v>
      </c>
      <c r="H38" s="69">
        <f t="shared" si="54"/>
        <v>1.01</v>
      </c>
      <c r="I38" s="69">
        <f t="shared" si="55"/>
        <v>1.01</v>
      </c>
      <c r="J38" s="69" t="e">
        <f t="shared" si="56"/>
        <v>#N/A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0</v>
      </c>
      <c r="P38" s="69" t="str">
        <f t="shared" si="59"/>
        <v>OK</v>
      </c>
      <c r="Q38" s="69">
        <f t="shared" si="60"/>
        <v>0.70555555555555549</v>
      </c>
      <c r="R38" s="69">
        <f t="shared" si="61"/>
        <v>0.80555555555555558</v>
      </c>
      <c r="S38" s="69">
        <f t="shared" si="62"/>
        <v>0.90555555555555556</v>
      </c>
      <c r="T38" s="69">
        <f t="shared" si="63"/>
        <v>1.0055555555555555</v>
      </c>
      <c r="U38" s="69">
        <f t="shared" si="64"/>
        <v>1.1055555555555556</v>
      </c>
      <c r="V38" s="69">
        <f t="shared" si="65"/>
        <v>1.2055555555555555</v>
      </c>
      <c r="W38" s="69">
        <f t="shared" si="66"/>
        <v>1.3055555555555556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3.6</v>
      </c>
      <c r="AC38" s="69">
        <f t="shared" si="72"/>
        <v>-1.4629629629629597</v>
      </c>
      <c r="AD38" s="69">
        <f t="shared" si="73"/>
        <v>3.6</v>
      </c>
      <c r="AE38" s="69" t="e">
        <f t="shared" si="74"/>
        <v>#N/A</v>
      </c>
      <c r="AF38" s="69">
        <f t="shared" si="75"/>
        <v>3.6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3.3233333333333328</v>
      </c>
      <c r="AN38" s="69">
        <f t="shared" si="80"/>
        <v>3.503333333333333</v>
      </c>
      <c r="AO38" s="69">
        <f t="shared" si="81"/>
        <v>3.6833333333333327</v>
      </c>
      <c r="AP38" s="69">
        <f t="shared" si="82"/>
        <v>3.8633333333333328</v>
      </c>
      <c r="AQ38" s="69">
        <f t="shared" si="83"/>
        <v>4.043333333333333</v>
      </c>
      <c r="AR38" s="69">
        <f t="shared" si="84"/>
        <v>4.2233333333333327</v>
      </c>
      <c r="AS38" s="69">
        <f t="shared" si="85"/>
        <v>4.4033333333333324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0.94</v>
      </c>
      <c r="G39" s="69">
        <f t="shared" si="53"/>
        <v>-0.65555555555555589</v>
      </c>
      <c r="H39" s="69">
        <f t="shared" si="54"/>
        <v>0.94</v>
      </c>
      <c r="I39" s="69">
        <f t="shared" si="55"/>
        <v>0.94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0.70555555555555549</v>
      </c>
      <c r="R39" s="69">
        <f t="shared" si="61"/>
        <v>0.80555555555555558</v>
      </c>
      <c r="S39" s="69">
        <f t="shared" si="62"/>
        <v>0.90555555555555556</v>
      </c>
      <c r="T39" s="69">
        <f t="shared" si="63"/>
        <v>1.0055555555555555</v>
      </c>
      <c r="U39" s="69">
        <f t="shared" si="64"/>
        <v>1.1055555555555556</v>
      </c>
      <c r="V39" s="69">
        <f t="shared" si="65"/>
        <v>1.2055555555555555</v>
      </c>
      <c r="W39" s="69">
        <f t="shared" si="66"/>
        <v>1.3055555555555556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3.52</v>
      </c>
      <c r="AC39" s="69">
        <f t="shared" si="72"/>
        <v>-1.9074074074074046</v>
      </c>
      <c r="AD39" s="69">
        <f t="shared" si="73"/>
        <v>3.52</v>
      </c>
      <c r="AE39" s="69" t="e">
        <f t="shared" si="74"/>
        <v>#N/A</v>
      </c>
      <c r="AF39" s="69">
        <f t="shared" si="75"/>
        <v>3.52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1</v>
      </c>
      <c r="AK39" s="69">
        <f t="shared" si="47"/>
        <v>1</v>
      </c>
      <c r="AL39" s="69" t="str">
        <f t="shared" si="78"/>
        <v>REJEITADO</v>
      </c>
      <c r="AM39" s="69">
        <f t="shared" si="79"/>
        <v>3.3233333333333328</v>
      </c>
      <c r="AN39" s="69">
        <f t="shared" si="80"/>
        <v>3.503333333333333</v>
      </c>
      <c r="AO39" s="69">
        <f t="shared" si="81"/>
        <v>3.6833333333333327</v>
      </c>
      <c r="AP39" s="69">
        <f t="shared" si="82"/>
        <v>3.8633333333333328</v>
      </c>
      <c r="AQ39" s="69">
        <f t="shared" si="83"/>
        <v>4.043333333333333</v>
      </c>
      <c r="AR39" s="69">
        <f t="shared" si="84"/>
        <v>4.2233333333333327</v>
      </c>
      <c r="AS39" s="69">
        <f t="shared" si="85"/>
        <v>4.4033333333333324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0.99</v>
      </c>
      <c r="G40" s="69">
        <f t="shared" si="53"/>
        <v>-0.15555555555555545</v>
      </c>
      <c r="H40" s="69">
        <f t="shared" si="54"/>
        <v>0.99</v>
      </c>
      <c r="I40" s="69">
        <f t="shared" si="55"/>
        <v>0.99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0.70555555555555549</v>
      </c>
      <c r="R40" s="69">
        <f t="shared" si="61"/>
        <v>0.80555555555555558</v>
      </c>
      <c r="S40" s="69">
        <f t="shared" si="62"/>
        <v>0.90555555555555556</v>
      </c>
      <c r="T40" s="69">
        <f t="shared" si="63"/>
        <v>1.0055555555555555</v>
      </c>
      <c r="U40" s="69">
        <f t="shared" si="64"/>
        <v>1.1055555555555556</v>
      </c>
      <c r="V40" s="69">
        <f t="shared" si="65"/>
        <v>1.2055555555555555</v>
      </c>
      <c r="W40" s="69">
        <f t="shared" si="66"/>
        <v>1.3055555555555556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3.53</v>
      </c>
      <c r="AC40" s="69">
        <f t="shared" si="72"/>
        <v>-1.8518518518518503</v>
      </c>
      <c r="AD40" s="69">
        <f t="shared" si="73"/>
        <v>3.53</v>
      </c>
      <c r="AE40" s="69" t="e">
        <f t="shared" si="74"/>
        <v>#N/A</v>
      </c>
      <c r="AF40" s="69">
        <f t="shared" si="75"/>
        <v>3.53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3.3233333333333328</v>
      </c>
      <c r="AN40" s="69">
        <f t="shared" si="80"/>
        <v>3.503333333333333</v>
      </c>
      <c r="AO40" s="69">
        <f t="shared" si="81"/>
        <v>3.6833333333333327</v>
      </c>
      <c r="AP40" s="69">
        <f t="shared" si="82"/>
        <v>3.8633333333333328</v>
      </c>
      <c r="AQ40" s="69">
        <f t="shared" si="83"/>
        <v>4.043333333333333</v>
      </c>
      <c r="AR40" s="69">
        <f t="shared" si="84"/>
        <v>4.2233333333333327</v>
      </c>
      <c r="AS40" s="69">
        <f t="shared" si="85"/>
        <v>4.4033333333333324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0.93</v>
      </c>
      <c r="G41" s="69">
        <f t="shared" si="53"/>
        <v>-0.75555555555555487</v>
      </c>
      <c r="H41" s="69">
        <f t="shared" si="54"/>
        <v>0.93</v>
      </c>
      <c r="I41" s="69">
        <f t="shared" si="55"/>
        <v>0.93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0.70555555555555549</v>
      </c>
      <c r="R41" s="69">
        <f t="shared" si="61"/>
        <v>0.80555555555555558</v>
      </c>
      <c r="S41" s="69">
        <f t="shared" si="62"/>
        <v>0.90555555555555556</v>
      </c>
      <c r="T41" s="69">
        <f t="shared" si="63"/>
        <v>1.0055555555555555</v>
      </c>
      <c r="U41" s="69">
        <f t="shared" si="64"/>
        <v>1.1055555555555556</v>
      </c>
      <c r="V41" s="69">
        <f t="shared" si="65"/>
        <v>1.2055555555555555</v>
      </c>
      <c r="W41" s="69">
        <f t="shared" si="66"/>
        <v>1.3055555555555556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3.57</v>
      </c>
      <c r="AC41" s="69">
        <f t="shared" si="72"/>
        <v>-1.6296296296296278</v>
      </c>
      <c r="AD41" s="69">
        <f t="shared" si="73"/>
        <v>3.57</v>
      </c>
      <c r="AE41" s="69" t="e">
        <f t="shared" si="74"/>
        <v>#N/A</v>
      </c>
      <c r="AF41" s="69">
        <f t="shared" si="75"/>
        <v>3.57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3.3233333333333328</v>
      </c>
      <c r="AN41" s="69">
        <f t="shared" si="80"/>
        <v>3.503333333333333</v>
      </c>
      <c r="AO41" s="69">
        <f t="shared" si="81"/>
        <v>3.6833333333333327</v>
      </c>
      <c r="AP41" s="69">
        <f t="shared" si="82"/>
        <v>3.8633333333333328</v>
      </c>
      <c r="AQ41" s="69">
        <f t="shared" si="83"/>
        <v>4.043333333333333</v>
      </c>
      <c r="AR41" s="69">
        <f t="shared" si="84"/>
        <v>4.2233333333333327</v>
      </c>
      <c r="AS41" s="69">
        <f t="shared" si="85"/>
        <v>4.4033333333333324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0.95</v>
      </c>
      <c r="G42" s="69">
        <f t="shared" si="53"/>
        <v>-0.5555555555555558</v>
      </c>
      <c r="H42" s="69">
        <f t="shared" si="54"/>
        <v>0.95</v>
      </c>
      <c r="I42" s="69" t="e">
        <f t="shared" si="55"/>
        <v>#N/A</v>
      </c>
      <c r="J42" s="69">
        <f t="shared" si="56"/>
        <v>0.95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0.70555555555555549</v>
      </c>
      <c r="R42" s="69">
        <f t="shared" si="61"/>
        <v>0.80555555555555558</v>
      </c>
      <c r="S42" s="69">
        <f t="shared" si="62"/>
        <v>0.90555555555555556</v>
      </c>
      <c r="T42" s="69">
        <f t="shared" si="63"/>
        <v>1.0055555555555555</v>
      </c>
      <c r="U42" s="69">
        <f t="shared" si="64"/>
        <v>1.1055555555555556</v>
      </c>
      <c r="V42" s="69">
        <f t="shared" si="65"/>
        <v>1.2055555555555555</v>
      </c>
      <c r="W42" s="69">
        <f t="shared" si="66"/>
        <v>1.3055555555555556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3.49</v>
      </c>
      <c r="AC42" s="69">
        <f t="shared" si="72"/>
        <v>-2.0740740740740704</v>
      </c>
      <c r="AD42" s="69">
        <f t="shared" si="73"/>
        <v>3.49</v>
      </c>
      <c r="AE42" s="69" t="e">
        <f t="shared" si="74"/>
        <v>#N/A</v>
      </c>
      <c r="AF42" s="69">
        <f t="shared" si="75"/>
        <v>3.49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3.3233333333333328</v>
      </c>
      <c r="AN42" s="69">
        <f t="shared" si="80"/>
        <v>3.503333333333333</v>
      </c>
      <c r="AO42" s="69">
        <f t="shared" si="81"/>
        <v>3.6833333333333327</v>
      </c>
      <c r="AP42" s="69">
        <f t="shared" si="82"/>
        <v>3.8633333333333328</v>
      </c>
      <c r="AQ42" s="69">
        <f t="shared" si="83"/>
        <v>4.043333333333333</v>
      </c>
      <c r="AR42" s="69">
        <f t="shared" si="84"/>
        <v>4.2233333333333327</v>
      </c>
      <c r="AS42" s="69">
        <f t="shared" si="85"/>
        <v>4.4033333333333324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0.93</v>
      </c>
      <c r="G43" s="69">
        <f t="shared" si="53"/>
        <v>-0.75555555555555487</v>
      </c>
      <c r="H43" s="69">
        <f t="shared" si="54"/>
        <v>0.93</v>
      </c>
      <c r="I43" s="69" t="e">
        <f t="shared" si="55"/>
        <v>#N/A</v>
      </c>
      <c r="J43" s="69">
        <f t="shared" si="56"/>
        <v>0.93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0.70555555555555549</v>
      </c>
      <c r="R43" s="69">
        <f t="shared" si="61"/>
        <v>0.80555555555555558</v>
      </c>
      <c r="S43" s="69">
        <f t="shared" si="62"/>
        <v>0.90555555555555556</v>
      </c>
      <c r="T43" s="69">
        <f t="shared" si="63"/>
        <v>1.0055555555555555</v>
      </c>
      <c r="U43" s="69">
        <f t="shared" si="64"/>
        <v>1.1055555555555556</v>
      </c>
      <c r="V43" s="69">
        <f t="shared" si="65"/>
        <v>1.2055555555555555</v>
      </c>
      <c r="W43" s="69">
        <f t="shared" si="66"/>
        <v>1.3055555555555556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3.6</v>
      </c>
      <c r="AC43" s="69">
        <f t="shared" si="72"/>
        <v>-1.4629629629629597</v>
      </c>
      <c r="AD43" s="69">
        <f t="shared" si="73"/>
        <v>3.6</v>
      </c>
      <c r="AE43" s="69" t="e">
        <f t="shared" si="74"/>
        <v>#N/A</v>
      </c>
      <c r="AF43" s="69">
        <f t="shared" si="75"/>
        <v>3.6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3.3233333333333328</v>
      </c>
      <c r="AN43" s="69">
        <f t="shared" si="80"/>
        <v>3.503333333333333</v>
      </c>
      <c r="AO43" s="69">
        <f t="shared" si="81"/>
        <v>3.6833333333333327</v>
      </c>
      <c r="AP43" s="69">
        <f t="shared" si="82"/>
        <v>3.8633333333333328</v>
      </c>
      <c r="AQ43" s="69">
        <f t="shared" si="83"/>
        <v>4.043333333333333</v>
      </c>
      <c r="AR43" s="69">
        <f t="shared" si="84"/>
        <v>4.2233333333333327</v>
      </c>
      <c r="AS43" s="69">
        <f t="shared" si="85"/>
        <v>4.4033333333333324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0.94</v>
      </c>
      <c r="G44" s="69">
        <f t="shared" si="53"/>
        <v>-0.65555555555555589</v>
      </c>
      <c r="H44" s="69">
        <f t="shared" si="54"/>
        <v>0.94</v>
      </c>
      <c r="I44" s="69" t="e">
        <f t="shared" si="55"/>
        <v>#N/A</v>
      </c>
      <c r="J44" s="69">
        <f t="shared" si="56"/>
        <v>0.94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0.70555555555555549</v>
      </c>
      <c r="R44" s="69">
        <f t="shared" si="61"/>
        <v>0.80555555555555558</v>
      </c>
      <c r="S44" s="69">
        <f t="shared" si="62"/>
        <v>0.90555555555555556</v>
      </c>
      <c r="T44" s="69">
        <f t="shared" si="63"/>
        <v>1.0055555555555555</v>
      </c>
      <c r="U44" s="69">
        <f t="shared" si="64"/>
        <v>1.1055555555555556</v>
      </c>
      <c r="V44" s="69">
        <f t="shared" si="65"/>
        <v>1.2055555555555555</v>
      </c>
      <c r="W44" s="69">
        <f t="shared" si="66"/>
        <v>1.3055555555555556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3.6</v>
      </c>
      <c r="AC44" s="69">
        <f t="shared" si="72"/>
        <v>-1.4629629629629597</v>
      </c>
      <c r="AD44" s="69">
        <f t="shared" si="73"/>
        <v>3.6</v>
      </c>
      <c r="AE44" s="69" t="e">
        <f t="shared" si="74"/>
        <v>#N/A</v>
      </c>
      <c r="AF44" s="69">
        <f t="shared" si="75"/>
        <v>3.6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3.3233333333333328</v>
      </c>
      <c r="AN44" s="69">
        <f t="shared" si="80"/>
        <v>3.503333333333333</v>
      </c>
      <c r="AO44" s="69">
        <f t="shared" si="81"/>
        <v>3.6833333333333327</v>
      </c>
      <c r="AP44" s="69">
        <f t="shared" si="82"/>
        <v>3.8633333333333328</v>
      </c>
      <c r="AQ44" s="69">
        <f t="shared" si="83"/>
        <v>4.043333333333333</v>
      </c>
      <c r="AR44" s="69">
        <f t="shared" si="84"/>
        <v>4.2233333333333327</v>
      </c>
      <c r="AS44" s="69">
        <f t="shared" si="85"/>
        <v>4.4033333333333324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0.99</v>
      </c>
      <c r="G45" s="69">
        <f t="shared" si="53"/>
        <v>-0.15555555555555545</v>
      </c>
      <c r="H45" s="69">
        <f t="shared" si="54"/>
        <v>0.99</v>
      </c>
      <c r="I45" s="69" t="e">
        <f t="shared" si="55"/>
        <v>#N/A</v>
      </c>
      <c r="J45" s="69">
        <f t="shared" si="56"/>
        <v>0.99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0.70555555555555549</v>
      </c>
      <c r="R45" s="69">
        <f t="shared" si="61"/>
        <v>0.80555555555555558</v>
      </c>
      <c r="S45" s="69">
        <f t="shared" si="62"/>
        <v>0.90555555555555556</v>
      </c>
      <c r="T45" s="69">
        <f t="shared" si="63"/>
        <v>1.0055555555555555</v>
      </c>
      <c r="U45" s="69">
        <f t="shared" si="64"/>
        <v>1.1055555555555556</v>
      </c>
      <c r="V45" s="69">
        <f t="shared" si="65"/>
        <v>1.2055555555555555</v>
      </c>
      <c r="W45" s="69">
        <f t="shared" si="66"/>
        <v>1.3055555555555556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3.52</v>
      </c>
      <c r="AC45" s="69">
        <f t="shared" si="72"/>
        <v>-1.9074074074074046</v>
      </c>
      <c r="AD45" s="69">
        <f t="shared" si="73"/>
        <v>3.52</v>
      </c>
      <c r="AE45" s="69" t="e">
        <f t="shared" si="74"/>
        <v>#N/A</v>
      </c>
      <c r="AF45" s="69">
        <f t="shared" si="75"/>
        <v>3.52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3.3233333333333328</v>
      </c>
      <c r="AN45" s="69">
        <f t="shared" si="80"/>
        <v>3.503333333333333</v>
      </c>
      <c r="AO45" s="69">
        <f t="shared" si="81"/>
        <v>3.6833333333333327</v>
      </c>
      <c r="AP45" s="69">
        <f t="shared" si="82"/>
        <v>3.8633333333333328</v>
      </c>
      <c r="AQ45" s="69">
        <f t="shared" si="83"/>
        <v>4.043333333333333</v>
      </c>
      <c r="AR45" s="69">
        <f t="shared" si="84"/>
        <v>4.2233333333333327</v>
      </c>
      <c r="AS45" s="69">
        <f t="shared" si="85"/>
        <v>4.4033333333333324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0.95</v>
      </c>
      <c r="G46" s="69">
        <f t="shared" si="53"/>
        <v>-0.5555555555555558</v>
      </c>
      <c r="H46" s="69">
        <f t="shared" si="54"/>
        <v>0.95</v>
      </c>
      <c r="I46" s="69" t="e">
        <f t="shared" si="55"/>
        <v>#N/A</v>
      </c>
      <c r="J46" s="69">
        <f t="shared" si="56"/>
        <v>0.95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1</v>
      </c>
      <c r="P46" s="69" t="str">
        <f t="shared" si="59"/>
        <v>REJEITADO</v>
      </c>
      <c r="Q46" s="69">
        <f t="shared" si="60"/>
        <v>0.70555555555555549</v>
      </c>
      <c r="R46" s="69">
        <f t="shared" si="61"/>
        <v>0.80555555555555558</v>
      </c>
      <c r="S46" s="69">
        <f t="shared" si="62"/>
        <v>0.90555555555555556</v>
      </c>
      <c r="T46" s="69">
        <f t="shared" si="63"/>
        <v>1.0055555555555555</v>
      </c>
      <c r="U46" s="69">
        <f t="shared" si="64"/>
        <v>1.1055555555555556</v>
      </c>
      <c r="V46" s="69">
        <f t="shared" si="65"/>
        <v>1.2055555555555555</v>
      </c>
      <c r="W46" s="69">
        <f t="shared" si="66"/>
        <v>1.3055555555555556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3.53</v>
      </c>
      <c r="AC46" s="69">
        <f t="shared" si="72"/>
        <v>-1.8518518518518503</v>
      </c>
      <c r="AD46" s="69">
        <f t="shared" si="73"/>
        <v>3.53</v>
      </c>
      <c r="AE46" s="69" t="e">
        <f t="shared" si="74"/>
        <v>#N/A</v>
      </c>
      <c r="AF46" s="69">
        <f t="shared" si="75"/>
        <v>3.53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3.3233333333333328</v>
      </c>
      <c r="AN46" s="69">
        <f t="shared" si="80"/>
        <v>3.503333333333333</v>
      </c>
      <c r="AO46" s="69">
        <f t="shared" si="81"/>
        <v>3.6833333333333327</v>
      </c>
      <c r="AP46" s="69">
        <f t="shared" si="82"/>
        <v>3.8633333333333328</v>
      </c>
      <c r="AQ46" s="69">
        <f t="shared" si="83"/>
        <v>4.043333333333333</v>
      </c>
      <c r="AR46" s="69">
        <f t="shared" si="84"/>
        <v>4.2233333333333327</v>
      </c>
      <c r="AS46" s="69">
        <f t="shared" si="85"/>
        <v>4.4033333333333324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0.96</v>
      </c>
      <c r="G47" s="69">
        <f t="shared" si="53"/>
        <v>-0.45555555555555571</v>
      </c>
      <c r="H47" s="69">
        <f t="shared" si="54"/>
        <v>0.96</v>
      </c>
      <c r="I47" s="69" t="e">
        <f t="shared" si="55"/>
        <v>#N/A</v>
      </c>
      <c r="J47" s="69">
        <f t="shared" si="56"/>
        <v>0.96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1</v>
      </c>
      <c r="P47" s="69" t="str">
        <f t="shared" si="59"/>
        <v>REJEITADO</v>
      </c>
      <c r="Q47" s="69">
        <f t="shared" si="60"/>
        <v>0.70555555555555549</v>
      </c>
      <c r="R47" s="69">
        <f t="shared" si="61"/>
        <v>0.80555555555555558</v>
      </c>
      <c r="S47" s="69">
        <f t="shared" si="62"/>
        <v>0.90555555555555556</v>
      </c>
      <c r="T47" s="69">
        <f t="shared" si="63"/>
        <v>1.0055555555555555</v>
      </c>
      <c r="U47" s="69">
        <f t="shared" si="64"/>
        <v>1.1055555555555556</v>
      </c>
      <c r="V47" s="69">
        <f t="shared" si="65"/>
        <v>1.2055555555555555</v>
      </c>
      <c r="W47" s="69">
        <f t="shared" si="66"/>
        <v>1.3055555555555556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3.57</v>
      </c>
      <c r="AC47" s="69">
        <f t="shared" si="72"/>
        <v>-1.6296296296296278</v>
      </c>
      <c r="AD47" s="69">
        <f t="shared" si="73"/>
        <v>3.57</v>
      </c>
      <c r="AE47" s="69" t="e">
        <f t="shared" si="74"/>
        <v>#N/A</v>
      </c>
      <c r="AF47" s="69">
        <f t="shared" si="75"/>
        <v>3.57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3.3233333333333328</v>
      </c>
      <c r="AN47" s="69">
        <f t="shared" si="80"/>
        <v>3.503333333333333</v>
      </c>
      <c r="AO47" s="69">
        <f t="shared" si="81"/>
        <v>3.6833333333333327</v>
      </c>
      <c r="AP47" s="69">
        <f t="shared" si="82"/>
        <v>3.8633333333333328</v>
      </c>
      <c r="AQ47" s="69">
        <f t="shared" si="83"/>
        <v>4.043333333333333</v>
      </c>
      <c r="AR47" s="69">
        <f t="shared" si="84"/>
        <v>4.2233333333333327</v>
      </c>
      <c r="AS47" s="69">
        <f t="shared" si="85"/>
        <v>4.4033333333333324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0.95</v>
      </c>
      <c r="G48" s="69">
        <f t="shared" si="53"/>
        <v>-0.5555555555555558</v>
      </c>
      <c r="H48" s="69">
        <f t="shared" si="54"/>
        <v>0.95</v>
      </c>
      <c r="I48" s="69" t="e">
        <f t="shared" si="55"/>
        <v>#N/A</v>
      </c>
      <c r="J48" s="69">
        <f t="shared" si="56"/>
        <v>0.95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1</v>
      </c>
      <c r="P48" s="69" t="str">
        <f t="shared" si="59"/>
        <v>REJEITADO</v>
      </c>
      <c r="Q48" s="69">
        <f t="shared" si="60"/>
        <v>0.70555555555555549</v>
      </c>
      <c r="R48" s="69">
        <f t="shared" si="61"/>
        <v>0.80555555555555558</v>
      </c>
      <c r="S48" s="69">
        <f t="shared" si="62"/>
        <v>0.90555555555555556</v>
      </c>
      <c r="T48" s="69">
        <f t="shared" si="63"/>
        <v>1.0055555555555555</v>
      </c>
      <c r="U48" s="69">
        <f t="shared" si="64"/>
        <v>1.1055555555555556</v>
      </c>
      <c r="V48" s="69">
        <f t="shared" si="65"/>
        <v>1.2055555555555555</v>
      </c>
      <c r="W48" s="69">
        <f t="shared" si="66"/>
        <v>1.3055555555555556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3.57</v>
      </c>
      <c r="AC48" s="69">
        <f t="shared" si="72"/>
        <v>-1.6296296296296278</v>
      </c>
      <c r="AD48" s="69">
        <f t="shared" si="73"/>
        <v>3.57</v>
      </c>
      <c r="AE48" s="69" t="e">
        <f t="shared" si="74"/>
        <v>#N/A</v>
      </c>
      <c r="AF48" s="69">
        <f t="shared" si="75"/>
        <v>3.57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3.3233333333333328</v>
      </c>
      <c r="AN48" s="69">
        <f t="shared" si="80"/>
        <v>3.503333333333333</v>
      </c>
      <c r="AO48" s="69">
        <f t="shared" si="81"/>
        <v>3.6833333333333327</v>
      </c>
      <c r="AP48" s="69">
        <f t="shared" si="82"/>
        <v>3.8633333333333328</v>
      </c>
      <c r="AQ48" s="69">
        <f t="shared" si="83"/>
        <v>4.043333333333333</v>
      </c>
      <c r="AR48" s="69">
        <f t="shared" si="84"/>
        <v>4.2233333333333327</v>
      </c>
      <c r="AS48" s="69">
        <f t="shared" si="85"/>
        <v>4.4033333333333324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0.98</v>
      </c>
      <c r="G49" s="69">
        <f t="shared" si="53"/>
        <v>-0.25555555555555554</v>
      </c>
      <c r="H49" s="69">
        <f t="shared" si="54"/>
        <v>0.98</v>
      </c>
      <c r="I49" s="69" t="e">
        <f t="shared" si="55"/>
        <v>#N/A</v>
      </c>
      <c r="J49" s="69">
        <f t="shared" si="56"/>
        <v>0.98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1</v>
      </c>
      <c r="P49" s="69" t="str">
        <f t="shared" si="59"/>
        <v>REJEITADO</v>
      </c>
      <c r="Q49" s="69">
        <f t="shared" si="60"/>
        <v>0.70555555555555549</v>
      </c>
      <c r="R49" s="69">
        <f t="shared" si="61"/>
        <v>0.80555555555555558</v>
      </c>
      <c r="S49" s="69">
        <f t="shared" si="62"/>
        <v>0.90555555555555556</v>
      </c>
      <c r="T49" s="69">
        <f t="shared" si="63"/>
        <v>1.0055555555555555</v>
      </c>
      <c r="U49" s="69">
        <f t="shared" si="64"/>
        <v>1.1055555555555556</v>
      </c>
      <c r="V49" s="69">
        <f t="shared" si="65"/>
        <v>1.2055555555555555</v>
      </c>
      <c r="W49" s="69">
        <f t="shared" si="66"/>
        <v>1.3055555555555556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3.59</v>
      </c>
      <c r="AC49" s="69">
        <f t="shared" si="72"/>
        <v>-1.5185185185185166</v>
      </c>
      <c r="AD49" s="69">
        <f t="shared" si="73"/>
        <v>3.59</v>
      </c>
      <c r="AE49" s="69" t="e">
        <f t="shared" si="74"/>
        <v>#N/A</v>
      </c>
      <c r="AF49" s="69">
        <f t="shared" si="75"/>
        <v>3.59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3.3233333333333328</v>
      </c>
      <c r="AN49" s="69">
        <f t="shared" si="80"/>
        <v>3.503333333333333</v>
      </c>
      <c r="AO49" s="69">
        <f t="shared" si="81"/>
        <v>3.6833333333333327</v>
      </c>
      <c r="AP49" s="69">
        <f t="shared" si="82"/>
        <v>3.8633333333333328</v>
      </c>
      <c r="AQ49" s="69">
        <f t="shared" si="83"/>
        <v>4.043333333333333</v>
      </c>
      <c r="AR49" s="69">
        <f t="shared" si="84"/>
        <v>4.2233333333333327</v>
      </c>
      <c r="AS49" s="69">
        <f t="shared" si="85"/>
        <v>4.4033333333333324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0.95</v>
      </c>
      <c r="G50" s="69">
        <f t="shared" si="53"/>
        <v>-0.5555555555555558</v>
      </c>
      <c r="H50" s="69">
        <f t="shared" si="54"/>
        <v>0.95</v>
      </c>
      <c r="I50" s="69" t="e">
        <f t="shared" si="55"/>
        <v>#N/A</v>
      </c>
      <c r="J50" s="69">
        <f t="shared" si="56"/>
        <v>0.95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0.70555555555555549</v>
      </c>
      <c r="R50" s="69">
        <f t="shared" si="61"/>
        <v>0.80555555555555558</v>
      </c>
      <c r="S50" s="69">
        <f t="shared" si="62"/>
        <v>0.90555555555555556</v>
      </c>
      <c r="T50" s="69">
        <f t="shared" si="63"/>
        <v>1.0055555555555555</v>
      </c>
      <c r="U50" s="69">
        <f t="shared" si="64"/>
        <v>1.1055555555555556</v>
      </c>
      <c r="V50" s="69">
        <f t="shared" si="65"/>
        <v>1.2055555555555555</v>
      </c>
      <c r="W50" s="69">
        <f t="shared" si="66"/>
        <v>1.3055555555555556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3.63</v>
      </c>
      <c r="AC50" s="69">
        <f t="shared" si="72"/>
        <v>-1.2962962962962943</v>
      </c>
      <c r="AD50" s="69">
        <f t="shared" si="73"/>
        <v>3.63</v>
      </c>
      <c r="AE50" s="69" t="e">
        <f t="shared" si="74"/>
        <v>#N/A</v>
      </c>
      <c r="AF50" s="69">
        <f t="shared" si="75"/>
        <v>3.63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3.3233333333333328</v>
      </c>
      <c r="AN50" s="69">
        <f t="shared" si="80"/>
        <v>3.503333333333333</v>
      </c>
      <c r="AO50" s="69">
        <f t="shared" si="81"/>
        <v>3.6833333333333327</v>
      </c>
      <c r="AP50" s="69">
        <f t="shared" si="82"/>
        <v>3.8633333333333328</v>
      </c>
      <c r="AQ50" s="69">
        <f t="shared" si="83"/>
        <v>4.043333333333333</v>
      </c>
      <c r="AR50" s="69">
        <f t="shared" si="84"/>
        <v>4.2233333333333327</v>
      </c>
      <c r="AS50" s="69">
        <f t="shared" si="85"/>
        <v>4.4033333333333324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0.97</v>
      </c>
      <c r="G51" s="69">
        <f t="shared" si="53"/>
        <v>-0.35555555555555562</v>
      </c>
      <c r="H51" s="69">
        <f t="shared" si="54"/>
        <v>0.97</v>
      </c>
      <c r="I51" s="69" t="e">
        <f t="shared" si="55"/>
        <v>#N/A</v>
      </c>
      <c r="J51" s="69">
        <f t="shared" si="56"/>
        <v>0.97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0.70555555555555549</v>
      </c>
      <c r="R51" s="69">
        <f t="shared" si="61"/>
        <v>0.80555555555555558</v>
      </c>
      <c r="S51" s="69">
        <f t="shared" si="62"/>
        <v>0.90555555555555556</v>
      </c>
      <c r="T51" s="69">
        <f t="shared" si="63"/>
        <v>1.0055555555555555</v>
      </c>
      <c r="U51" s="69">
        <f t="shared" si="64"/>
        <v>1.1055555555555556</v>
      </c>
      <c r="V51" s="69">
        <f t="shared" si="65"/>
        <v>1.2055555555555555</v>
      </c>
      <c r="W51" s="69">
        <f t="shared" si="66"/>
        <v>1.3055555555555556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3.58</v>
      </c>
      <c r="AC51" s="69">
        <f t="shared" si="72"/>
        <v>-1.5740740740740711</v>
      </c>
      <c r="AD51" s="69">
        <f t="shared" si="73"/>
        <v>3.58</v>
      </c>
      <c r="AE51" s="69" t="e">
        <f t="shared" si="74"/>
        <v>#N/A</v>
      </c>
      <c r="AF51" s="69">
        <f t="shared" si="75"/>
        <v>3.58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1</v>
      </c>
      <c r="AK51" s="69">
        <f t="shared" si="95"/>
        <v>1</v>
      </c>
      <c r="AL51" s="69" t="str">
        <f t="shared" si="78"/>
        <v>REJEITADO</v>
      </c>
      <c r="AM51" s="69">
        <f t="shared" si="79"/>
        <v>3.3233333333333328</v>
      </c>
      <c r="AN51" s="69">
        <f t="shared" si="80"/>
        <v>3.503333333333333</v>
      </c>
      <c r="AO51" s="69">
        <f t="shared" si="81"/>
        <v>3.6833333333333327</v>
      </c>
      <c r="AP51" s="69">
        <f t="shared" si="82"/>
        <v>3.8633333333333328</v>
      </c>
      <c r="AQ51" s="69">
        <f t="shared" si="83"/>
        <v>4.043333333333333</v>
      </c>
      <c r="AR51" s="69">
        <f t="shared" si="84"/>
        <v>4.2233333333333327</v>
      </c>
      <c r="AS51" s="69">
        <f t="shared" si="85"/>
        <v>4.4033333333333324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1.01</v>
      </c>
      <c r="G52" s="69">
        <f t="shared" si="53"/>
        <v>4.4444444444444731E-2</v>
      </c>
      <c r="H52" s="69">
        <f t="shared" si="54"/>
        <v>1.01</v>
      </c>
      <c r="I52" s="69">
        <f t="shared" si="55"/>
        <v>1.01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0.70555555555555549</v>
      </c>
      <c r="R52" s="69">
        <f t="shared" si="61"/>
        <v>0.80555555555555558</v>
      </c>
      <c r="S52" s="69">
        <f t="shared" si="62"/>
        <v>0.90555555555555556</v>
      </c>
      <c r="T52" s="69">
        <f t="shared" si="63"/>
        <v>1.0055555555555555</v>
      </c>
      <c r="U52" s="69">
        <f t="shared" si="64"/>
        <v>1.1055555555555556</v>
      </c>
      <c r="V52" s="69">
        <f t="shared" si="65"/>
        <v>1.2055555555555555</v>
      </c>
      <c r="W52" s="69">
        <f t="shared" si="66"/>
        <v>1.3055555555555556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3.74</v>
      </c>
      <c r="AC52" s="69">
        <f t="shared" si="72"/>
        <v>-0.68518518518518134</v>
      </c>
      <c r="AD52" s="69">
        <f t="shared" si="73"/>
        <v>3.74</v>
      </c>
      <c r="AE52" s="69" t="e">
        <f t="shared" si="74"/>
        <v>#N/A</v>
      </c>
      <c r="AF52" s="69">
        <f t="shared" si="75"/>
        <v>3.74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3.3233333333333328</v>
      </c>
      <c r="AN52" s="69">
        <f t="shared" si="80"/>
        <v>3.503333333333333</v>
      </c>
      <c r="AO52" s="69">
        <f t="shared" si="81"/>
        <v>3.6833333333333327</v>
      </c>
      <c r="AP52" s="69">
        <f t="shared" si="82"/>
        <v>3.8633333333333328</v>
      </c>
      <c r="AQ52" s="69">
        <f t="shared" si="83"/>
        <v>4.043333333333333</v>
      </c>
      <c r="AR52" s="69">
        <f t="shared" si="84"/>
        <v>4.2233333333333327</v>
      </c>
      <c r="AS52" s="69">
        <f t="shared" si="85"/>
        <v>4.4033333333333324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0.94</v>
      </c>
      <c r="G53" s="69">
        <f t="shared" si="53"/>
        <v>-0.65555555555555589</v>
      </c>
      <c r="H53" s="69">
        <f t="shared" si="54"/>
        <v>0.94</v>
      </c>
      <c r="I53" s="69">
        <f t="shared" si="55"/>
        <v>0.94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0.70555555555555549</v>
      </c>
      <c r="R53" s="69">
        <f t="shared" si="61"/>
        <v>0.80555555555555558</v>
      </c>
      <c r="S53" s="69">
        <f t="shared" si="62"/>
        <v>0.90555555555555556</v>
      </c>
      <c r="T53" s="69">
        <f t="shared" si="63"/>
        <v>1.0055555555555555</v>
      </c>
      <c r="U53" s="69">
        <f t="shared" si="64"/>
        <v>1.1055555555555556</v>
      </c>
      <c r="V53" s="69">
        <f t="shared" si="65"/>
        <v>1.2055555555555555</v>
      </c>
      <c r="W53" s="69">
        <f t="shared" si="66"/>
        <v>1.3055555555555556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3.65</v>
      </c>
      <c r="AC53" s="69">
        <f t="shared" si="72"/>
        <v>-1.1851851851851829</v>
      </c>
      <c r="AD53" s="69">
        <f t="shared" si="73"/>
        <v>3.65</v>
      </c>
      <c r="AE53" s="69" t="e">
        <f t="shared" si="74"/>
        <v>#N/A</v>
      </c>
      <c r="AF53" s="69">
        <f t="shared" si="75"/>
        <v>3.65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3.3233333333333328</v>
      </c>
      <c r="AN53" s="69">
        <f t="shared" si="80"/>
        <v>3.503333333333333</v>
      </c>
      <c r="AO53" s="69">
        <f t="shared" si="81"/>
        <v>3.6833333333333327</v>
      </c>
      <c r="AP53" s="69">
        <f t="shared" si="82"/>
        <v>3.8633333333333328</v>
      </c>
      <c r="AQ53" s="69">
        <f t="shared" si="83"/>
        <v>4.043333333333333</v>
      </c>
      <c r="AR53" s="69">
        <f t="shared" si="84"/>
        <v>4.2233333333333327</v>
      </c>
      <c r="AS53" s="69">
        <f t="shared" si="85"/>
        <v>4.4033333333333324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0.98</v>
      </c>
      <c r="G54" s="69">
        <f t="shared" si="53"/>
        <v>-0.25555555555555554</v>
      </c>
      <c r="H54" s="69">
        <f t="shared" si="54"/>
        <v>0.98</v>
      </c>
      <c r="I54" s="69">
        <f t="shared" si="55"/>
        <v>0.98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0.70555555555555549</v>
      </c>
      <c r="R54" s="69">
        <f t="shared" si="61"/>
        <v>0.80555555555555558</v>
      </c>
      <c r="S54" s="69">
        <f t="shared" si="62"/>
        <v>0.90555555555555556</v>
      </c>
      <c r="T54" s="69">
        <f t="shared" si="63"/>
        <v>1.0055555555555555</v>
      </c>
      <c r="U54" s="69">
        <f t="shared" si="64"/>
        <v>1.1055555555555556</v>
      </c>
      <c r="V54" s="69">
        <f t="shared" si="65"/>
        <v>1.2055555555555555</v>
      </c>
      <c r="W54" s="69">
        <f t="shared" si="66"/>
        <v>1.3055555555555556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3.62</v>
      </c>
      <c r="AC54" s="69">
        <f t="shared" si="72"/>
        <v>-1.3518518518518485</v>
      </c>
      <c r="AD54" s="69">
        <f t="shared" si="73"/>
        <v>3.62</v>
      </c>
      <c r="AE54" s="69" t="e">
        <f t="shared" si="74"/>
        <v>#N/A</v>
      </c>
      <c r="AF54" s="69">
        <f t="shared" si="75"/>
        <v>3.62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3.3233333333333328</v>
      </c>
      <c r="AN54" s="69">
        <f t="shared" si="80"/>
        <v>3.503333333333333</v>
      </c>
      <c r="AO54" s="69">
        <f t="shared" si="81"/>
        <v>3.6833333333333327</v>
      </c>
      <c r="AP54" s="69">
        <f t="shared" si="82"/>
        <v>3.8633333333333328</v>
      </c>
      <c r="AQ54" s="69">
        <f t="shared" si="83"/>
        <v>4.043333333333333</v>
      </c>
      <c r="AR54" s="69">
        <f t="shared" si="84"/>
        <v>4.2233333333333327</v>
      </c>
      <c r="AS54" s="69">
        <f t="shared" si="85"/>
        <v>4.4033333333333324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0.98</v>
      </c>
      <c r="G55" s="69">
        <f t="shared" si="53"/>
        <v>-0.25555555555555554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3.56</v>
      </c>
      <c r="AC55" s="69">
        <f t="shared" si="72"/>
        <v>-1.6851851851851822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0.99</v>
      </c>
      <c r="G56" s="69">
        <f t="shared" si="53"/>
        <v>-0.15555555555555545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1</v>
      </c>
      <c r="P56" s="69" t="str">
        <f t="shared" si="59"/>
        <v>REJEITADO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3.6</v>
      </c>
      <c r="AC56" s="69">
        <f t="shared" si="72"/>
        <v>-1.4629629629629597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1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0.96</v>
      </c>
      <c r="G57" s="69">
        <f t="shared" si="53"/>
        <v>-0.45555555555555571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1</v>
      </c>
      <c r="P57" s="69" t="str">
        <f t="shared" si="59"/>
        <v>REJEITADO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3.61</v>
      </c>
      <c r="AC57" s="69">
        <f t="shared" si="72"/>
        <v>-1.4074074074074054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1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0.95</v>
      </c>
      <c r="G58" s="69">
        <f t="shared" si="53"/>
        <v>-0.5555555555555558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3.58</v>
      </c>
      <c r="AC58" s="69">
        <f t="shared" si="72"/>
        <v>-1.5740740740740711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1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0.97</v>
      </c>
      <c r="G59" s="69">
        <f t="shared" si="53"/>
        <v>-0.35555555555555562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3.62</v>
      </c>
      <c r="AC59" s="69">
        <f t="shared" si="72"/>
        <v>-1.3518518518518485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1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0.99</v>
      </c>
      <c r="G60" s="69">
        <f t="shared" si="53"/>
        <v>-0.15555555555555545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3.55</v>
      </c>
      <c r="AC60" s="69">
        <f t="shared" si="72"/>
        <v>-1.7407407407407391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0.92</v>
      </c>
      <c r="G61" s="69">
        <f t="shared" si="53"/>
        <v>-0.85555555555555496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3.52</v>
      </c>
      <c r="AC61" s="69">
        <f t="shared" si="72"/>
        <v>-1.9074074074074046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0.94</v>
      </c>
      <c r="G62" s="69">
        <f t="shared" si="53"/>
        <v>-0.65555555555555589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3.6</v>
      </c>
      <c r="AC62" s="69">
        <f t="shared" si="72"/>
        <v>-1.4629629629629597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1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0.95</v>
      </c>
      <c r="G63" s="69">
        <f t="shared" si="53"/>
        <v>-0.5555555555555558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3.6</v>
      </c>
      <c r="AC63" s="69">
        <f t="shared" si="72"/>
        <v>-1.4629629629629597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1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0.97</v>
      </c>
      <c r="G64" s="69">
        <f t="shared" si="53"/>
        <v>-0.35555555555555562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3.56</v>
      </c>
      <c r="AC64" s="69">
        <f t="shared" si="72"/>
        <v>-1.6851851851851822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1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0.95</v>
      </c>
      <c r="G65" s="69">
        <f t="shared" si="53"/>
        <v>-0.5555555555555558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3.6</v>
      </c>
      <c r="AC65" s="69">
        <f t="shared" si="72"/>
        <v>-1.4629629629629597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1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0.93</v>
      </c>
      <c r="G66" s="69">
        <f t="shared" si="53"/>
        <v>-0.75555555555555487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1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3.56</v>
      </c>
      <c r="AC66" s="69">
        <f t="shared" si="72"/>
        <v>-1.6851851851851822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1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0.95</v>
      </c>
      <c r="G67" s="69">
        <f t="shared" ref="G67:G98" si="101">IF(OR($F67="",$AY$1=""),"",($F67-$AX$1)/$AY$1)</f>
        <v>-0.5555555555555558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1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3.54</v>
      </c>
      <c r="AC67" s="69">
        <f t="shared" ref="AC67:AC98" si="120">IF(OR($AB67="",$BA$1=""),"",($AB67-$AZ$1)/$BA$1)</f>
        <v>-1.7962962962962934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1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0.95</v>
      </c>
      <c r="G68" s="69">
        <f t="shared" si="101"/>
        <v>-0.5555555555555558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1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3.63</v>
      </c>
      <c r="AC68" s="69">
        <f t="shared" si="120"/>
        <v>-1.2962962962962943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1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0.94</v>
      </c>
      <c r="G69" s="69">
        <f t="shared" si="101"/>
        <v>-0.65555555555555589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3.6</v>
      </c>
      <c r="AC69" s="69">
        <f t="shared" si="120"/>
        <v>-1.4629629629629597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1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0.95</v>
      </c>
      <c r="G70" s="69">
        <f t="shared" si="101"/>
        <v>-0.5555555555555558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3.59</v>
      </c>
      <c r="AC70" s="69">
        <f t="shared" si="120"/>
        <v>-1.5185185185185166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0.96</v>
      </c>
      <c r="G71" s="69">
        <f t="shared" si="101"/>
        <v>-0.45555555555555571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3.6</v>
      </c>
      <c r="AC71" s="69">
        <f t="shared" si="120"/>
        <v>-1.4629629629629597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1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0.94</v>
      </c>
      <c r="G72" s="69">
        <f t="shared" si="101"/>
        <v>-0.65555555555555589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3.36</v>
      </c>
      <c r="AC72" s="69">
        <f t="shared" si="120"/>
        <v>-2.7962962962962945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0.99</v>
      </c>
      <c r="G73" s="69">
        <f t="shared" si="101"/>
        <v>-0.15555555555555545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3.31</v>
      </c>
      <c r="AC73" s="69">
        <f t="shared" si="120"/>
        <v>-3.0740740740740713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1</v>
      </c>
      <c r="AH73" s="69">
        <f t="shared" si="139"/>
        <v>1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0.93</v>
      </c>
      <c r="G74" s="69">
        <f t="shared" si="101"/>
        <v>-0.75555555555555487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3.44</v>
      </c>
      <c r="AC74" s="69">
        <f t="shared" si="120"/>
        <v>-2.3518518518518494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0.96</v>
      </c>
      <c r="G75" s="69">
        <f t="shared" si="101"/>
        <v>-0.45555555555555571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3.54</v>
      </c>
      <c r="AC75" s="69">
        <f t="shared" si="120"/>
        <v>-1.7962962962962934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0.97</v>
      </c>
      <c r="G76" s="69">
        <f t="shared" si="101"/>
        <v>-0.35555555555555562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3.46</v>
      </c>
      <c r="AC76" s="69">
        <f t="shared" si="120"/>
        <v>-2.2407407407407383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0.96</v>
      </c>
      <c r="G77" s="69">
        <f t="shared" si="101"/>
        <v>-0.45555555555555571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3.51</v>
      </c>
      <c r="AC77" s="69">
        <f t="shared" si="120"/>
        <v>-1.9629629629629615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0.93</v>
      </c>
      <c r="G78" s="69">
        <f t="shared" si="101"/>
        <v>-0.75555555555555487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3.4</v>
      </c>
      <c r="AC78" s="69">
        <f t="shared" si="120"/>
        <v>-2.5740740740740717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0.96</v>
      </c>
      <c r="G79" s="69">
        <f t="shared" si="101"/>
        <v>-0.45555555555555571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3.48</v>
      </c>
      <c r="AC79" s="69">
        <f t="shared" si="120"/>
        <v>-2.1296296296296271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0.89</v>
      </c>
      <c r="G80" s="69">
        <f t="shared" si="101"/>
        <v>-1.1555555555555552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3.41</v>
      </c>
      <c r="AC80" s="69">
        <f t="shared" si="120"/>
        <v>-2.518518518518515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0.91</v>
      </c>
      <c r="G81" s="69">
        <f t="shared" si="101"/>
        <v>-0.95555555555555505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3.44</v>
      </c>
      <c r="AC81" s="69">
        <f t="shared" si="120"/>
        <v>-2.3518518518518494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0.88</v>
      </c>
      <c r="G82" s="69">
        <f t="shared" si="101"/>
        <v>-1.2555555555555553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3.37</v>
      </c>
      <c r="AC82" s="69">
        <f t="shared" si="120"/>
        <v>-2.7407407407407374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0.84</v>
      </c>
      <c r="G83" s="69">
        <f t="shared" si="101"/>
        <v>-1.6555555555555557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3.38</v>
      </c>
      <c r="AC83" s="69">
        <f t="shared" si="120"/>
        <v>-2.6851851851851833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1.01</v>
      </c>
      <c r="G84" s="69">
        <f t="shared" si="101"/>
        <v>4.4444444444444731E-2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3.71</v>
      </c>
      <c r="AC84" s="69">
        <f t="shared" si="120"/>
        <v>-0.85185185185184931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0.99</v>
      </c>
      <c r="G85" s="69">
        <f t="shared" si="101"/>
        <v>-0.15555555555555545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3.77</v>
      </c>
      <c r="AC85" s="69">
        <f t="shared" si="120"/>
        <v>-0.51851851851851571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0.99</v>
      </c>
      <c r="G86" s="69">
        <f t="shared" si="101"/>
        <v>-0.15555555555555545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3.63</v>
      </c>
      <c r="AC86" s="69">
        <f t="shared" si="120"/>
        <v>-1.2962962962962943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0.94</v>
      </c>
      <c r="G87" s="69">
        <f t="shared" si="101"/>
        <v>-0.65555555555555589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3.58</v>
      </c>
      <c r="AC87" s="69">
        <f t="shared" si="120"/>
        <v>-1.5740740740740711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0.97</v>
      </c>
      <c r="G88" s="69">
        <f t="shared" si="101"/>
        <v>-0.35555555555555562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1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3.66</v>
      </c>
      <c r="AC88" s="69">
        <f t="shared" si="120"/>
        <v>-1.1296296296296262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0.93</v>
      </c>
      <c r="G89" s="69">
        <f t="shared" si="101"/>
        <v>-0.75555555555555487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1</v>
      </c>
      <c r="P89" s="69" t="str">
        <f t="shared" si="107"/>
        <v>REJEITADO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3.35</v>
      </c>
      <c r="AC89" s="69">
        <f t="shared" si="120"/>
        <v>-2.8518518518518485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0.93</v>
      </c>
      <c r="G90" s="69">
        <f t="shared" si="101"/>
        <v>-0.75555555555555487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3.34</v>
      </c>
      <c r="AC90" s="69">
        <f t="shared" si="120"/>
        <v>-2.9074074074074057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0.92</v>
      </c>
      <c r="G91" s="69">
        <f t="shared" si="101"/>
        <v>-0.85555555555555496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3.33</v>
      </c>
      <c r="AC91" s="69">
        <f t="shared" si="120"/>
        <v>-2.9629629629629601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0.9</v>
      </c>
      <c r="G92" s="69">
        <f t="shared" si="101"/>
        <v>-1.0555555555555551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3.36</v>
      </c>
      <c r="AC92" s="69">
        <f t="shared" si="120"/>
        <v>-2.7962962962962945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0.95</v>
      </c>
      <c r="G93" s="69">
        <f t="shared" si="101"/>
        <v>-0.5555555555555558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3.46</v>
      </c>
      <c r="AC93" s="69">
        <f t="shared" si="120"/>
        <v>-2.2407407407407383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1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0.94</v>
      </c>
      <c r="G94" s="69">
        <f t="shared" si="101"/>
        <v>-0.65555555555555589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3.45</v>
      </c>
      <c r="AC94" s="69">
        <f t="shared" si="120"/>
        <v>-2.2962962962962927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0.93</v>
      </c>
      <c r="G95" s="69">
        <f t="shared" si="101"/>
        <v>-0.75555555555555487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0.95</v>
      </c>
      <c r="G96" s="69">
        <f t="shared" si="101"/>
        <v>-0.5555555555555558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3.53</v>
      </c>
      <c r="AC96" s="69">
        <f t="shared" si="120"/>
        <v>-1.8518518518518503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0.96</v>
      </c>
      <c r="G97" s="69">
        <f t="shared" si="101"/>
        <v>-0.45555555555555571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3.6</v>
      </c>
      <c r="AC97" s="69">
        <f t="shared" si="120"/>
        <v>-1.4629629629629597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0.97</v>
      </c>
      <c r="G98" s="69">
        <f t="shared" si="101"/>
        <v>-0.35555555555555562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3.51</v>
      </c>
      <c r="AC98" s="69">
        <f t="shared" si="120"/>
        <v>-1.9629629629629615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0.96</v>
      </c>
      <c r="G99" s="69">
        <f t="shared" ref="G99:G130" si="149">IF(OR($F99="",$AY$1=""),"",($F99-$AX$1)/$AY$1)</f>
        <v>-0.45555555555555571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1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3.54</v>
      </c>
      <c r="AC99" s="69">
        <f t="shared" ref="AC99:AC130" si="168">IF(OR($AB99="",$BA$1=""),"",($AB99-$AZ$1)/$BA$1)</f>
        <v>-1.7962962962962934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1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0.95</v>
      </c>
      <c r="G100" s="69">
        <f t="shared" si="149"/>
        <v>-0.5555555555555558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3.5</v>
      </c>
      <c r="AC100" s="69">
        <f t="shared" si="168"/>
        <v>-2.0185185185185159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0.9</v>
      </c>
      <c r="G101" s="69">
        <f t="shared" si="149"/>
        <v>-1.0555555555555551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3.63</v>
      </c>
      <c r="AC101" s="69">
        <f t="shared" si="168"/>
        <v>-1.2962962962962943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0.94</v>
      </c>
      <c r="G102" s="69">
        <f t="shared" si="149"/>
        <v>-0.65555555555555589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3.57</v>
      </c>
      <c r="AC102" s="69">
        <f t="shared" si="168"/>
        <v>-1.6296296296296278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0.95</v>
      </c>
      <c r="G103" s="69">
        <f t="shared" si="149"/>
        <v>-0.5555555555555558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3.54</v>
      </c>
      <c r="AC103" s="69">
        <f t="shared" si="168"/>
        <v>-1.7962962962962934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0.94</v>
      </c>
      <c r="G104" s="69">
        <f t="shared" si="149"/>
        <v>-0.65555555555555589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3.51</v>
      </c>
      <c r="AC104" s="69">
        <f t="shared" si="168"/>
        <v>-1.9629629629629615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0.95</v>
      </c>
      <c r="G105" s="69">
        <f t="shared" si="149"/>
        <v>-0.5555555555555558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3.6</v>
      </c>
      <c r="AC105" s="69">
        <f t="shared" si="168"/>
        <v>-1.4629629629629597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0.97</v>
      </c>
      <c r="G106" s="69">
        <f t="shared" si="149"/>
        <v>-0.35555555555555562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3.65</v>
      </c>
      <c r="AC106" s="69">
        <f t="shared" si="168"/>
        <v>-1.1851851851851829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0.96</v>
      </c>
      <c r="G107" s="69">
        <f t="shared" si="149"/>
        <v>-0.45555555555555571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3.5</v>
      </c>
      <c r="AC107" s="69">
        <f t="shared" si="168"/>
        <v>-2.0185185185185159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0.95</v>
      </c>
      <c r="G108" s="69">
        <f t="shared" si="149"/>
        <v>-0.5555555555555558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3.54</v>
      </c>
      <c r="AC108" s="69">
        <f t="shared" si="168"/>
        <v>-1.7962962962962934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0.92</v>
      </c>
      <c r="G109" s="69">
        <f t="shared" si="149"/>
        <v>-0.85555555555555496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3.43</v>
      </c>
      <c r="AC109" s="69">
        <f t="shared" si="168"/>
        <v>-2.4074074074074039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0.98</v>
      </c>
      <c r="G110" s="69">
        <f t="shared" si="149"/>
        <v>-0.25555555555555554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3.5</v>
      </c>
      <c r="AC110" s="69">
        <f t="shared" si="168"/>
        <v>-2.0185185185185159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0.97</v>
      </c>
      <c r="G111" s="69">
        <f t="shared" si="149"/>
        <v>-0.35555555555555562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3.65</v>
      </c>
      <c r="AC111" s="69">
        <f t="shared" si="168"/>
        <v>-1.1851851851851829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1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0.99</v>
      </c>
      <c r="G112" s="69">
        <f t="shared" si="149"/>
        <v>-0.15555555555555545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3.5</v>
      </c>
      <c r="AC112" s="69">
        <f t="shared" si="168"/>
        <v>-2.0185185185185159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1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3.51</v>
      </c>
      <c r="AC113" s="69">
        <f t="shared" si="168"/>
        <v>-1.9629629629629615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1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K6" sqref="K6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7" width="14.77734375" style="1" customWidth="1"/>
    <col min="18" max="25" width="15.77734375" style="160" customWidth="1"/>
    <col min="26" max="28" width="8.88671875" style="159"/>
    <col min="29" max="16384" width="8.88671875" style="1"/>
  </cols>
  <sheetData>
    <row r="1" spans="1:28" s="177" customFormat="1" ht="40.200000000000003" customHeight="1" thickBot="1" x14ac:dyDescent="0.6">
      <c r="A1" s="186" t="s">
        <v>207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76"/>
      <c r="AA1" s="176"/>
      <c r="AB1" s="176"/>
    </row>
    <row r="2" spans="1:28" s="78" customFormat="1" ht="19.95" customHeight="1" thickBot="1" x14ac:dyDescent="0.35">
      <c r="A2" s="183" t="s">
        <v>208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5"/>
      <c r="Z2" s="160"/>
      <c r="AA2" s="160"/>
      <c r="AB2" s="160"/>
    </row>
    <row r="3" spans="1:28" s="78" customFormat="1" ht="14.4" customHeight="1" x14ac:dyDescent="0.3">
      <c r="A3" s="77" t="s">
        <v>209</v>
      </c>
      <c r="B3" s="32">
        <v>27</v>
      </c>
      <c r="C3" s="200" t="str">
        <f>IFERROR(INDEX(Analitos!$A$4:$A$43,$B$3),"")</f>
        <v>Proteína C-reativa</v>
      </c>
      <c r="D3" s="197"/>
      <c r="F3" s="79" t="s">
        <v>210</v>
      </c>
      <c r="G3" s="33"/>
      <c r="H3" s="80" t="s">
        <v>241</v>
      </c>
      <c r="I3" s="34">
        <v>2026</v>
      </c>
      <c r="M3" s="35" t="b">
        <v>1</v>
      </c>
      <c r="N3" s="35" t="b">
        <v>0</v>
      </c>
      <c r="O3" s="19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99"/>
      <c r="Q3" s="199"/>
      <c r="R3" s="199"/>
      <c r="S3" s="199"/>
      <c r="T3" s="199"/>
      <c r="U3" s="199"/>
      <c r="V3" s="199"/>
      <c r="W3" s="199"/>
      <c r="X3" s="199"/>
      <c r="Y3" s="160"/>
      <c r="Z3" s="160"/>
      <c r="AA3" s="160"/>
      <c r="AB3" s="160"/>
    </row>
    <row r="4" spans="1:28" s="78" customFormat="1" ht="14.4" customHeight="1" x14ac:dyDescent="0.3">
      <c r="A4" s="201" t="s">
        <v>211</v>
      </c>
      <c r="B4" s="197"/>
      <c r="C4" s="198" t="str" cm="1">
        <f t="array" ref="C4">"Analito "&amp;$B$3&amp;" de "&amp;SUMPRODUCT(--(Analitos!$A$4:$A$43&lt;&gt;""))&amp;"    ·    Lote em uso: "&amp;loteAtivo</f>
        <v>Analito 27 de 31    ·    Lote em uso: 8974</v>
      </c>
      <c r="D4" s="197"/>
      <c r="E4" s="197"/>
      <c r="F4" s="81" t="s">
        <v>212</v>
      </c>
      <c r="G4" s="36"/>
      <c r="H4" s="82" t="s">
        <v>372</v>
      </c>
      <c r="I4" s="37" t="s">
        <v>374</v>
      </c>
      <c r="M4" s="35" t="b">
        <v>0</v>
      </c>
      <c r="N4" s="38" t="b">
        <v>0</v>
      </c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60"/>
      <c r="Z4" s="160"/>
      <c r="AA4" s="160"/>
      <c r="AB4" s="160"/>
    </row>
    <row r="5" spans="1:28" s="78" customFormat="1" ht="14.4" customHeight="1" x14ac:dyDescent="0.3">
      <c r="A5" s="194" t="s">
        <v>430</v>
      </c>
      <c r="B5" s="195"/>
      <c r="C5" s="195"/>
      <c r="D5" s="195"/>
      <c r="E5" s="195"/>
      <c r="F5" s="195"/>
      <c r="G5" s="195"/>
      <c r="H5" s="195"/>
      <c r="I5" s="195"/>
      <c r="J5" s="195"/>
      <c r="L5" s="196" t="s">
        <v>431</v>
      </c>
      <c r="M5" s="197"/>
      <c r="N5" s="197"/>
      <c r="O5" s="197"/>
      <c r="P5" s="197"/>
      <c r="Q5" s="197"/>
      <c r="R5" s="197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" customHeight="1" x14ac:dyDescent="0.3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88" t="s">
        <v>378</v>
      </c>
      <c r="P6" s="189"/>
      <c r="Q6" s="172"/>
      <c r="R6" s="157" t="s">
        <v>1136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" customHeight="1" x14ac:dyDescent="0.3">
      <c r="A7" s="81" t="s">
        <v>228</v>
      </c>
      <c r="B7" s="173">
        <f>_xlfn.AGGREGATE(2,6,Calc!$H$3:$H$182)</f>
        <v>52</v>
      </c>
      <c r="C7" s="174">
        <f>IFERROR(_xlfn.AGGREGATE(1,6,Calc!$H$3:$H$182),"")</f>
        <v>0.99115384615384605</v>
      </c>
      <c r="D7" s="174">
        <f>IFERROR(_xlfn.AGGREGATE(7,6,Calc!$H$3:$H$182),"")</f>
        <v>4.3550909859874684E-2</v>
      </c>
      <c r="E7" s="175">
        <f>IF(OR($C7="",$C7=0,$D7=""),"",$D7/$C7*100)</f>
        <v>4.3939606377832439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20</v>
      </c>
      <c r="L7" s="173">
        <f>SUM(G7:K7)</f>
        <v>20</v>
      </c>
      <c r="M7" s="173" t="str">
        <f>IF(OR(NOT(ISNUMBER($B7)),$B7=0),"sem dados no período",IF($L7&gt;0,"REPROVA — "&amp;$L7&amp;" violação(ões)","Sem violação"))</f>
        <v>REPROVA — 20 violação(ões)</v>
      </c>
      <c r="N7" s="172"/>
      <c r="O7" s="190" t="str">
        <f>_xlfn.XLOOKUP(selAnalito,Analitos!A4:A43,Analitos!S4:S43)</f>
        <v>VB</v>
      </c>
      <c r="P7" s="191"/>
      <c r="Q7" s="172"/>
      <c r="R7" s="182" t="s">
        <v>1137</v>
      </c>
      <c r="S7" s="182"/>
      <c r="T7" s="182"/>
      <c r="U7" s="182"/>
      <c r="V7" s="182"/>
      <c r="W7" s="182"/>
      <c r="X7" s="182"/>
      <c r="Y7" s="182"/>
      <c r="Z7" s="161"/>
      <c r="AA7" s="160"/>
      <c r="AB7" s="160"/>
    </row>
    <row r="8" spans="1:28" s="78" customFormat="1" ht="14.4" customHeight="1" x14ac:dyDescent="0.3">
      <c r="A8" s="81" t="s">
        <v>229</v>
      </c>
      <c r="B8" s="173">
        <f>_xlfn.AGGREGATE(2,6,Calc!$AD$3:$AD$182)</f>
        <v>52</v>
      </c>
      <c r="C8" s="174">
        <f>IFERROR(_xlfn.AGGREGATE(1,6,Calc!$AD$3:$AD$182),"")</f>
        <v>3.6055769230769239</v>
      </c>
      <c r="D8" s="174">
        <f>IFERROR(_xlfn.AGGREGATE(7,6,Calc!$AD$3:$AD$182),"")</f>
        <v>9.1895368069886144E-2</v>
      </c>
      <c r="E8" s="175">
        <f>IF(OR($C8="",$C8=0,$D8=""),"",$D8/$C8*100)</f>
        <v>2.5487008051811184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1</v>
      </c>
      <c r="I8" s="173">
        <f>SUMPRODUCT(Calc!$AI$3:$AI$182,Calc!$D$3:$D$182)</f>
        <v>0</v>
      </c>
      <c r="J8" s="173">
        <f>SUMPRODUCT(Calc!$AJ$3:$AJ$182,Calc!$D$3:$D$182)</f>
        <v>37</v>
      </c>
      <c r="K8" s="173">
        <f>SUMPRODUCT(Calc!$AK$3:$AK$182,Calc!$D$3:$D$182)</f>
        <v>41</v>
      </c>
      <c r="L8" s="173">
        <f>SUM(G8:K8)</f>
        <v>79</v>
      </c>
      <c r="M8" s="173" t="str">
        <f>IF(OR(NOT(ISNUMBER($B8)),$B8=0),"sem dados no período",IF($L8&gt;0,"REPROVA — "&amp;$L8&amp;" violação(ões)","Sem violação"))</f>
        <v>REPROVA — 79 violação(ões)</v>
      </c>
      <c r="N8" s="172"/>
      <c r="O8" s="192"/>
      <c r="P8" s="193"/>
      <c r="Q8" s="172"/>
      <c r="R8" s="182"/>
      <c r="S8" s="182"/>
      <c r="T8" s="182"/>
      <c r="U8" s="182"/>
      <c r="V8" s="182"/>
      <c r="W8" s="182"/>
      <c r="X8" s="182"/>
      <c r="Y8" s="182"/>
      <c r="Z8" s="161"/>
      <c r="AA8" s="160"/>
      <c r="AB8" s="160"/>
    </row>
    <row r="9" spans="1:28" ht="14.4" customHeight="1" x14ac:dyDescent="0.3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1127</v>
      </c>
      <c r="Y9" s="163" t="s">
        <v>1128</v>
      </c>
      <c r="Z9" s="158"/>
    </row>
    <row r="10" spans="1:28" ht="14.4" customHeight="1" x14ac:dyDescent="0.3">
      <c r="F10" s="146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 pelo Sigma.</v>
      </c>
      <c r="R10" s="161" t="s">
        <v>228</v>
      </c>
      <c r="S10" s="164">
        <f>IFERROR(INDEX(Estatística!$F$14:$F$93,MATCH(selAnalito&amp;"|"&amp;1,Estatística!$AB$14:$AB$93,0)),"")</f>
        <v>4.397666780259077</v>
      </c>
      <c r="T10" s="164" t="str">
        <f>IFERROR(INDEX(Estatística!$G$14:$G$93,MATCH(selAnalito&amp;"|"&amp;1,Estatística!$AB$14:$AB$93,0)),"")</f>
        <v>SEM EP</v>
      </c>
      <c r="U10" s="164">
        <f>IFERROR(INDEX(Estatística!$K$14:$K$93,MATCH(selAnalito&amp;"|"&amp;1,Estatística!$AB$14:$AB$93,0)),"")</f>
        <v>0</v>
      </c>
      <c r="V10" s="164" t="str">
        <f>IFERROR(INDEX(Estatística!$L$14:$L$93,MATCH(selAnalito&amp;"|"&amp;1,Estatística!$AB$14:$AB$93,0)),"")</f>
        <v/>
      </c>
      <c r="W10" s="161" t="str">
        <f>IFERROR(INDEX(Estatística!$M$14:$M$93,MATCH(selAnalito&amp;"|"&amp;1,Estatística!$AB$14:$AB$93,0)),"")</f>
        <v/>
      </c>
      <c r="X10" s="165" t="str">
        <f>IFERROR(INDEX(Estatística!$V$14:$V$93,MATCH(selAnalito&amp;"|"&amp;1,Estatística!$AB$14:$AB$93,0)),"")</f>
        <v/>
      </c>
      <c r="Y10" s="166" t="str">
        <f>IFERROR(INDEX(Estatística!$W$14:$W$93,MATCH(selAnalito&amp;"|"&amp;1,Estatística!$AB$14:$AB$93,0)),"")</f>
        <v/>
      </c>
      <c r="Z10" s="158"/>
    </row>
    <row r="11" spans="1:28" ht="14.4" customHeight="1" x14ac:dyDescent="0.3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/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2.9242026957426752</v>
      </c>
      <c r="T11" s="164" t="str">
        <f>IFERROR(INDEX(Estatística!$G$14:$G$93,MATCH(selAnalito&amp;"|"&amp;2,Estatística!$AB$14:$AB$93,0)),"")</f>
        <v>SEM EP</v>
      </c>
      <c r="U11" s="164">
        <f>IFERROR(INDEX(Estatística!$K$14:$K$93,MATCH(selAnalito&amp;"|"&amp;2,Estatística!$AB$14:$AB$93,0)),"")</f>
        <v>0</v>
      </c>
      <c r="V11" s="164" t="str">
        <f>IFERROR(INDEX(Estatística!$L$14:$L$93,MATCH(selAnalito&amp;"|"&amp;2,Estatística!$AB$14:$AB$93,0)),"")</f>
        <v/>
      </c>
      <c r="W11" s="161" t="str">
        <f>IFERROR(INDEX(Estatística!$M$14:$M$93,MATCH(selAnalito&amp;"|"&amp;2,Estatística!$AB$14:$AB$93,0)),"")</f>
        <v/>
      </c>
      <c r="X11" s="165" t="str">
        <f>IFERROR(INDEX(Estatística!$V$14:$V$93,MATCH(selAnalito&amp;"|"&amp;2,Estatística!$AB$14:$AB$93,0)),"")</f>
        <v/>
      </c>
      <c r="Y11" s="166" t="str">
        <f>IFERROR(INDEX(Estatística!$W$14:$W$93,MATCH(selAnalito&amp;"|"&amp;2,Estatística!$AB$14:$AB$93,0)),"")</f>
        <v/>
      </c>
      <c r="Z11" s="158"/>
    </row>
    <row r="12" spans="1:28" ht="14.4" customHeight="1" x14ac:dyDescent="0.3">
      <c r="F12" s="146" t="s">
        <v>1163</v>
      </c>
      <c r="J12"/>
      <c r="K12"/>
      <c r="L12"/>
      <c r="M12"/>
      <c r="N12"/>
      <c r="O12"/>
      <c r="P12"/>
      <c r="Q12"/>
      <c r="R12" s="182" t="s">
        <v>1126</v>
      </c>
      <c r="S12" s="182"/>
      <c r="T12" s="182"/>
      <c r="U12" s="182"/>
      <c r="V12" s="182"/>
      <c r="W12" s="182"/>
      <c r="X12" s="182"/>
      <c r="Y12" s="182"/>
      <c r="Z12" s="158"/>
    </row>
    <row r="13" spans="1:28" ht="14.4" customHeight="1" x14ac:dyDescent="0.3">
      <c r="F13" s="146" t="str">
        <f>IF(NOT(ISNUMBER(sigmaDoPlano)),"","Motor executa: "&amp;Cfg_PlanoQC!$D$1&amp;"   |   Cobertura: "&amp;mPlanoQC.CoberturaWestgard(sigmaDoPlano))</f>
        <v/>
      </c>
      <c r="J13"/>
      <c r="K13"/>
      <c r="L13"/>
      <c r="M13"/>
      <c r="N13"/>
      <c r="O13"/>
      <c r="P13"/>
      <c r="Q13"/>
      <c r="R13" s="182"/>
      <c r="S13" s="182"/>
      <c r="T13" s="182"/>
      <c r="U13" s="182"/>
      <c r="V13" s="182"/>
      <c r="W13" s="182"/>
      <c r="X13" s="182"/>
      <c r="Y13" s="182"/>
      <c r="Z13" s="158"/>
    </row>
    <row r="14" spans="1:28" ht="14.4" customHeight="1" x14ac:dyDescent="0.3">
      <c r="J14"/>
      <c r="K14"/>
      <c r="L14"/>
      <c r="M14"/>
      <c r="N14"/>
      <c r="O14"/>
      <c r="P14"/>
      <c r="Q14"/>
      <c r="R14" s="182"/>
      <c r="S14" s="182"/>
      <c r="T14" s="182"/>
      <c r="U14" s="182"/>
      <c r="V14" s="182"/>
      <c r="W14" s="182"/>
      <c r="X14" s="182"/>
      <c r="Y14" s="182"/>
      <c r="Z14" s="158"/>
    </row>
    <row r="15" spans="1:28" ht="14.4" customHeight="1" x14ac:dyDescent="0.3">
      <c r="J15"/>
      <c r="K15"/>
      <c r="L15"/>
      <c r="M15"/>
      <c r="N15"/>
      <c r="O15"/>
      <c r="P15"/>
      <c r="Q15"/>
      <c r="R15" s="157" t="s">
        <v>1152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" customHeight="1" x14ac:dyDescent="0.3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" customHeight="1" x14ac:dyDescent="0.3">
      <c r="J17"/>
      <c r="K17"/>
      <c r="L17"/>
      <c r="M17"/>
      <c r="N17"/>
      <c r="O17"/>
      <c r="P17"/>
      <c r="Q17"/>
      <c r="R17" s="161" t="s">
        <v>228</v>
      </c>
      <c r="S17" s="164" t="str">
        <f>IFERROR(INDEX(Estatística!$H$14:$H$93,MATCH(selAnalito&amp;"|"&amp;1,Estatística!$AB$14:$AB$93,0)),"")</f>
        <v/>
      </c>
      <c r="T17" s="164">
        <f>IFERROR(INDEX(Estatística!$K$14:$K$93,MATCH(selAnalito&amp;"|"&amp;1,Estatística!$AB$14:$AB$93,0)),"")</f>
        <v>0</v>
      </c>
      <c r="U17" s="164" t="str">
        <f>IFERROR(INDEX(Estatística!$N$14:$N$93,MATCH(selAnalito&amp;"|"&amp;1,Estatística!$AB$14:$AB$93,0)),"")</f>
        <v/>
      </c>
      <c r="V17" s="164" t="str">
        <f>IFERROR(INDEX(Estatística!$O$14:$O$93,MATCH(selAnalito&amp;"|"&amp;1,Estatística!$AB$14:$AB$93,0)),"")</f>
        <v/>
      </c>
      <c r="W17" s="161" t="str">
        <f>IFERROR(INDEX(Estatística!$P$14:$P$93,MATCH(selAnalito&amp;"|"&amp;1,Estatística!$AB$14:$AB$93,0)),"")</f>
        <v/>
      </c>
      <c r="X17" s="161"/>
      <c r="Y17" s="161"/>
      <c r="Z17" s="158"/>
    </row>
    <row r="18" spans="10:33" ht="14.4" customHeight="1" x14ac:dyDescent="0.3">
      <c r="J18"/>
      <c r="K18"/>
      <c r="L18"/>
      <c r="M18"/>
      <c r="N18"/>
      <c r="O18"/>
      <c r="P18"/>
      <c r="Q18"/>
      <c r="R18" s="161" t="s">
        <v>229</v>
      </c>
      <c r="S18" s="164" t="str">
        <f>IFERROR(INDEX(Estatística!$H$14:$H$93,MATCH(selAnalito&amp;"|"&amp;2,Estatística!$AB$14:$AB$93,0)),"")</f>
        <v/>
      </c>
      <c r="T18" s="164">
        <f>IFERROR(INDEX(Estatística!$K$14:$K$93,MATCH(selAnalito&amp;"|"&amp;2,Estatística!$AB$14:$AB$93,0)),"")</f>
        <v>0</v>
      </c>
      <c r="U18" s="164" t="str">
        <f>IFERROR(INDEX(Estatística!$N$14:$N$93,MATCH(selAnalito&amp;"|"&amp;2,Estatística!$AB$14:$AB$93,0)),"")</f>
        <v/>
      </c>
      <c r="V18" s="164" t="str">
        <f>IFERROR(INDEX(Estatística!$O$14:$O$93,MATCH(selAnalito&amp;"|"&amp;2,Estatística!$AB$14:$AB$93,0)),"")</f>
        <v/>
      </c>
      <c r="W18" s="161" t="str">
        <f>IFERROR(INDEX(Estatística!$P$14:$P$93,MATCH(selAnalito&amp;"|"&amp;2,Estatística!$AB$14:$AB$93,0)),"")</f>
        <v/>
      </c>
      <c r="X18" s="161"/>
      <c r="Y18" s="161"/>
      <c r="Z18" s="158"/>
    </row>
    <row r="19" spans="10:33" ht="14.4" customHeight="1" x14ac:dyDescent="0.3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" customHeight="1" x14ac:dyDescent="0.3">
      <c r="J20"/>
      <c r="K20"/>
      <c r="L20"/>
      <c r="M20"/>
      <c r="N20"/>
      <c r="O20"/>
      <c r="P20"/>
      <c r="Q20"/>
      <c r="R20" s="157" t="s">
        <v>1138</v>
      </c>
      <c r="S20" s="161"/>
      <c r="T20" s="161"/>
      <c r="U20" s="161"/>
      <c r="V20" s="161"/>
      <c r="W20" s="161"/>
      <c r="X20" s="161"/>
    </row>
    <row r="21" spans="10:33" ht="14.4" customHeight="1" x14ac:dyDescent="0.3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1139</v>
      </c>
      <c r="U21" s="163" t="s">
        <v>1140</v>
      </c>
      <c r="V21" s="163" t="s">
        <v>1141</v>
      </c>
      <c r="W21" s="163" t="s">
        <v>1142</v>
      </c>
      <c r="X21" s="163" t="s">
        <v>1143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61" t="s">
        <v>1165</v>
      </c>
      <c r="S22" s="164" t="str">
        <f>IF(NOT(ISNUMBER(Cfg_PlanoQC!$B$1)),"",Cfg_PlanoQC!$B$1)</f>
        <v/>
      </c>
      <c r="T22" s="161" t="str">
        <f>IF(NOT(ISNUMBER(Cfg_PlanoQC!$B$1)),"",mPlanoQC.PlanoQC(Cfg_PlanoQC!$B$1,"REGRAS"))</f>
        <v/>
      </c>
      <c r="U22" s="161" t="str">
        <f>IF(NOT(ISNUMBER(Cfg_PlanoQC!$B$1)),"",mPlanoQC.PlanoQC(Cfg_PlanoQC!$B$1,"N"))</f>
        <v/>
      </c>
      <c r="V22" s="161" t="str">
        <f>IF(NOT(ISNUMBER(Cfg_PlanoQC!$B$1)),"",mPlanoQC.PlanoQC(Cfg_PlanoQC!$B$1,"RUNSIZE"))</f>
        <v/>
      </c>
      <c r="W22" s="161" t="str">
        <f>IF(NOT(ISNUMBER(Cfg_PlanoQC!$B$1)),"",mPlanoQC.PlanoQC(Cfg_PlanoQC!$B$1,"FREQUENCIA"))</f>
        <v/>
      </c>
      <c r="X22" s="161" t="str">
        <f>IF(NOT(ISNUMBER(Cfg_PlanoQC!$B$1)),"",mPlanoQC.CoberturaWestgard(Cfg_PlanoQC!$B$1))</f>
        <v/>
      </c>
    </row>
    <row r="23" spans="10:33" ht="14.4" customHeight="1" x14ac:dyDescent="0.3">
      <c r="J23"/>
      <c r="K23"/>
      <c r="L23"/>
      <c r="M23"/>
      <c r="N23"/>
      <c r="O23"/>
      <c r="P23"/>
      <c r="Q23"/>
      <c r="R23" s="161" t="s">
        <v>1166</v>
      </c>
      <c r="S23" s="181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Sem Sigma válido em nenhum nível — sem plano.</v>
      </c>
      <c r="T23" s="161"/>
      <c r="U23" s="161"/>
      <c r="V23" s="161"/>
      <c r="W23" s="161"/>
      <c r="X23" s="161"/>
    </row>
    <row r="24" spans="10:33" ht="14.4" customHeight="1" x14ac:dyDescent="0.3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63" t="s">
        <v>220</v>
      </c>
      <c r="S26" s="163" t="s">
        <v>1127</v>
      </c>
      <c r="T26" s="163" t="s">
        <v>1144</v>
      </c>
      <c r="U26" s="157" t="s">
        <v>1145</v>
      </c>
      <c r="V26" s="161"/>
      <c r="W26" s="161"/>
      <c r="X26" s="161"/>
      <c r="Y26" s="161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2" t="s">
        <v>1146</v>
      </c>
      <c r="V27" s="182"/>
      <c r="W27" s="182"/>
      <c r="X27" s="182"/>
    </row>
    <row r="28" spans="10:33" ht="14.4" customHeight="1" x14ac:dyDescent="0.3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2"/>
      <c r="V28" s="182"/>
      <c r="W28" s="182"/>
      <c r="X28" s="182"/>
      <c r="Z28" s="158"/>
    </row>
    <row r="29" spans="10:33" ht="14.4" customHeight="1" x14ac:dyDescent="0.3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2"/>
      <c r="V29" s="182"/>
      <c r="W29" s="182"/>
      <c r="X29" s="182"/>
      <c r="Z29" s="158"/>
    </row>
    <row r="30" spans="10:33" ht="14.4" customHeight="1" x14ac:dyDescent="0.3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1147</v>
      </c>
      <c r="V30" s="161"/>
      <c r="W30" s="161"/>
      <c r="X30" s="161"/>
      <c r="Z30" s="158"/>
    </row>
    <row r="31" spans="10:33" ht="14.4" customHeight="1" x14ac:dyDescent="0.3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1148</v>
      </c>
      <c r="V31" s="161"/>
      <c r="W31" s="161"/>
      <c r="X31" s="161"/>
      <c r="Z31" s="158"/>
    </row>
    <row r="32" spans="10:33" ht="14.4" customHeight="1" x14ac:dyDescent="0.3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1149</v>
      </c>
      <c r="V32" s="161"/>
      <c r="W32" s="161"/>
      <c r="X32" s="161"/>
      <c r="Z32" s="158"/>
    </row>
    <row r="33" spans="9:26" ht="14.4" customHeight="1" x14ac:dyDescent="0.3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1150</v>
      </c>
      <c r="V33" s="161"/>
      <c r="W33" s="161"/>
      <c r="X33" s="161"/>
      <c r="Z33" s="158"/>
    </row>
    <row r="34" spans="9:26" ht="14.4" customHeight="1" x14ac:dyDescent="0.3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" customHeight="1" x14ac:dyDescent="0.3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" customHeight="1" x14ac:dyDescent="0.3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" customHeight="1" x14ac:dyDescent="0.3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" customHeight="1" x14ac:dyDescent="0.3">
      <c r="I38"/>
      <c r="J38"/>
      <c r="K38"/>
      <c r="L38"/>
      <c r="M38"/>
      <c r="V38" s="161"/>
      <c r="Z38" s="158"/>
    </row>
    <row r="39" spans="9:26" ht="14.4" customHeight="1" x14ac:dyDescent="0.3">
      <c r="I39"/>
      <c r="J39"/>
      <c r="K39"/>
      <c r="L39"/>
      <c r="M39"/>
      <c r="V39" s="161"/>
      <c r="Z39" s="158"/>
    </row>
    <row r="40" spans="9:26" ht="14.4" customHeight="1" x14ac:dyDescent="0.3">
      <c r="I40"/>
      <c r="W40" s="161"/>
      <c r="X40" s="161"/>
      <c r="Y40" s="161"/>
      <c r="Z40" s="158"/>
    </row>
    <row r="41" spans="9:26" ht="14.4" customHeight="1" x14ac:dyDescent="0.3">
      <c r="I41"/>
      <c r="W41" s="161"/>
      <c r="X41" s="161"/>
      <c r="Y41" s="161"/>
      <c r="Z41" s="158"/>
    </row>
    <row r="42" spans="9:26" ht="14.4" customHeight="1" x14ac:dyDescent="0.3">
      <c r="I42"/>
      <c r="W42" s="161"/>
      <c r="X42" s="161"/>
      <c r="Y42" s="161"/>
      <c r="Z42" s="158"/>
    </row>
    <row r="43" spans="9:26" ht="14.4" customHeight="1" x14ac:dyDescent="0.3">
      <c r="I43"/>
      <c r="W43" s="161"/>
      <c r="X43" s="161"/>
      <c r="Y43" s="161"/>
      <c r="Z43" s="158"/>
    </row>
    <row r="44" spans="9:26" ht="14.4" customHeight="1" x14ac:dyDescent="0.3">
      <c r="V44" s="161"/>
      <c r="W44" s="161"/>
      <c r="X44" s="161"/>
      <c r="Y44" s="161"/>
      <c r="Z44" s="158"/>
    </row>
    <row r="45" spans="9:26" ht="14.4" customHeight="1" x14ac:dyDescent="0.3">
      <c r="V45" s="161"/>
      <c r="W45" s="161"/>
      <c r="X45" s="161"/>
      <c r="Y45" s="161"/>
      <c r="Z45" s="158"/>
    </row>
    <row r="46" spans="9:26" ht="14.4" customHeight="1" x14ac:dyDescent="0.3">
      <c r="V46" s="161"/>
      <c r="W46" s="161"/>
      <c r="X46" s="161"/>
      <c r="Y46" s="161"/>
      <c r="Z46" s="158"/>
    </row>
    <row r="47" spans="9:26" ht="14.4" customHeight="1" x14ac:dyDescent="0.3">
      <c r="Q47"/>
      <c r="V47" s="161"/>
      <c r="W47" s="161"/>
      <c r="X47" s="161"/>
      <c r="Y47" s="161"/>
      <c r="Z47" s="158"/>
    </row>
    <row r="48" spans="9:26" ht="14.4" customHeight="1" x14ac:dyDescent="0.3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" customHeight="1" x14ac:dyDescent="0.3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" customHeight="1" x14ac:dyDescent="0.3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" customHeight="1" x14ac:dyDescent="0.3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" customHeight="1" x14ac:dyDescent="0.3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" customHeight="1" x14ac:dyDescent="0.3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3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3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3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3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3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3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3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3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3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3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3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3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3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3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3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3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3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3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3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3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3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3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3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3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3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3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3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3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3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3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3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3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3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3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3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3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3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3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3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3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3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3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3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3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3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3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3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3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3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3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3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3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3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3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3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3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3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3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3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3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3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3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3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3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3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3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3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3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69" priority="3" operator="greaterThanOrEqual">
      <formula>4</formula>
    </cfRule>
    <cfRule type="cellIs" dxfId="68" priority="4" operator="lessThan">
      <formula>3</formula>
    </cfRule>
  </conditionalFormatting>
  <conditionalFormatting sqref="J7:J9">
    <cfRule type="cellIs" dxfId="67" priority="5" operator="equal">
      <formula>"OK"</formula>
    </cfRule>
    <cfRule type="cellIs" dxfId="66" priority="6" operator="equal">
      <formula>"REJEITADO"</formula>
    </cfRule>
  </conditionalFormatting>
  <conditionalFormatting sqref="O3">
    <cfRule type="expression" dxfId="65" priority="2">
      <formula>OR($G$3&lt;&gt;"",$G$4&lt;&gt;"")</formula>
    </cfRule>
  </conditionalFormatting>
  <conditionalFormatting sqref="G7:K9">
    <cfRule type="cellIs" dxfId="64" priority="1" operator="greaterThan">
      <formula>0</formula>
    </cfRule>
  </conditionalFormatting>
  <conditionalFormatting sqref="G6">
    <cfRule type="expression" dxfId="9" priority="47" stopIfTrue="1">
      <formula>_xludf.SUM($G$7:$G$8)&gt;0</formula>
    </cfRule>
    <cfRule type="expression" dxfId="8" priority="48" stopIfTrue="1">
      <formula>_xludf.SUMPRODUCT((regrasRotulos=G6)*regrasAtivas)=1</formula>
    </cfRule>
  </conditionalFormatting>
  <conditionalFormatting sqref="H6">
    <cfRule type="expression" dxfId="7" priority="49" stopIfTrue="1">
      <formula>_xludf.SUM($H$7:$H$8)&gt;0</formula>
    </cfRule>
    <cfRule type="expression" dxfId="6" priority="50" stopIfTrue="1">
      <formula>_xludf.SUMPRODUCT((regrasRotulos=H6)*regrasAtivas)=1</formula>
    </cfRule>
  </conditionalFormatting>
  <conditionalFormatting sqref="I6">
    <cfRule type="expression" dxfId="5" priority="51" stopIfTrue="1">
      <formula>_xludf.SUM($I$7:$I$8)&gt;0</formula>
    </cfRule>
    <cfRule type="expression" dxfId="4" priority="52" stopIfTrue="1">
      <formula>_xludf.SUMPRODUCT((regrasRotulos=I6)*regrasAtivas)=1</formula>
    </cfRule>
  </conditionalFormatting>
  <conditionalFormatting sqref="J6">
    <cfRule type="expression" dxfId="3" priority="53" stopIfTrue="1">
      <formula>_xludf.SUM($J$7:$J$8)&gt;0</formula>
    </cfRule>
    <cfRule type="expression" dxfId="2" priority="54" stopIfTrue="1">
      <formula>_xludf.SUMPRODUCT((regrasRotulos=J6)*regrasAtivas)=1</formula>
    </cfRule>
  </conditionalFormatting>
  <conditionalFormatting sqref="K6">
    <cfRule type="expression" dxfId="1" priority="55" stopIfTrue="1">
      <formula>_xludf.SUM($K$7:$K$8)&gt;0</formula>
    </cfRule>
    <cfRule type="expression" dxfId="0" priority="56" stopIfTrue="1">
      <formula>_xludf.SUMPRODUCT((regrasRotulos=K6)*regrasAtivas)=1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07" t="s">
        <v>230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</row>
    <row r="2" spans="1:13" ht="19.95" customHeight="1" x14ac:dyDescent="0.3">
      <c r="A2" s="21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53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207" t="s">
        <v>466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</row>
    <row r="2" spans="1:16" ht="19.95" customHeight="1" x14ac:dyDescent="0.3">
      <c r="A2" s="208" t="s">
        <v>240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52" priority="1" operator="equal">
      <formula>"OK"</formula>
    </cfRule>
    <cfRule type="cellIs" dxfId="51" priority="2" operator="equal">
      <formula>"OK-BIAS"</formula>
    </cfRule>
    <cfRule type="cellIs" dxfId="50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77734375" customWidth="1"/>
    <col min="4" max="4" width="30.77734375" customWidth="1"/>
    <col min="5" max="5" width="12.77734375" customWidth="1"/>
    <col min="6" max="6" width="14.109375" customWidth="1"/>
    <col min="7" max="7" width="46.77734375" customWidth="1"/>
    <col min="8" max="8" width="34.77734375" customWidth="1"/>
    <col min="9" max="9" width="22.77734375" customWidth="1"/>
    <col min="10" max="16" width="8.77734375" customWidth="1"/>
  </cols>
  <sheetData>
    <row r="1" spans="1:14" ht="17.399999999999999" x14ac:dyDescent="0.35">
      <c r="A1" s="178" t="s">
        <v>1155</v>
      </c>
      <c r="B1" t="str">
        <f>IF(AND(NOT(ISNUMBER(Painel!$V$10)),NOT(ISNUMBER(Painel!$V$11))),"SEM DADOS",MIN(IF(ISNUMBER(Painel!$V$10),Painel!$V$10,9E+99),IF(ISNUMBER(Painel!$V$11),Painel!$V$11,9E+99)))</f>
        <v>SEM DADOS</v>
      </c>
      <c r="C1" s="130" t="s">
        <v>1156</v>
      </c>
      <c r="D1" t="str">
        <f>mPlanoQC.RegrasImplementadas()</f>
        <v>1_3s / 2_2s / R_4s / 4_1s / 8x</v>
      </c>
    </row>
    <row r="2" spans="1:14" x14ac:dyDescent="0.3">
      <c r="A2" s="140" t="s">
        <v>1161</v>
      </c>
      <c r="B2">
        <f>IF(NOT(ISNUMBER($B$1)),0,SUMPRODUCT(($A$4:$A$8&lt;=$B$1)*($B$4:$B$8&gt;$B$1)*ROW($A$4:$A$8))-3)</f>
        <v>0</v>
      </c>
      <c r="C2" s="130" t="s">
        <v>1164</v>
      </c>
      <c r="D2" t="str">
        <f>IF(NOT(ISNUMBER($B$1)),"",IF(AND(ISNUMBER(Painel!$V$10),OR(NOT(ISNUMBER(Painel!$V$11)),Painel!$V$10&lt;=Painel!$V$11)),"nível 1","nível 2"))</f>
        <v/>
      </c>
      <c r="J2" s="130" t="s">
        <v>1160</v>
      </c>
    </row>
    <row r="3" spans="1:14" ht="31.95" customHeight="1" x14ac:dyDescent="0.3">
      <c r="A3" s="180" t="s">
        <v>1167</v>
      </c>
      <c r="B3" s="132" t="s">
        <v>1168</v>
      </c>
      <c r="C3" s="132" t="s">
        <v>1107</v>
      </c>
      <c r="D3" s="132" t="s">
        <v>1108</v>
      </c>
      <c r="E3" s="132" t="s">
        <v>1109</v>
      </c>
      <c r="F3" s="132" t="s">
        <v>1110</v>
      </c>
      <c r="G3" s="132" t="s">
        <v>1111</v>
      </c>
      <c r="H3" s="132" t="s">
        <v>1112</v>
      </c>
      <c r="I3" s="132" t="s">
        <v>1157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226</v>
      </c>
    </row>
    <row r="4" spans="1:14" x14ac:dyDescent="0.3">
      <c r="A4">
        <v>6</v>
      </c>
      <c r="B4">
        <v>999</v>
      </c>
      <c r="C4" t="s">
        <v>419</v>
      </c>
      <c r="D4" t="s">
        <v>1113</v>
      </c>
      <c r="E4">
        <v>2</v>
      </c>
      <c r="F4">
        <v>1000</v>
      </c>
      <c r="G4" t="s">
        <v>1114</v>
      </c>
      <c r="H4" t="s">
        <v>1115</v>
      </c>
      <c r="I4" t="s">
        <v>1158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3">
      <c r="A5">
        <v>5</v>
      </c>
      <c r="B5">
        <v>6</v>
      </c>
      <c r="C5" t="s">
        <v>420</v>
      </c>
      <c r="D5" t="s">
        <v>1116</v>
      </c>
      <c r="E5">
        <v>2</v>
      </c>
      <c r="F5">
        <v>450</v>
      </c>
      <c r="G5" t="s">
        <v>1117</v>
      </c>
      <c r="H5" t="s">
        <v>1115</v>
      </c>
      <c r="I5" t="s">
        <v>1158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3">
      <c r="A6">
        <v>4</v>
      </c>
      <c r="B6">
        <v>5</v>
      </c>
      <c r="C6" t="s">
        <v>421</v>
      </c>
      <c r="D6" t="s">
        <v>1118</v>
      </c>
      <c r="E6">
        <v>4</v>
      </c>
      <c r="F6">
        <v>200</v>
      </c>
      <c r="G6" t="s">
        <v>1119</v>
      </c>
      <c r="H6" t="s">
        <v>1115</v>
      </c>
      <c r="I6" t="s">
        <v>1158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3">
      <c r="A7">
        <v>3</v>
      </c>
      <c r="B7">
        <v>4</v>
      </c>
      <c r="C7" t="s">
        <v>422</v>
      </c>
      <c r="D7" t="s">
        <v>1151</v>
      </c>
      <c r="E7">
        <v>6</v>
      </c>
      <c r="F7">
        <v>45</v>
      </c>
      <c r="G7" t="s">
        <v>1120</v>
      </c>
      <c r="H7" t="s">
        <v>1121</v>
      </c>
      <c r="I7" t="s">
        <v>1158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3">
      <c r="A8">
        <v>-999</v>
      </c>
      <c r="B8">
        <v>3</v>
      </c>
      <c r="C8" t="s">
        <v>1122</v>
      </c>
      <c r="D8" t="s">
        <v>1151</v>
      </c>
      <c r="G8" t="s">
        <v>1123</v>
      </c>
      <c r="H8" t="s">
        <v>1124</v>
      </c>
      <c r="I8" t="s">
        <v>1159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3">
      <c r="J9" s="130" t="s">
        <v>1162</v>
      </c>
    </row>
    <row r="10" spans="1:14" x14ac:dyDescent="0.3">
      <c r="A10" s="140" t="s">
        <v>1125</v>
      </c>
      <c r="J10" s="131">
        <f>IF(OR(NOT(ISNUMBER($B$1)),$B$2&lt;1),0,INDEX(J$4:J$8,$B$2))</f>
        <v>0</v>
      </c>
      <c r="K10" s="131">
        <f>IF(OR(NOT(ISNUMBER($B$1)),$B$2&lt;1),0,INDEX(K$4:K$8,$B$2))</f>
        <v>0</v>
      </c>
      <c r="L10" s="131">
        <f>IF(OR(NOT(ISNUMBER($B$1)),$B$2&lt;1),0,INDEX(L$4:L$8,$B$2))</f>
        <v>0</v>
      </c>
      <c r="M10" s="131">
        <f>IF(OR(NOT(ISNUMBER($B$1)),$B$2&lt;1),0,INDEX(M$4:M$8,$B$2))</f>
        <v>0</v>
      </c>
      <c r="N10" s="131">
        <f>IF(OR(NOT(ISNUMBER($B$1)),$B$2&lt;1),0,INDEX(N$4:N$8,$B$2))</f>
        <v>0</v>
      </c>
    </row>
    <row r="11" spans="1:14" x14ac:dyDescent="0.3">
      <c r="A11" s="140" t="s">
        <v>1126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48" priority="1" stopIfTrue="1">
      <formula>mEQA.PadronizarStatus($L2)="NAO ACEITO"</formula>
    </cfRule>
    <cfRule type="expression" dxfId="47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1078</v>
      </c>
    </row>
    <row r="2" spans="1:10" x14ac:dyDescent="0.3">
      <c r="A2" s="130" t="s">
        <v>1079</v>
      </c>
    </row>
    <row r="4" spans="1:10" ht="30" customHeight="1" x14ac:dyDescent="0.3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COUNT(EQA.CAP_Dados!$T$2:$T$5000)</f>
        <v>6</v>
      </c>
    </row>
    <row r="17" spans="1:10" x14ac:dyDescent="0.3">
      <c r="I17" t="s">
        <v>1088</v>
      </c>
      <c r="J17">
        <f>COUNT(EQA.CAP_Dados!$U$2:$U$5000)</f>
        <v>37</v>
      </c>
    </row>
    <row r="18" spans="1:10" x14ac:dyDescent="0.3">
      <c r="I18" t="s">
        <v>1082</v>
      </c>
      <c r="J18">
        <f>COUNTA(EQA.CAP_Dados!$B$2:$B$5000)</f>
        <v>545</v>
      </c>
    </row>
    <row r="19" spans="1:10" x14ac:dyDescent="0.3">
      <c r="I19" t="s">
        <v>506</v>
      </c>
      <c r="J19">
        <f>COUNTIF(EQA.CAP_Dados!$W$2:$W$5000,"NAO ACEITO")</f>
        <v>15</v>
      </c>
    </row>
    <row r="20" spans="1:10" x14ac:dyDescent="0.3">
      <c r="I20" t="s">
        <v>1089</v>
      </c>
      <c r="J20">
        <f>SUM(EQA.CAP_Dados!$X$2:$X$5000)</f>
        <v>7</v>
      </c>
    </row>
    <row r="21" spans="1:10" x14ac:dyDescent="0.3">
      <c r="I21" t="s">
        <v>1090</v>
      </c>
      <c r="J21">
        <f>COUNTIF(EQA.CAP_Dados!$W$2:$W$5000,"NAO AVALIADO")</f>
        <v>0</v>
      </c>
    </row>
    <row r="22" spans="1:10" x14ac:dyDescent="0.3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1092</v>
      </c>
      <c r="J23">
        <f>SUMPRODUCT((EQA_Base!$A$2:$A$5001="CAP")*(EQA_Base!$T$2:$T$5001="NAO"))</f>
        <v>90</v>
      </c>
    </row>
    <row r="26" spans="1:10" ht="15.6" x14ac:dyDescent="0.3">
      <c r="A26" s="134" t="s">
        <v>1093</v>
      </c>
    </row>
    <row r="27" spans="1:10" ht="30" customHeight="1" x14ac:dyDescent="0.3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1102</v>
      </c>
    </row>
    <row r="2" spans="1:18" x14ac:dyDescent="0.3">
      <c r="A2" s="130" t="s">
        <v>1103</v>
      </c>
    </row>
    <row r="3" spans="1:18" x14ac:dyDescent="0.3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3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3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3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3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3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3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3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3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3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3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3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3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3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3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3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3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3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3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3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3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3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3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3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3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3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3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3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3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3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3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3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3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3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3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3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3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3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3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3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3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3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3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3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3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3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3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3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3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3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3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3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3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3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3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3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3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3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3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3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3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3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3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3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3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3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3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3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3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3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3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3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3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3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3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3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3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3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3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3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3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3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3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3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3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3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3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3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3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3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3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3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3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3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3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3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3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3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3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3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3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3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3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3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3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3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3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3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3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3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3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3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3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3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3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3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3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3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3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3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3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3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3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3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3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3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3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3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3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3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3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3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3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3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3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3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3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3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3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3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3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3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3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3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3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3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3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3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3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3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3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3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3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3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3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3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3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3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3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3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3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3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3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3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3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3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3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3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3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3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3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3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3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3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3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3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3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3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3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3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3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3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3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3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3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3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3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3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3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3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3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3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3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3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3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3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3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3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3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3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3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3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3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3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3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3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3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3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3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3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3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3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3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3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3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3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3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3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3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3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3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3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3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3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3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3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3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3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3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3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3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3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3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3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3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3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3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3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3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3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3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3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3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3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3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3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3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3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3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3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3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3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3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3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3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3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3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3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3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3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3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3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3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3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3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3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3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3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3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3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3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3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3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3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3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3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3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3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3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3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3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3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3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3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3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3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3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3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3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3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3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3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3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3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3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3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3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3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3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3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3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3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3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3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3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3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3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3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3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3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3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3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3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3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3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3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3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3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3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3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3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3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3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3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3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3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3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3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3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3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3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3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3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3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3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3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3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3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3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3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3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3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3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3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3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3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3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3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3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3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3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3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3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3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3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3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3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3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3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3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3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3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3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3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3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3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3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3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3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3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3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3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3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3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3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3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3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3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3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3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3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3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3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3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3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3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3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3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3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3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3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3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3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3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3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3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3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3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3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3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3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3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3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3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3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3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3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3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3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3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3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3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3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3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3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3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3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3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3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3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3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3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3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3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3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3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3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3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3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3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3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3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3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3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3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3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3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3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3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3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3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3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3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3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3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3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3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3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3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3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3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3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3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3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3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3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3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3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3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3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3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3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3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3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3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3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3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3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3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3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3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3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3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3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3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3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3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3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3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3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3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3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3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3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3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3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3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3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3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3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3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3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3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3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3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3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3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3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3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3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3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3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3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3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3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3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3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3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3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3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3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3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3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3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3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3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3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3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3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3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3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3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3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3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3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3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3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3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3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3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3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3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3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3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3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3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3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34" priority="1" stopIfTrue="1">
      <formula>mEQA.PadronizarStatus($L2)="NAO ACEITO"</formula>
    </cfRule>
    <cfRule type="expression" dxfId="33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1095</v>
      </c>
    </row>
    <row r="2" spans="1:10" x14ac:dyDescent="0.3">
      <c r="A2" s="130" t="s">
        <v>1096</v>
      </c>
    </row>
    <row r="4" spans="1:10" ht="30" customHeight="1" x14ac:dyDescent="0.3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COUNT(EQA.Controllab_Dados!$T$2:$T$5000)</f>
        <v>0</v>
      </c>
    </row>
    <row r="17" spans="1:10" x14ac:dyDescent="0.3">
      <c r="I17" t="s">
        <v>1088</v>
      </c>
      <c r="J17">
        <f>COUNT(EQA.Controllab_Dados!$U$2:$U$5000)</f>
        <v>0</v>
      </c>
    </row>
    <row r="18" spans="1:10" x14ac:dyDescent="0.3">
      <c r="I18" t="s">
        <v>1082</v>
      </c>
      <c r="J18">
        <f>COUNTA(EQA.Controllab_Dados!$B$2:$B$5000)</f>
        <v>0</v>
      </c>
    </row>
    <row r="19" spans="1:10" x14ac:dyDescent="0.3">
      <c r="I19" t="s">
        <v>1098</v>
      </c>
      <c r="J19">
        <f>COUNTIF(EQA.Controllab_Dados!$W$2:$W$5000,"NAO ACEITO")</f>
        <v>0</v>
      </c>
    </row>
    <row r="20" spans="1:10" x14ac:dyDescent="0.3">
      <c r="I20" t="s">
        <v>1100</v>
      </c>
      <c r="J20">
        <f>SUM(EQA.Controllab_Dados!$X$2:$X$5000)</f>
        <v>0</v>
      </c>
    </row>
    <row r="21" spans="1:10" x14ac:dyDescent="0.3">
      <c r="I21" t="s">
        <v>1090</v>
      </c>
      <c r="J21">
        <f>COUNTIF(EQA.Controllab_Dados!$W$2:$W$5000,"NAO AVALIADO")</f>
        <v>0</v>
      </c>
    </row>
    <row r="22" spans="1:10" x14ac:dyDescent="0.3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1092</v>
      </c>
      <c r="J23">
        <f>SUMPRODUCT((EQA_Base!$A$2:$A$5001="Controllab")*(EQA_Base!$T$2:$T$5001="NAO"))</f>
        <v>0</v>
      </c>
    </row>
    <row r="26" spans="1:10" ht="15.6" x14ac:dyDescent="0.3">
      <c r="A26" s="134" t="s">
        <v>1101</v>
      </c>
    </row>
    <row r="27" spans="1:10" ht="30" customHeight="1" x14ac:dyDescent="0.3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1104</v>
      </c>
    </row>
    <row r="2" spans="1:18" x14ac:dyDescent="0.3">
      <c r="A2" s="130" t="s">
        <v>1105</v>
      </c>
    </row>
    <row r="3" spans="1:18" x14ac:dyDescent="0.3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77734375" customWidth="1"/>
    <col min="4" max="5" width="27.77734375" customWidth="1"/>
    <col min="6" max="12" width="16.77734375" customWidth="1"/>
    <col min="13" max="13" width="18.21875" customWidth="1"/>
    <col min="14" max="14" width="19.6640625" customWidth="1"/>
    <col min="15" max="18" width="16.77734375" customWidth="1"/>
    <col min="19" max="19" width="42.77734375" customWidth="1"/>
    <col min="20" max="20" width="16.77734375" customWidth="1"/>
    <col min="21" max="21" width="46.77734375" customWidth="1"/>
    <col min="23" max="25" width="28.77734375" customWidth="1"/>
    <col min="26" max="26" width="90.77734375" customWidth="1"/>
  </cols>
  <sheetData>
    <row r="1" spans="1:26" x14ac:dyDescent="0.3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3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3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3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3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3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3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3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3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3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3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3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3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3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3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3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3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3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3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3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3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3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3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3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3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3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3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3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3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3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3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3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3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3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3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3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3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3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3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3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3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3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3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3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3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3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3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3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3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3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3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3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3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3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3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3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3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3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3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3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3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3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3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3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3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3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3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3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3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3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3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3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3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3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3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3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3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3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3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3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3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3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3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3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3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3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3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3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3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3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3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3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3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3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3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3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3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3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3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3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3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3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3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3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3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3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3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3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3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3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3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3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3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3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3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3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3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3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3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3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3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3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3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3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3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3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3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3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3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3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3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3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3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3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3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3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3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3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3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3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3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3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3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3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3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3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3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3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3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3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3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3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3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3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3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3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3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3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3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3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3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3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3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3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3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3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3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3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3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3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3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3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3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3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3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3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3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3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3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3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3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3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3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3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3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3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3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3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3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3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3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3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3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3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3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3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3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3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3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3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3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3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3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3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3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3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3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3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3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3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3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3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3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3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3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3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3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3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3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3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3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3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3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3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3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3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3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3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3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3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3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3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3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3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3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3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3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3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3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3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3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3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3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3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3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3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3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3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3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3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3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3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3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3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3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3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3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3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3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3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3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3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3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3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3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3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3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3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3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3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3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3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3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3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3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3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3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3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3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3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3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3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3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3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3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3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3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3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3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3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3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3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3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3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3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3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3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3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3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3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3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3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3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3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3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3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3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3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3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3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3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3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3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3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3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3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3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3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3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3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3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3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3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3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3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3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3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3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3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3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3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3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3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3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3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3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3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3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3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3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3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3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3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3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3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3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3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3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3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3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3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3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3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3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3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3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3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3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3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3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3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3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3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3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3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3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3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3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3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3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3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3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3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3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3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3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3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3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3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3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3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3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3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3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3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3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3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3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3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3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3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3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3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3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3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3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3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3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3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3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3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3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3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3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3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3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3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3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3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3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3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3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3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3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3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3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3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3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3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3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3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3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3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3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3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3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3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3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3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3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3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3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3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3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3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3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3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3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3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3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3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3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3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3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3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3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3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3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3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3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3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3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3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3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3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3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3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3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3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3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3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3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3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3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3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3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3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3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3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3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3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3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3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3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3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3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3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3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3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3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3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3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3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3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3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3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3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3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3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3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3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3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3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3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3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3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3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3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3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3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3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3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3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3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3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3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3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3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3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3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3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3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3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3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3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3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3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3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3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3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3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3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3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3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3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3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3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3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3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3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3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3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3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3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3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3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3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3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3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3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3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3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3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3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3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3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3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3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3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3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3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3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3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3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3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3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3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3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3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3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3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3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3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3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3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3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3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3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3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3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3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3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3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3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3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3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3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3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3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3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3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3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3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3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3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3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3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3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3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3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3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3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3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3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3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3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3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3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3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3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3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3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3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3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3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3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3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3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3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3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3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3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3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3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3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3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3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3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3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3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3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3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3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3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3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3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3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3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3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3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3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3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3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3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3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3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3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3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3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3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3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3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3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3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3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3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3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3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3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3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3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3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3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3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3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3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3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3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3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3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3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3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3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3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3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3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3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3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3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3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3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3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3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3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3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3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3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3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3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3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3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3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3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3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3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3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3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3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3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3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3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3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3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3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3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3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3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3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3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3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3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3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3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3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3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3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3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3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3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3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3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3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3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3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3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3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3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3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3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3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3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3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3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3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3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3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3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3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3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3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3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3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3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3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3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3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3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3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3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3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3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3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3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3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3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3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3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3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3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3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3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3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3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3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3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3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3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3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3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3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3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3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3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3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3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3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3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3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3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3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3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3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3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3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3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3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3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3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3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3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3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3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3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3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3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3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3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3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3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3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3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3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3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3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3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3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3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3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3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3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3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3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3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3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3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3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3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3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3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3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3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3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3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3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3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3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3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3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3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3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3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3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3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3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3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3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3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3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3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3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3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3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3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3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3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3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3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3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3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3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3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3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3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3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3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3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3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3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3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3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3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3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3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3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3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3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3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3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3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3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3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3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3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3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3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3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3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3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3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3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3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3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3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3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3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3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3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3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3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3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3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3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3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3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3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3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3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3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3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3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3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3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3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3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3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3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3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3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3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3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3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3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3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3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3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3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3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3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3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3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3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3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3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3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3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3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3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3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3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3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3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3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3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3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3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3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3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3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3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3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3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3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3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3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3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3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3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3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3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3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3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3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3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3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3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3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3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3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3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3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3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3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3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3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3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3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3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3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3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3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3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3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3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3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3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3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3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3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3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3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3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3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3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3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3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3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3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3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3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3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3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3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3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3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3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3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3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3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3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3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3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3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3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3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3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3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3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3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3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3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3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3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3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3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3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3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3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3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3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3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3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3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3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3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3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3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3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3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3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3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3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3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3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3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3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3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3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3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3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3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3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3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3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3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3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3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3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3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3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3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3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3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3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3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3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3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3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3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3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3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3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3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3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3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3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3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3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3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3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3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3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3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3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3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3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3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3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3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3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3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3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3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3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3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3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3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3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3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3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3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3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3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3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3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3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3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3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3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3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3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3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3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3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3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3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3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3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3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3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3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3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3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3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3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3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3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3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3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3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3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3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3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3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3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3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3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3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3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3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3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3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3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3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3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3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3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3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3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3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3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3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3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3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3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3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3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3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3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3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3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3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3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3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3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3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3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3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3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3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3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3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3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3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3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3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3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3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3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3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3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3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3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3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3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3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3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3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3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3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3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3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3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3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3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3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3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3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3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3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3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3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3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3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3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3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3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3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3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3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3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3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3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3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3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3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3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3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3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3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3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3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3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3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3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3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3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3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3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3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3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3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3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3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3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3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3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3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3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3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3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3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3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3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3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3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3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3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3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3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3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3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3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3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3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3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3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3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3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3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3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3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3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3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3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3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3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3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3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3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3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3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3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3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3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3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3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3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3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3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3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3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3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3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3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3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3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3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3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3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3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3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3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3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3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3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3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3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3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3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3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3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3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3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3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3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3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3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3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3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3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3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3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3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3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3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3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3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3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3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3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3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3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3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3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3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3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3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3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3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3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3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3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3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3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3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3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3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3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3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3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3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3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3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3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3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3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3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3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3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3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3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3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3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3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3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3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3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3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3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3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3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3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3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3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3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3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3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3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3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3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3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3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3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3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3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3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3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3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3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3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3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3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3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3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3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3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3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3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3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3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3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3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3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3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3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3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3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3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3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3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3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3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3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3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3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3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3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3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3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3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3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3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3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3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3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3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3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3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3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3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3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3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3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3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3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3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3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3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3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3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3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3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3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3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3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3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3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3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3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3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3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3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3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3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3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3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3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3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3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3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3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3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3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3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3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3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3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3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3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3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3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3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3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3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3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3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3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3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3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3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3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3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3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3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3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3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3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3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3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3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3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3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3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3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3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3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3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3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3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3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3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3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3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3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3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3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3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3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3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3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3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3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3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3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3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3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3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3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3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3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3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3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3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3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3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3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3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3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3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3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3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3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3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3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3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3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3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3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3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3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3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3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3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3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3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3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3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3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3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3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3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3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3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3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3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3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3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3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3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3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3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3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3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3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3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3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3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3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3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3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3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3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3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3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3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3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3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3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3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3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3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3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3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3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3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3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3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3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3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3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3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3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3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3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3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3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3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3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3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3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3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3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3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3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3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3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3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3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3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3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3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3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3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3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3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3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3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3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3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3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3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3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3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3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3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3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3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3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3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3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3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3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3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3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3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3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3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3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3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3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3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3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3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3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3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3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3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3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3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3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3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3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3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3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3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3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3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3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3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3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3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3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3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3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3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3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3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3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3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3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3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3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3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3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3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3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3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3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3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3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3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3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3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3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3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3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3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3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3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3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3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3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3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3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3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3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3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3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3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3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3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3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3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3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3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3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3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3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3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3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3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3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3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3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3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3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3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3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3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3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3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3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3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3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3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3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3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3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3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3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3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3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3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3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3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3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3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3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3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3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3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3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3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3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3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3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3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3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3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3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3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3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3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3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3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3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3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3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3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3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3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3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3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3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3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3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3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3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3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3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3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3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3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3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3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3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3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3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3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3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3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3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3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3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3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3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3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3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3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3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3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3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3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3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3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3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3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3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3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3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3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3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3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3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3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3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3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3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3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3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3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3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3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3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3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3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3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3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3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3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3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3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3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3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3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3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3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3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3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3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3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3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3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3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3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3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3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3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3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3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3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3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3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3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3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3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3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3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3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3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3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3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3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3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3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3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3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3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3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3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3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3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3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3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3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3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3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3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3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3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3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3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3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3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3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3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3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3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3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3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3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3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3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3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3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3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3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3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3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3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3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3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3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3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3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3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3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3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3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3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3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3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3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3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3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3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3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3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3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3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3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3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3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3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3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3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3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3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3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3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3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3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3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3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3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3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3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3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3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3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3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3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3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3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3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3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3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3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3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3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3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3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3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3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3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3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3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3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3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3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3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3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3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3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3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3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3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3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3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3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3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3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3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3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3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3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3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3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3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3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3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3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3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3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3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3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3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3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3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3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3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3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3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3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3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3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3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3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3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3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3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3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3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3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3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3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3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3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3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3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3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3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3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3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3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3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3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3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3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3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3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3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3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3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3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3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3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3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3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3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3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3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3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3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3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3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3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3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3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3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3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3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3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3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3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3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3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3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3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3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3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3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3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3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3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3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3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3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3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3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3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3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3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3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3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3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3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3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3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3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3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3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3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3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3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3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3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3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3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3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3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3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3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3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3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3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3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3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3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3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3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3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3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3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3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3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3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3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3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3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3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3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3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3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3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3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3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3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3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3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3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3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3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3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3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3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3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3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3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3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3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3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3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3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3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3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3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3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3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3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3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3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3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3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3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3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3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3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3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3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3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3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3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3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3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3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3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3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3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3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3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3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3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3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3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3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3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3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3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3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3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3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3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3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3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3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3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3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3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3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3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3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3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3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3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3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3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3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3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3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3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3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3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3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3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3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3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3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3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3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3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3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3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3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3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3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3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3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3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3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3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3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3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3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3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3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3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3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3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3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3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3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3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3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3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3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3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3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3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3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3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3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3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3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3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3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3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3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3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3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3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3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3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3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3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3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3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3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3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3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3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3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3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3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3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3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3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3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3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3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3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3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3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3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3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3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3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3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3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3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3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3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3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3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3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3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3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3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3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3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3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3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3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3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3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3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3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3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3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3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3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3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3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3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3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3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3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3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3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3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3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3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3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3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3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3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3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3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3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3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3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3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3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3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3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3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3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3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3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3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3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3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3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3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3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3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3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3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3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3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3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3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3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3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3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3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3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3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3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3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3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3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3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3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3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3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3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3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3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3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3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3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3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3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3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3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3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3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3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3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3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3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3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3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3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3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3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3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3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3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3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3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3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3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3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3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3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3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3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3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3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3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3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3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3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3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3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3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3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3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3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3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3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3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3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3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3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3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3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3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3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3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3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3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3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3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3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3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3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3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3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3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3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3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3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3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3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3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3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3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3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3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3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3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3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3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3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3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3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3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3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3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3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3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3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3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3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3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3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3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3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3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3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3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3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3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3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3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3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3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3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3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3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3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3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3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3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3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3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3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3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3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3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3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3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3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3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3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3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3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3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3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3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3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3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3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3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3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3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3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3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3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3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3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3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3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3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3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3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3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3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3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3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3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3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3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3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3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3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3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3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3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3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3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3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3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3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3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3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3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3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3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3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3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3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3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3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3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3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3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3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3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3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3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3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3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3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3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3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3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3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3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3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3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3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3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3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3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3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3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3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3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3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3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3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3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3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3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3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3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3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3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3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3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3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3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3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3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3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3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3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3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3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3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3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3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3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3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3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3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3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3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3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3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3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3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3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3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3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3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3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3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3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3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3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3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3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3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3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3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3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3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3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3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3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3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3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3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3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3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3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3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3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3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3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3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3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3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3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3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3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3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3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3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3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3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3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3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3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3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3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3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3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3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3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3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3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3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3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3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3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3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3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3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3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3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3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3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3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3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3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3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3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3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3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3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3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3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3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3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3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3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3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3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3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3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3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3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3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3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3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3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3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3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3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3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3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3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3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3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3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3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3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3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3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3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3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3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3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3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3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3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3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3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3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3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3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3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3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3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3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3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3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3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3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3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3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3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3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3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3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3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3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3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3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3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3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3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3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3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3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3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3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3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3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3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3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3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3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3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3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3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3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3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3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3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3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3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3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3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3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3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3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3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3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3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3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3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3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3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3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3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3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3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3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3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3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3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3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3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3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3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3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3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3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3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3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3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3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3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3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3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3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3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3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3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3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3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3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3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3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3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3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3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3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3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3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3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3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3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3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3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3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3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3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3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3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3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3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3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3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3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3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3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3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3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3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3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3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3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3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3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3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3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3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3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3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3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3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3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3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3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3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3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3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3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3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3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3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3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3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3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3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3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3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3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3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3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3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3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3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3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3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3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3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3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3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3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3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3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3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3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3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3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3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3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3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3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3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3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3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3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3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3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3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3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3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3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3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3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3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3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3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3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3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3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3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3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3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3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3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3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3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3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3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3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3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3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3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3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3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3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3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3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3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3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3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3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3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3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3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3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3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3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3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3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3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3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3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3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3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3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3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3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3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3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3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3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3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3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3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3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3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3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3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3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3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3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3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3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3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3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3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3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3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3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3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3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3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3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3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3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3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3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3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3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3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3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3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3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3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3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3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3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3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3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3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3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3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3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3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3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3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3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3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3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3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3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3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3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3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3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3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3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3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3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3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3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3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3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3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3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3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3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3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3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3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3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3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3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3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3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3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3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3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3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3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3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3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3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3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3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3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3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3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3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3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3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3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3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3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3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3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3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3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3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3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3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3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3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3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3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3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3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3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3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3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3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3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3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3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3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3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3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3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3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3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3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3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3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3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3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3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3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3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3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3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3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3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3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3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3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3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3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3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3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3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3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3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3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3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3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3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3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3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3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3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3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3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3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3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3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3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3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3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3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3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3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3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3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3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3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3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3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3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3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3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3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3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3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3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3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3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3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3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3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3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3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3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3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3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3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3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3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3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3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3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3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3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3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3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3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3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3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3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3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3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3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3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3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3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3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3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3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3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3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3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3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3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3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3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3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3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3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3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3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3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3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3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3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3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3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3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3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3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3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3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3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3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3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3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3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3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3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3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3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3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3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3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3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3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3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3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3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3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3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3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3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3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3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3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3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3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3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3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3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3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3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3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3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3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3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3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3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3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3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3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3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3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3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3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3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3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3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3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3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3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3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3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3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3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3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3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3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3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3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3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3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3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3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3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3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3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3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3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3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3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3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3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3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3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3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3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3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3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3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3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3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3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3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3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3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3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3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3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3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3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3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3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3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3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3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3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3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3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3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3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3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3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3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3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3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3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3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3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3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3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3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3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3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3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3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3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3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3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3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3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3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3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3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3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3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3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3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3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3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3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3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3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3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3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3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3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3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3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3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3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3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3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3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3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3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3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3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3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3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3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3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3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3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3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3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3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3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3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3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3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3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3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3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3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3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3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3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3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3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3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3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3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3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3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3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3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3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3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3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3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3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3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3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3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3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3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3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3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3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3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3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3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3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3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3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3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3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3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3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3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3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3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3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3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3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3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3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3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3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3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3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3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3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3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3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3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3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3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3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3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3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3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3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3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3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3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3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3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3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3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3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3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3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3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3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3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3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3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3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3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3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3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3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3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3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3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3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3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3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3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3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3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3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3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3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3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3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3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3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3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3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3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3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3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3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3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3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3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3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3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3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3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3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3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3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3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3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3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3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3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3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3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3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3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3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3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3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3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3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3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3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3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3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3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3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3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3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3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3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3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3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3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3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3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3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3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3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3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3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3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3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3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3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3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3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3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3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3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3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3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3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3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3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3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3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3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3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3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3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3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3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3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3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3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3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3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3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3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3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3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3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3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3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3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3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3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3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3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3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3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3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3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3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3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3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3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3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3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3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3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3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3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3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3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3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3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3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3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3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3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3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3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3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3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3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3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3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3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3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3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3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3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3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3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3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3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3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3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3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3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3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3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3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3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3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3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3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3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3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3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3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3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3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3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3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3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3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3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3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3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3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3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3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3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3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3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3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3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3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3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3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3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3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3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3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3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3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3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3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3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3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3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3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3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3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3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3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3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3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3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3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3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3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3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3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3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3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3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3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3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3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3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3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3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3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3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3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3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3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3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3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3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3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3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3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3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3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3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3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3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3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3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3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3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3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3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3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3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3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3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3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3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3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3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3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3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3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3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3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3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3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3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3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3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3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3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3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3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3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3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3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3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3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3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3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3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3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3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3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3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3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3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3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3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3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3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3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3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3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3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3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3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3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3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3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3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3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3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3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3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3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3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3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3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3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3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3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3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3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3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3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3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3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3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3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3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3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3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3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3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3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3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3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3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3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3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3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3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3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3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3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3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3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3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3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3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3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3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3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3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3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3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3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3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3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3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3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3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3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3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3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3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3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3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3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3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3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3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3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3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3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3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3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3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3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3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3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3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3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3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3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3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3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3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3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3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3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3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3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3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3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3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3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3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3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3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3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3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3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3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3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3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3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3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3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3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3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3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3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3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3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3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3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3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3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3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3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3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3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3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3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3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3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3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3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3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3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3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3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3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3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3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3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3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3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3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3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3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3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3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3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3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3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3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3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3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3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3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3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3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3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3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3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3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3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3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3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3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3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3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3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3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3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3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3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3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3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3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3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3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3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3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3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3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3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3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3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3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3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3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3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3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3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3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3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3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3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3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3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3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3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3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3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3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3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3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3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3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3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3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3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3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3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3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3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3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3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3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3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3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3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3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3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3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3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3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3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3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3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3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3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3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3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3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3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3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3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3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3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3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3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3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3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3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3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3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3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3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3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3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3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3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3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3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3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3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3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3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3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3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3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3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3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3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3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3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3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3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3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3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3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3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3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3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3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3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3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3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3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3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3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3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3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3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3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3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3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3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3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3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3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3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3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3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3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3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3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3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3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3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3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3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3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3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3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3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3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3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3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3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3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3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3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3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3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3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3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3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3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3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3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3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3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3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3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3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3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3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3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3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3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3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3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3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3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3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3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3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3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3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3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3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3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3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3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3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3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3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3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3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3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3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3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3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3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3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3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3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3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3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3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3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3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3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3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3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3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3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3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3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3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3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3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3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3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3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3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3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3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3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3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3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3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3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3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3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3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3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3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3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3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3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3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3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3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3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3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3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3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3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3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3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3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3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3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3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3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3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3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3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3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3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3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3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3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3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3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3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3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3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3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3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3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3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3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3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3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3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3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3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3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3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3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3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3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3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3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3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3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3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3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3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3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3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3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3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3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3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3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3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3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3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3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3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3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3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3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3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3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3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3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3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3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3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3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3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3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3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3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3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3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3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3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3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3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3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3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3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3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3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3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3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3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3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3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3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3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3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3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3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3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3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3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3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3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3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3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3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3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3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3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3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3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3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3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3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3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3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3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3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3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3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3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3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3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3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3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3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3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3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3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3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3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3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3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3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3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3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3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3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3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3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3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3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3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3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3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3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3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3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3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3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3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3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3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3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3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3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3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3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3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3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3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3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3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3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3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3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3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3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3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3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3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3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3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3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3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3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3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3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3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3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3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3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3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3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3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3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3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3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3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3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3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3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3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3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3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3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3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3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3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3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3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3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3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3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3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3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3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3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3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3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3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3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3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3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3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3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3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3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3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3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3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3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3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3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3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3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3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3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3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3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3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3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3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3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3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3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3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3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3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3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3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3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3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3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3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3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3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3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3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3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3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3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3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3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3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3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3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3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3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3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3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3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3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3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3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3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3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3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3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3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3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3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3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3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3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3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3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3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3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3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3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3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3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3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3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3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3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3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3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3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3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3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3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3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3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3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3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3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3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3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3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3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3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3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3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3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3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3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3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3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3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3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3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3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3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3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3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3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3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3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3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3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3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3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3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3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3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3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3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3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3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3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3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3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3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3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3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3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3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3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3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3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3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3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3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3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3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3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3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3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3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3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3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3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3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3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3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3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3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3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3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3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3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3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3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3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3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3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3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3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3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3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3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3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3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3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3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3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3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3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3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3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3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3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3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3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3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3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3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3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3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3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3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3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3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3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3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3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3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3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3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3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3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3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3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3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3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3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3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3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3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3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3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3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3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3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3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3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3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3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3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3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3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3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3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3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3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3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3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3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3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3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3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3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3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3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3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3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3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3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3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3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3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3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3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3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3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3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3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3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3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3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3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3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3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3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3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3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3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3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3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3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3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3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3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3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3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3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3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3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3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3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3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3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3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3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3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3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3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3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3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3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3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3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3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3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3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3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3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3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3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3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3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3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3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3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3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3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3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3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3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3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3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3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3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3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3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3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3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3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3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3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3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3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3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3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3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3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3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3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3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3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3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3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3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3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3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3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3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3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3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3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3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3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3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3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3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3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3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3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3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3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3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3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3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3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3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3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3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3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3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3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3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3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3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3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3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3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3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3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3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3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3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3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3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3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3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3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3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3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3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3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3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3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3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3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3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3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3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3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3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3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3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3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3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3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3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3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3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3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3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3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3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3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3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3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3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3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3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3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3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3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3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3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3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3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3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3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3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3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3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3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3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3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3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3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3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3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3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3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3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3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3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3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3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3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3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3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3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3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3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3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3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3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3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3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3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3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3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3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3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3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3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3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3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3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3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3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3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3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3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3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3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3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3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3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3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3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3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3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3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3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3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3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3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3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3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3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3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3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3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3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3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3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3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3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3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3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3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3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3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3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3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3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3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3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3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3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3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3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3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3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3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3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3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3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3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3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3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3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3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3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3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3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3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3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3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3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3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3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3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3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3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3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3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3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3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3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3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3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3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3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3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3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3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3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3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3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3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3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3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3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3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3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3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3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3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3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3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3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3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3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3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3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3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3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3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3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3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3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3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3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3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3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3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3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3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3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3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3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3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3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3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3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3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3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3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3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3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3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3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3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3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3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3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3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3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3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3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3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3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3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3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3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3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3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3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3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3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3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3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3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3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3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3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3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3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3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3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3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3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3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3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3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3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3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3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3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3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3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3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3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3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3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3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3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3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3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3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3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3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3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3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3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3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3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3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3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3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3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3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3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3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3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3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3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3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3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3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3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3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3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3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3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3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3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3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3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3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3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3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3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3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3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3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3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3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3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3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3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3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3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3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3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3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3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3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3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3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3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3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3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3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3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3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3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3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3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3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3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3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3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3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3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3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3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3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3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3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3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3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3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3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3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3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3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3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3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3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3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3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3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3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3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3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3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3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3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3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3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3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3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3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3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3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3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3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3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3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3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3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3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3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3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3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3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3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3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3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3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3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3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3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3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3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3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3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3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3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3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3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3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3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3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3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3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3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3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3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3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3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3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3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3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3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3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3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3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3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3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3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3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3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3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3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3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3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3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3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3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3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3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3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3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3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3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3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3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3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3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3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3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3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3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3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3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3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3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3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3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3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3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3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3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3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3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3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3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3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3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3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3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3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3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3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8671875" defaultRowHeight="14.4" x14ac:dyDescent="0.3"/>
  <cols>
    <col min="1" max="1" width="25.33203125" style="1" customWidth="1"/>
    <col min="2" max="2" width="16.77734375" style="30" customWidth="1"/>
    <col min="3" max="3" width="22.77734375" style="30" customWidth="1"/>
    <col min="4" max="6" width="13.77734375" style="30" customWidth="1"/>
    <col min="7" max="12" width="16.33203125" style="30" customWidth="1"/>
    <col min="13" max="13" width="22.21875" style="30" customWidth="1"/>
    <col min="14" max="15" width="16.33203125" style="30" customWidth="1"/>
    <col min="16" max="16" width="22.5546875" style="30" customWidth="1"/>
    <col min="17" max="20" width="16.33203125" style="30" customWidth="1"/>
    <col min="21" max="21" width="13.77734375" style="30" hidden="1" customWidth="1"/>
    <col min="22" max="22" width="14.77734375" style="30" customWidth="1"/>
    <col min="23" max="23" width="16.77734375" style="30" customWidth="1"/>
    <col min="24" max="24" width="30.77734375" style="30" customWidth="1"/>
    <col min="25" max="25" width="12.77734375" style="30" customWidth="1"/>
    <col min="26" max="26" width="14.77734375" style="30" customWidth="1"/>
    <col min="27" max="27" width="26.77734375" style="30" customWidth="1"/>
    <col min="28" max="28" width="18.77734375" style="30" hidden="1" customWidth="1"/>
    <col min="29" max="30" width="16.77734375" style="30" customWidth="1"/>
    <col min="31" max="32" width="13.77734375" style="30" customWidth="1"/>
    <col min="33" max="16384" width="8.88671875" style="1"/>
  </cols>
  <sheetData>
    <row r="1" spans="1:32" s="89" customFormat="1" ht="40.200000000000003" customHeight="1" x14ac:dyDescent="0.3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95" customHeight="1" x14ac:dyDescent="0.3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3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95" customHeight="1" x14ac:dyDescent="0.3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95" customHeight="1" x14ac:dyDescent="0.3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3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95" customHeight="1" x14ac:dyDescent="0.3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95" customHeight="1" x14ac:dyDescent="0.3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95" customHeight="1" x14ac:dyDescent="0.3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3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6" x14ac:dyDescent="0.3">
      <c r="A11" s="95" t="s">
        <v>371</v>
      </c>
      <c r="B11" s="215" t="str">
        <f>PeriodoEfetivo(Estat_Ini_Efetiva,Estat_Fim_Efetiva,Estat_Exclusoes)</f>
        <v>01/01/2026 a 31/12/2026  |  sem exclusoes</v>
      </c>
      <c r="C11" s="216"/>
      <c r="D11" s="216"/>
      <c r="E11" s="216"/>
      <c r="F11" s="216"/>
      <c r="G11" s="216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3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2" customHeight="1" x14ac:dyDescent="0.3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1127</v>
      </c>
      <c r="W13" s="141" t="s">
        <v>1128</v>
      </c>
      <c r="X13" s="141" t="s">
        <v>1129</v>
      </c>
      <c r="Y13" s="141" t="s">
        <v>1130</v>
      </c>
      <c r="Z13" s="141" t="s">
        <v>1131</v>
      </c>
      <c r="AA13" s="141" t="s">
        <v>1132</v>
      </c>
      <c r="AB13" s="141" t="s">
        <v>1133</v>
      </c>
      <c r="AC13" s="111" t="s">
        <v>1153</v>
      </c>
      <c r="AD13" s="111" t="s">
        <v>1154</v>
      </c>
      <c r="AE13" s="110"/>
      <c r="AF13" s="110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>1_3s / 2_2s / R_4s / 4_1s / 8x</v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TOTAL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>1_3s / 2_2s / R_4s / 4_1s / 8x</v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TOTAL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>1_3s / 2_2s / R_4s / 4_1s / 8x</v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TOTAL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>1_3s / 2_2s / R_4s / 4_1s / 8x</v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TOTAL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>1_3s / 2_2s / R_4s / 4_1s / 8x</v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TOTAL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>1_3s / 2_2s / R_4s / 4_1s / 8x</v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TOTAL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>1_3s / 2_2s / R_4s / 4_1s / 8x</v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TOTAL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>1_3s / 2_2s / R_4s / 4_1s / 8x</v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TOTAL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>1_3s / 2_2s / R_4s / 4_1s / 8x</v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TOTAL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>1_3s / 2_2s / R_4s / 4_1s / 8x</v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TOTAL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>1_3s / 2_2s / R_4s / 4_1s / 8x</v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TOTAL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>1_3s / 2_2s / R_4s / 4_1s / 8x</v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TOTAL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>1_3s / 2_2s / R_4s / 4_1s / 8x</v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TOTAL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>1_3s / 2_2s / R_4s / 4_1s / 8x</v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TOTAL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>1_3s / 2_2s / R_4s / 4_1s / 8x</v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TOTAL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>1_3s / 2_2s / R_4s / 4_1s / 8x</v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TOTAL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>1_3s / 2_2s / R_4s / 4_1s / 8x</v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TOTAL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>1_3s / 2_2s / R_4s / 4_1s / 8x</v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TOTAL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>1_3s / 2_2s / R_4s / 4_1s / 8x</v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TOTAL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>1_3s / 2_2s / R_4s / 4_1s / 8x</v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TOTAL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>1_3s / 2_2s / R_4s / 4_1s / 8x</v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TOTAL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>1_3s / 2_2s / R_4s / 4_1s / 8x</v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TOTAL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>1_3s / 2_2s / R_4s / 4_1s / 8x</v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TOTAL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>1_3s / 2_2s / R_4s / 4_1s / 8x</v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TOTAL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>1_3s / 2_2s / R_4s / 4_1s / 8x</v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TOTAL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>1_3s / 2_2s / R_4s / 4_1s / 8x</v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TOTAL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>1_3s / 2_2s / R_4s / 4_1s / 8x</v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TOTAL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>1_3s / 2_2s / R_4s / 4_1s / 8x</v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TOTAL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3">
      <c r="A96" s="96" t="s">
        <v>415</v>
      </c>
      <c r="E96" s="30" t="s">
        <v>416</v>
      </c>
    </row>
    <row r="97" spans="1:8" x14ac:dyDescent="0.3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1122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96" t="s">
        <v>427</v>
      </c>
    </row>
    <row r="107" spans="1:8" x14ac:dyDescent="0.3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45" t="s">
        <v>1134</v>
      </c>
    </row>
    <row r="128" spans="1:8" x14ac:dyDescent="0.3">
      <c r="A128" s="146" t="s">
        <v>1135</v>
      </c>
    </row>
    <row r="129" spans="1:3" ht="31.95" customHeight="1" x14ac:dyDescent="0.3">
      <c r="A129" s="147" t="s">
        <v>220</v>
      </c>
      <c r="B129" s="141" t="s">
        <v>1127</v>
      </c>
      <c r="C129" s="141" t="s">
        <v>1128</v>
      </c>
    </row>
    <row r="130" spans="1:3" x14ac:dyDescent="0.3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3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3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3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3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3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3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3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3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3">
      <c r="A140" s="146" t="s">
        <v>1126</v>
      </c>
    </row>
  </sheetData>
  <mergeCells count="1">
    <mergeCell ref="B11:G11"/>
  </mergeCells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07" t="s">
        <v>257</v>
      </c>
      <c r="B1" s="203"/>
      <c r="C1" s="203"/>
      <c r="D1" s="203"/>
      <c r="E1" s="203"/>
      <c r="F1" s="203"/>
      <c r="G1" s="203"/>
      <c r="H1" s="203"/>
      <c r="I1" s="203"/>
      <c r="J1" s="203"/>
      <c r="M1" s="48" t="s">
        <v>258</v>
      </c>
      <c r="N1" s="98" t="s">
        <v>267</v>
      </c>
    </row>
    <row r="2" spans="1:14" ht="19.95" customHeight="1" x14ac:dyDescent="0.3">
      <c r="A2" s="208" t="s">
        <v>259</v>
      </c>
      <c r="B2" s="203"/>
      <c r="C2" s="203"/>
      <c r="D2" s="203"/>
      <c r="E2" s="203"/>
      <c r="F2" s="203"/>
      <c r="G2" s="203"/>
      <c r="H2" s="203"/>
      <c r="I2" s="203"/>
      <c r="J2" s="203"/>
      <c r="M2" s="48" t="s">
        <v>260</v>
      </c>
      <c r="N2" s="98" t="s">
        <v>269</v>
      </c>
    </row>
    <row r="3" spans="1:14" ht="28.2" customHeight="1" x14ac:dyDescent="0.3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6" t="s">
        <v>266</v>
      </c>
      <c r="H3" s="203"/>
      <c r="I3" s="203"/>
      <c r="J3" s="203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217" t="s">
        <v>303</v>
      </c>
      <c r="H11" s="203"/>
      <c r="I11" s="203"/>
      <c r="J11" s="203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07" t="s">
        <v>277</v>
      </c>
      <c r="B1" s="203"/>
      <c r="C1" s="203"/>
      <c r="D1" s="203"/>
      <c r="E1" s="203"/>
      <c r="F1" s="203"/>
      <c r="H1" s="218" t="str">
        <f>"Assinaturas do lote em uso: "&amp;loteAtivo</f>
        <v>Assinaturas do lote em uso: 8974</v>
      </c>
      <c r="I1" s="205"/>
      <c r="J1" s="206"/>
    </row>
    <row r="2" spans="1:10" ht="19.95" customHeight="1" x14ac:dyDescent="0.3">
      <c r="A2" s="208" t="s">
        <v>278</v>
      </c>
      <c r="B2" s="203"/>
      <c r="C2" s="203"/>
      <c r="D2" s="203"/>
      <c r="E2" s="203"/>
      <c r="F2" s="203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19" t="s">
        <v>297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</row>
    <row r="2" spans="1:27" ht="19.95" customHeight="1" x14ac:dyDescent="0.3">
      <c r="A2" s="220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</row>
    <row r="3" spans="1:27" ht="24" customHeight="1" x14ac:dyDescent="0.3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3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21" t="s">
        <v>290</v>
      </c>
      <c r="D8" s="203"/>
      <c r="E8" s="203"/>
      <c r="F8" s="203"/>
      <c r="G8" s="203"/>
      <c r="H8" s="203"/>
      <c r="I8" s="203"/>
    </row>
    <row r="9" spans="3:9" ht="18" customHeight="1" x14ac:dyDescent="0.3">
      <c r="C9" s="203"/>
      <c r="D9" s="203"/>
      <c r="E9" s="203"/>
      <c r="F9" s="203"/>
      <c r="G9" s="203"/>
      <c r="H9" s="203"/>
      <c r="I9" s="203"/>
    </row>
    <row r="10" spans="3:9" ht="18" customHeight="1" x14ac:dyDescent="0.3">
      <c r="C10" s="227" t="s">
        <v>291</v>
      </c>
      <c r="D10" s="203"/>
      <c r="E10" s="203"/>
      <c r="F10" s="203"/>
      <c r="G10" s="203"/>
      <c r="H10" s="203"/>
      <c r="I10" s="203"/>
    </row>
    <row r="11" spans="3:9" ht="18" customHeight="1" x14ac:dyDescent="0.3"/>
    <row r="12" spans="3:9" ht="18" customHeight="1" x14ac:dyDescent="0.3"/>
    <row r="13" spans="3:9" ht="18" customHeight="1" x14ac:dyDescent="0.3">
      <c r="C13" s="222" t="s">
        <v>292</v>
      </c>
      <c r="D13" s="203"/>
      <c r="E13" s="228" t="s">
        <v>267</v>
      </c>
      <c r="F13" s="225"/>
      <c r="G13" s="225"/>
      <c r="H13" s="226"/>
    </row>
    <row r="14" spans="3:9" ht="18" customHeight="1" x14ac:dyDescent="0.3"/>
    <row r="15" spans="3:9" ht="18" customHeight="1" x14ac:dyDescent="0.3">
      <c r="C15" s="222" t="s">
        <v>276</v>
      </c>
      <c r="D15" s="203"/>
      <c r="E15" s="224"/>
      <c r="F15" s="225"/>
      <c r="G15" s="225"/>
      <c r="H15" s="22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23"/>
      <c r="D20" s="203"/>
      <c r="E20" s="203"/>
      <c r="F20" s="203"/>
      <c r="G20" s="203"/>
      <c r="H20" s="203"/>
      <c r="I20" s="203"/>
    </row>
    <row r="21" spans="3:9" ht="18" customHeight="1" x14ac:dyDescent="0.3"/>
    <row r="22" spans="3:9" ht="18" customHeight="1" x14ac:dyDescent="0.3">
      <c r="C22" s="211"/>
      <c r="D22" s="203"/>
      <c r="E22" s="203"/>
      <c r="F22" s="203"/>
      <c r="G22" s="203"/>
      <c r="H22" s="203"/>
      <c r="I22" s="203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4" t="s">
        <v>304</v>
      </c>
    </row>
    <row r="2" spans="2:37" s="1" customFormat="1" x14ac:dyDescent="0.3">
      <c r="B2" s="105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66</vt:i4>
      </vt:variant>
    </vt:vector>
  </HeadingPairs>
  <TitlesOfParts>
    <vt:vector size="86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2026-08-23T23:22:54Z</dcterms:modified>
</cp:coreProperties>
</file>